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26.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tables/table3.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pivotTables/pivotTable27.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pivotTables/pivotTable28.xml" ContentType="application/vnd.openxmlformats-officedocument.spreadsheetml.pivotTable+xml"/>
  <Override PartName="/xl/drawings/drawing8.xml" ContentType="application/vnd.openxmlformats-officedocument.drawing+xml"/>
  <Override PartName="/xl/slicers/slicer4.xml" ContentType="application/vnd.ms-excel.slicer+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codeName="ThisWorkbook"/>
  <mc:AlternateContent xmlns:mc="http://schemas.openxmlformats.org/markup-compatibility/2006">
    <mc:Choice Requires="x15">
      <x15ac:absPath xmlns:x15ac="http://schemas.microsoft.com/office/spreadsheetml/2010/11/ac" url="C:\Users\mthaw\Mee Mee\2. Information Management\B_ 4 W\002. 4Ws matrix\004.Yangon\Final\2020\2020_Q2\"/>
    </mc:Choice>
  </mc:AlternateContent>
  <xr:revisionPtr revIDLastSave="0" documentId="13_ncr:1_{3AA738DF-7280-4DB8-955C-77F6DEADD8AE}" xr6:coauthVersionLast="44" xr6:coauthVersionMax="44" xr10:uidLastSave="{00000000-0000-0000-0000-000000000000}"/>
  <bookViews>
    <workbookView xWindow="-108" yWindow="-108" windowWidth="23256" windowHeight="12576" tabRatio="876" firstSheet="1" activeTab="1" xr2:uid="{00000000-000D-0000-FFFF-FFFF00000000}"/>
  </bookViews>
  <sheets>
    <sheet name="Guide" sheetId="81" r:id="rId1"/>
    <sheet name="DATABASE" sheetId="25" r:id="rId2"/>
    <sheet name="Site_DB" sheetId="91" r:id="rId3"/>
    <sheet name="Indicator Summary  Eng" sheetId="123" r:id="rId4"/>
    <sheet name="Indicator Summary  MM" sheetId="120" state="hidden" r:id="rId5"/>
    <sheet name="HRP Calculations" sheetId="122" r:id="rId6"/>
    <sheet name="HRP" sheetId="89" r:id="rId7"/>
    <sheet name="Analysis" sheetId="92" r:id="rId8"/>
    <sheet name="Quarterly Dashboard" sheetId="100" r:id="rId9"/>
    <sheet name="Rakhine" sheetId="127" r:id="rId10"/>
    <sheet name="By Site" sheetId="102" r:id="rId11"/>
    <sheet name="Tracking Dashboard" sheetId="114" r:id="rId12"/>
    <sheet name="Lookup" sheetId="32" state="hidden" r:id="rId13"/>
  </sheets>
  <externalReferences>
    <externalReference r:id="rId14"/>
    <externalReference r:id="rId15"/>
    <externalReference r:id="rId16"/>
    <externalReference r:id="rId17"/>
    <externalReference r:id="rId18"/>
  </externalReferences>
  <definedNames>
    <definedName name="_Fill" localSheetId="10" hidden="1">#REF!</definedName>
    <definedName name="_Fill" localSheetId="5" hidden="1">#REF!</definedName>
    <definedName name="_Fill" localSheetId="3" hidden="1">#REF!</definedName>
    <definedName name="_Fill" localSheetId="9" hidden="1">#REF!</definedName>
    <definedName name="_Fill" hidden="1">#REF!</definedName>
    <definedName name="_xlnm._FilterDatabase" localSheetId="1" hidden="1">DATABASE!#REF!</definedName>
    <definedName name="_xlnm._FilterDatabase" localSheetId="3" hidden="1">'Indicator Summary  Eng'!$B$2:$G$42</definedName>
    <definedName name="_xlnm._FilterDatabase" localSheetId="12" hidden="1">Lookup!$A$3:$AA$457</definedName>
    <definedName name="_Key1" localSheetId="10" hidden="1">[1]Data!#REF!</definedName>
    <definedName name="_Key1" localSheetId="5" hidden="1">[1]Data!#REF!</definedName>
    <definedName name="_Key1" localSheetId="3" hidden="1">[1]Data!#REF!</definedName>
    <definedName name="_Key1" localSheetId="9" hidden="1">[1]Data!#REF!</definedName>
    <definedName name="_Key1" hidden="1">[1]Data!#REF!</definedName>
    <definedName name="_Order1" hidden="1">255</definedName>
    <definedName name="a" localSheetId="5" hidden="1">#REF!</definedName>
    <definedName name="a" localSheetId="3" hidden="1">#REF!</definedName>
    <definedName name="a" hidden="1">#REF!</definedName>
    <definedName name="b">[2]!SiteDB6[[#Headers],[Township]]</definedName>
    <definedName name="_xlnm.Print_Area" localSheetId="5">'HRP Calculations'!$A$1:$E$11</definedName>
    <definedName name="_xlnm.Print_Area" localSheetId="3">'Indicator Summary  Eng'!$B$1:$F$42</definedName>
    <definedName name="_xlnm.Print_Area" localSheetId="4">'Indicator Summary  MM'!$A$2:$F$70</definedName>
    <definedName name="_xlnm.Print_Area" localSheetId="9">Rakhine!$A$1:$Q$81</definedName>
    <definedName name="_xlnm.Print_Titles" localSheetId="3">'Indicator Summary  Eng'!$1:$2</definedName>
    <definedName name="_xlnm.Print_Titles" localSheetId="4">'Indicator Summary  MM'!$1:$2</definedName>
    <definedName name="Sasha" localSheetId="5" hidden="1">{#N/A,#N/A,FALSE,"Truck Rent"}</definedName>
    <definedName name="Sasha" localSheetId="3" hidden="1">{#N/A,#N/A,FALSE,"Truck Rent"}</definedName>
    <definedName name="Sasha" hidden="1">{#N/A,#N/A,FALSE,"Truck Rent"}</definedName>
    <definedName name="Slicer_Covered">#N/A</definedName>
    <definedName name="Slicer_Location_Type">#N/A</definedName>
    <definedName name="Slicer_Location_Type1">#N/A</definedName>
    <definedName name="Slicer_Location_Type2">#N/A</definedName>
    <definedName name="Slicer_Reporting_Period">#N/A</definedName>
    <definedName name="Slicer_Reporting_Period1">#N/A</definedName>
    <definedName name="Slicer_State">#N/A</definedName>
    <definedName name="Slicer_State1">#N/A</definedName>
    <definedName name="Slicer_State11">#N/A</definedName>
    <definedName name="Slicer_State2">#N/A</definedName>
    <definedName name="Slicer_Township">#N/A</definedName>
    <definedName name="Slicer_Township1">#N/A</definedName>
    <definedName name="Slicer_Township2">#N/A</definedName>
    <definedName name="Slicer_Type_of_accommodation">#N/A</definedName>
    <definedName name="Slicer_WASH_implementing_agency">#N/A</definedName>
    <definedName name="Slicer_WASH_implementing_agency1">#N/A</definedName>
    <definedName name="Slicer_WASH_project_agency">#N/A</definedName>
    <definedName name="State_list" localSheetId="5">[3]Lookup!$AB$4:$AB$83</definedName>
    <definedName name="State_list" localSheetId="3">[3]Lookup!$AB$4:$AB$83</definedName>
    <definedName name="State_list">Lookup!$AB$4:$AB$84</definedName>
    <definedName name="Statestart_1" localSheetId="5">[3]Lookup!$AB$3</definedName>
    <definedName name="Statestart_1" localSheetId="3">[3]Lookup!$AB$3</definedName>
    <definedName name="Statestart_1">Lookup!$AB$3</definedName>
    <definedName name="Township_list" localSheetId="5">[3]!SiteDB6[Township]</definedName>
    <definedName name="Township_list" localSheetId="3">[3]!SiteDB6[Township]</definedName>
    <definedName name="Township_list" localSheetId="9">SiteDB6[Township]</definedName>
    <definedName name="Township_list">SiteDB6[Township]</definedName>
    <definedName name="Township_start" localSheetId="5">[3]!SiteDB6[[#Headers],[Township]]</definedName>
    <definedName name="Township_start" localSheetId="3">[3]!SiteDB6[[#Headers],[Township]]</definedName>
    <definedName name="Township_start" localSheetId="9">SiteDB6[[#Headers],[Township]]</definedName>
    <definedName name="Township_start">SiteDB6[[#Headers],[Township]]</definedName>
    <definedName name="TSps">Lookup!$AC$3:$AC$84</definedName>
    <definedName name="wrn.MUSA._.TRUCKS." localSheetId="5" hidden="1">{#N/A,#N/A,FALSE,"Truck Rent"}</definedName>
    <definedName name="wrn.MUSA._.TRUCKS." localSheetId="3" hidden="1">{#N/A,#N/A,FALSE,"Truck Rent"}</definedName>
    <definedName name="wrn.MUSA._.TRUCKS." hidden="1">{#N/A,#N/A,FALSE,"Truck Rent"}</definedName>
  </definedNames>
  <calcPr calcId="191029"/>
  <pivotCaches>
    <pivotCache cacheId="0" r:id="rId19"/>
  </pivotCaches>
  <extLst>
    <ext xmlns:x14="http://schemas.microsoft.com/office/spreadsheetml/2009/9/main" uri="{BBE1A952-AA13-448e-AADC-164F8A28A991}">
      <x14:slicerCaches>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6" i="127" l="1"/>
  <c r="N35" i="92"/>
  <c r="N36" i="92"/>
  <c r="N34" i="92"/>
  <c r="F29" i="89" l="1"/>
  <c r="E29" i="89"/>
  <c r="F22" i="89"/>
  <c r="E22" i="89"/>
  <c r="G409" i="25"/>
  <c r="G408" i="25"/>
  <c r="G407" i="25"/>
  <c r="G406" i="25"/>
  <c r="G405" i="25"/>
  <c r="G404" i="25"/>
  <c r="G403" i="25"/>
  <c r="G402" i="25"/>
  <c r="G401" i="25"/>
  <c r="G400" i="25"/>
  <c r="G399" i="25"/>
  <c r="G398" i="25"/>
  <c r="G397" i="25"/>
  <c r="G396" i="25"/>
  <c r="G395" i="25"/>
  <c r="G394" i="25"/>
  <c r="G393" i="25"/>
  <c r="G392" i="25"/>
  <c r="G391" i="25"/>
  <c r="G390" i="25"/>
  <c r="G389" i="25"/>
  <c r="AT389" i="25"/>
  <c r="AU389" i="25" s="1"/>
  <c r="AT390" i="25"/>
  <c r="AU390" i="25" s="1"/>
  <c r="AT391" i="25"/>
  <c r="AU391" i="25" s="1"/>
  <c r="AT392" i="25"/>
  <c r="AU392" i="25" s="1"/>
  <c r="AT393" i="25"/>
  <c r="AU393" i="25" s="1"/>
  <c r="AT394" i="25"/>
  <c r="AU394" i="25" s="1"/>
  <c r="AT395" i="25"/>
  <c r="AU395" i="25" s="1"/>
  <c r="AT396" i="25"/>
  <c r="AU396" i="25" s="1"/>
  <c r="AT397" i="25"/>
  <c r="AU397" i="25" s="1"/>
  <c r="AT398" i="25"/>
  <c r="AU398" i="25" s="1"/>
  <c r="AT399" i="25"/>
  <c r="AU399" i="25" s="1"/>
  <c r="AT400" i="25"/>
  <c r="AU400" i="25" s="1"/>
  <c r="AT401" i="25"/>
  <c r="AU401" i="25" s="1"/>
  <c r="AT402" i="25"/>
  <c r="AU402" i="25" s="1"/>
  <c r="AT403" i="25"/>
  <c r="AU403" i="25" s="1"/>
  <c r="AT404" i="25"/>
  <c r="AU404" i="25" s="1"/>
  <c r="AT405" i="25"/>
  <c r="AU405" i="25" s="1"/>
  <c r="AT406" i="25"/>
  <c r="AU406" i="25" s="1"/>
  <c r="AT407" i="25"/>
  <c r="AU407" i="25" s="1"/>
  <c r="AT408" i="25"/>
  <c r="AU408" i="25" s="1"/>
  <c r="AT409" i="25"/>
  <c r="AU409" i="25" s="1"/>
  <c r="AV389" i="25"/>
  <c r="AV390" i="25"/>
  <c r="AW390" i="25" s="1"/>
  <c r="AV391" i="25"/>
  <c r="AW391" i="25" s="1"/>
  <c r="AV392" i="25"/>
  <c r="AW392" i="25" s="1"/>
  <c r="AV393" i="25"/>
  <c r="AV394" i="25"/>
  <c r="AW394" i="25" s="1"/>
  <c r="AV395" i="25"/>
  <c r="AW395" i="25" s="1"/>
  <c r="AV396" i="25"/>
  <c r="AW396" i="25" s="1"/>
  <c r="AV397" i="25"/>
  <c r="AW397" i="25" s="1"/>
  <c r="AV398" i="25"/>
  <c r="AW398" i="25" s="1"/>
  <c r="AV399" i="25"/>
  <c r="AV400" i="25"/>
  <c r="AW400" i="25" s="1"/>
  <c r="AV401" i="25"/>
  <c r="AV402" i="25"/>
  <c r="AW402" i="25" s="1"/>
  <c r="AV403" i="25"/>
  <c r="AW403" i="25" s="1"/>
  <c r="AV404" i="25"/>
  <c r="AW404" i="25" s="1"/>
  <c r="AV405" i="25"/>
  <c r="AW405" i="25" s="1"/>
  <c r="AV406" i="25"/>
  <c r="AW406" i="25" s="1"/>
  <c r="AV407" i="25"/>
  <c r="AW407" i="25" s="1"/>
  <c r="AV408" i="25"/>
  <c r="AW408" i="25" s="1"/>
  <c r="AV409" i="25"/>
  <c r="BD389" i="25"/>
  <c r="BD390" i="25"/>
  <c r="BD391" i="25"/>
  <c r="BD392" i="25"/>
  <c r="BD393" i="25"/>
  <c r="BD394" i="25"/>
  <c r="BD395" i="25"/>
  <c r="BD396" i="25"/>
  <c r="BD397" i="25"/>
  <c r="BD398" i="25"/>
  <c r="BD399" i="25"/>
  <c r="BD400" i="25"/>
  <c r="BD401" i="25"/>
  <c r="BD402" i="25"/>
  <c r="BD403" i="25"/>
  <c r="BD404" i="25"/>
  <c r="BD405" i="25"/>
  <c r="BD406" i="25"/>
  <c r="BD407" i="25"/>
  <c r="BD408" i="25"/>
  <c r="BD409" i="25"/>
  <c r="BE389" i="25"/>
  <c r="BJ389" i="25" s="1"/>
  <c r="BE390" i="25"/>
  <c r="BJ390" i="25" s="1"/>
  <c r="BE391" i="25"/>
  <c r="BJ391" i="25" s="1"/>
  <c r="BE392" i="25"/>
  <c r="BF392" i="25" s="1"/>
  <c r="BE393" i="25"/>
  <c r="BF393" i="25" s="1"/>
  <c r="BE394" i="25"/>
  <c r="BJ394" i="25" s="1"/>
  <c r="BE395" i="25"/>
  <c r="BF395" i="25" s="1"/>
  <c r="BE396" i="25"/>
  <c r="BF396" i="25" s="1"/>
  <c r="BE397" i="25"/>
  <c r="BJ397" i="25" s="1"/>
  <c r="BE398" i="25"/>
  <c r="BF398" i="25" s="1"/>
  <c r="BE399" i="25"/>
  <c r="BJ399" i="25" s="1"/>
  <c r="BE400" i="25"/>
  <c r="BJ400" i="25" s="1"/>
  <c r="BE401" i="25"/>
  <c r="BF401" i="25" s="1"/>
  <c r="BE402" i="25"/>
  <c r="BJ402" i="25" s="1"/>
  <c r="BE403" i="25"/>
  <c r="BF403" i="25" s="1"/>
  <c r="BE404" i="25"/>
  <c r="BF404" i="25" s="1"/>
  <c r="BE405" i="25"/>
  <c r="BF405" i="25" s="1"/>
  <c r="BE406" i="25"/>
  <c r="BJ406" i="25" s="1"/>
  <c r="BE407" i="25"/>
  <c r="BJ407" i="25" s="1"/>
  <c r="BE408" i="25"/>
  <c r="BJ408" i="25" s="1"/>
  <c r="BE409" i="25"/>
  <c r="BF409" i="25" s="1"/>
  <c r="BG389" i="25"/>
  <c r="BG390" i="25"/>
  <c r="BG391" i="25"/>
  <c r="BG392" i="25"/>
  <c r="BG393" i="25"/>
  <c r="BG394" i="25"/>
  <c r="BG395" i="25"/>
  <c r="BG396" i="25"/>
  <c r="BG397" i="25"/>
  <c r="BG398" i="25"/>
  <c r="BG399" i="25"/>
  <c r="BG400" i="25"/>
  <c r="BG401" i="25"/>
  <c r="BG402" i="25"/>
  <c r="BG403" i="25"/>
  <c r="BG404" i="25"/>
  <c r="BG405" i="25"/>
  <c r="BG406" i="25"/>
  <c r="BG407" i="25"/>
  <c r="BG408" i="25"/>
  <c r="BG409" i="25"/>
  <c r="BH389" i="25"/>
  <c r="BI389" i="25" s="1"/>
  <c r="BH390" i="25"/>
  <c r="BI390" i="25" s="1"/>
  <c r="BH391" i="25"/>
  <c r="BI391" i="25" s="1"/>
  <c r="BH392" i="25"/>
  <c r="BI392" i="25" s="1"/>
  <c r="BH393" i="25"/>
  <c r="BI393" i="25" s="1"/>
  <c r="BH394" i="25"/>
  <c r="BI394" i="25" s="1"/>
  <c r="BH395" i="25"/>
  <c r="BI395" i="25" s="1"/>
  <c r="BH396" i="25"/>
  <c r="BI396" i="25" s="1"/>
  <c r="BH397" i="25"/>
  <c r="BI397" i="25" s="1"/>
  <c r="BH398" i="25"/>
  <c r="BI398" i="25" s="1"/>
  <c r="BH399" i="25"/>
  <c r="BI399" i="25" s="1"/>
  <c r="BH400" i="25"/>
  <c r="BI400" i="25" s="1"/>
  <c r="BH401" i="25"/>
  <c r="BI401" i="25" s="1"/>
  <c r="BH402" i="25"/>
  <c r="BI402" i="25" s="1"/>
  <c r="BH403" i="25"/>
  <c r="BI403" i="25" s="1"/>
  <c r="BH404" i="25"/>
  <c r="BI404" i="25" s="1"/>
  <c r="BH405" i="25"/>
  <c r="BI405" i="25" s="1"/>
  <c r="BH406" i="25"/>
  <c r="BI406" i="25" s="1"/>
  <c r="BH407" i="25"/>
  <c r="BI407" i="25" s="1"/>
  <c r="BH408" i="25"/>
  <c r="BI408" i="25" s="1"/>
  <c r="BH409" i="25"/>
  <c r="BI409" i="25" s="1"/>
  <c r="BK389" i="25"/>
  <c r="BK390" i="25"/>
  <c r="BK391" i="25"/>
  <c r="BP391" i="25" s="1"/>
  <c r="BK392" i="25"/>
  <c r="BP392" i="25" s="1"/>
  <c r="BK393" i="25"/>
  <c r="BP393" i="25" s="1"/>
  <c r="BK394" i="25"/>
  <c r="BP394" i="25" s="1"/>
  <c r="BK395" i="25"/>
  <c r="BP395" i="25" s="1"/>
  <c r="BK396" i="25"/>
  <c r="BP396" i="25" s="1"/>
  <c r="BK397" i="25"/>
  <c r="BK398" i="25"/>
  <c r="BK399" i="25"/>
  <c r="BK400" i="25"/>
  <c r="BP400" i="25" s="1"/>
  <c r="BK401" i="25"/>
  <c r="BP401" i="25" s="1"/>
  <c r="BK402" i="25"/>
  <c r="BP402" i="25" s="1"/>
  <c r="BK403" i="25"/>
  <c r="BP403" i="25" s="1"/>
  <c r="BK404" i="25"/>
  <c r="BP404" i="25" s="1"/>
  <c r="BK405" i="25"/>
  <c r="BK406" i="25"/>
  <c r="BK407" i="25"/>
  <c r="BP407" i="25" s="1"/>
  <c r="BK408" i="25"/>
  <c r="BP408" i="25" s="1"/>
  <c r="BK409" i="25"/>
  <c r="BP409" i="25" s="1"/>
  <c r="BL389" i="25"/>
  <c r="BL390" i="25"/>
  <c r="BL391" i="25"/>
  <c r="BL392" i="25"/>
  <c r="BL393" i="25"/>
  <c r="BL394" i="25"/>
  <c r="BL395" i="25"/>
  <c r="BL396" i="25"/>
  <c r="BL397" i="25"/>
  <c r="BL398" i="25"/>
  <c r="BL399" i="25"/>
  <c r="BL400" i="25"/>
  <c r="BL401" i="25"/>
  <c r="BL402" i="25"/>
  <c r="BL403" i="25"/>
  <c r="BL404" i="25"/>
  <c r="BL405" i="25"/>
  <c r="BL406" i="25"/>
  <c r="BL407" i="25"/>
  <c r="BL408" i="25"/>
  <c r="BL409" i="25"/>
  <c r="BP399" i="25"/>
  <c r="BQ389" i="25"/>
  <c r="BQ390" i="25"/>
  <c r="BQ391" i="25"/>
  <c r="BQ392" i="25"/>
  <c r="BQ393" i="25"/>
  <c r="BQ394" i="25"/>
  <c r="BQ395" i="25"/>
  <c r="BQ396" i="25"/>
  <c r="BQ397" i="25"/>
  <c r="BQ398" i="25"/>
  <c r="BQ399" i="25"/>
  <c r="BQ400" i="25"/>
  <c r="BQ401" i="25"/>
  <c r="BQ402" i="25"/>
  <c r="BQ403" i="25"/>
  <c r="BQ404" i="25"/>
  <c r="BQ405" i="25"/>
  <c r="BQ406" i="25"/>
  <c r="BQ407" i="25"/>
  <c r="BQ408" i="25"/>
  <c r="BQ409" i="25"/>
  <c r="BR389" i="25"/>
  <c r="BR390" i="25"/>
  <c r="BR391" i="25"/>
  <c r="BR392" i="25"/>
  <c r="BR393" i="25"/>
  <c r="BR394" i="25"/>
  <c r="BR395" i="25"/>
  <c r="BR396" i="25"/>
  <c r="BR397" i="25"/>
  <c r="BR398" i="25"/>
  <c r="BR399" i="25"/>
  <c r="BR400" i="25"/>
  <c r="BR401" i="25"/>
  <c r="BR402" i="25"/>
  <c r="BR403" i="25"/>
  <c r="BR404" i="25"/>
  <c r="BR405" i="25"/>
  <c r="BR406" i="25"/>
  <c r="BR407" i="25"/>
  <c r="BR408" i="25"/>
  <c r="BR409" i="25"/>
  <c r="BT389" i="25"/>
  <c r="BT390" i="25"/>
  <c r="BT391" i="25"/>
  <c r="BT392" i="25"/>
  <c r="BT393" i="25"/>
  <c r="BT394" i="25"/>
  <c r="BT395" i="25"/>
  <c r="BT396" i="25"/>
  <c r="BT397" i="25"/>
  <c r="BT398" i="25"/>
  <c r="BT399" i="25"/>
  <c r="BT400" i="25"/>
  <c r="BT401" i="25"/>
  <c r="BT402" i="25"/>
  <c r="BT403" i="25"/>
  <c r="BT404" i="25"/>
  <c r="BT405" i="25"/>
  <c r="BT406" i="25"/>
  <c r="BT407" i="25"/>
  <c r="BT408" i="25"/>
  <c r="BT409" i="25"/>
  <c r="BU389" i="25"/>
  <c r="BU390" i="25"/>
  <c r="BU391" i="25"/>
  <c r="BU392" i="25"/>
  <c r="BU393" i="25"/>
  <c r="BU394" i="25"/>
  <c r="BU395" i="25"/>
  <c r="BU396" i="25"/>
  <c r="BU397" i="25"/>
  <c r="BU398" i="25"/>
  <c r="BU399" i="25"/>
  <c r="BU400" i="25"/>
  <c r="BU401" i="25"/>
  <c r="BU402" i="25"/>
  <c r="BU403" i="25"/>
  <c r="BU404" i="25"/>
  <c r="BU405" i="25"/>
  <c r="BU406" i="25"/>
  <c r="BU407" i="25"/>
  <c r="BU408" i="25"/>
  <c r="BU409" i="25"/>
  <c r="BV389" i="25"/>
  <c r="BV390" i="25"/>
  <c r="BV391" i="25"/>
  <c r="BV392" i="25"/>
  <c r="BV393" i="25"/>
  <c r="BV394" i="25"/>
  <c r="BV395" i="25"/>
  <c r="BV396" i="25"/>
  <c r="BV397" i="25"/>
  <c r="BV398" i="25"/>
  <c r="BV399" i="25"/>
  <c r="BV400" i="25"/>
  <c r="BV401" i="25"/>
  <c r="BV402" i="25"/>
  <c r="BV403" i="25"/>
  <c r="BV404" i="25"/>
  <c r="BV405" i="25"/>
  <c r="BV406" i="25"/>
  <c r="BV407" i="25"/>
  <c r="BV408" i="25"/>
  <c r="BV409" i="25"/>
  <c r="BW389" i="25"/>
  <c r="BW390" i="25"/>
  <c r="BW391" i="25"/>
  <c r="BW392" i="25"/>
  <c r="BW393" i="25"/>
  <c r="BW394" i="25"/>
  <c r="BW395" i="25"/>
  <c r="BW396" i="25"/>
  <c r="BW397" i="25"/>
  <c r="BW398" i="25"/>
  <c r="BW399" i="25"/>
  <c r="BW400" i="25"/>
  <c r="BW401" i="25"/>
  <c r="BW402" i="25"/>
  <c r="BW403" i="25"/>
  <c r="BW404" i="25"/>
  <c r="BW405" i="25"/>
  <c r="BW406" i="25"/>
  <c r="BW407" i="25"/>
  <c r="BW408" i="25"/>
  <c r="BW409" i="25"/>
  <c r="BX389" i="25"/>
  <c r="BX390" i="25"/>
  <c r="BX391" i="25"/>
  <c r="BX392" i="25"/>
  <c r="BX393" i="25"/>
  <c r="BX394" i="25"/>
  <c r="BX395" i="25"/>
  <c r="BX396" i="25"/>
  <c r="BX397" i="25"/>
  <c r="BX398" i="25"/>
  <c r="BX399" i="25"/>
  <c r="BX400" i="25"/>
  <c r="BX401" i="25"/>
  <c r="BX402" i="25"/>
  <c r="BX403" i="25"/>
  <c r="BX404" i="25"/>
  <c r="BX405" i="25"/>
  <c r="BX406" i="25"/>
  <c r="BX407" i="25"/>
  <c r="BX408" i="25"/>
  <c r="BX409" i="25"/>
  <c r="BY389" i="25"/>
  <c r="BY390" i="25"/>
  <c r="BY391" i="25"/>
  <c r="BY392" i="25"/>
  <c r="BY393" i="25"/>
  <c r="BY394" i="25"/>
  <c r="BY395" i="25"/>
  <c r="BY396" i="25"/>
  <c r="BY397" i="25"/>
  <c r="BY398" i="25"/>
  <c r="BY399" i="25"/>
  <c r="BY400" i="25"/>
  <c r="BY401" i="25"/>
  <c r="BY402" i="25"/>
  <c r="BY403" i="25"/>
  <c r="BY404" i="25"/>
  <c r="BY405" i="25"/>
  <c r="BY406" i="25"/>
  <c r="BY407" i="25"/>
  <c r="BY408" i="25"/>
  <c r="BY409" i="25"/>
  <c r="BZ389" i="25"/>
  <c r="BZ390" i="25"/>
  <c r="BZ391" i="25"/>
  <c r="BZ392" i="25"/>
  <c r="BZ393" i="25"/>
  <c r="BZ394" i="25"/>
  <c r="BZ395" i="25"/>
  <c r="BZ396" i="25"/>
  <c r="BZ397" i="25"/>
  <c r="BZ398" i="25"/>
  <c r="BZ399" i="25"/>
  <c r="BZ400" i="25"/>
  <c r="BZ401" i="25"/>
  <c r="BZ402" i="25"/>
  <c r="BZ403" i="25"/>
  <c r="BZ404" i="25"/>
  <c r="BZ405" i="25"/>
  <c r="BZ406" i="25"/>
  <c r="BZ407" i="25"/>
  <c r="BZ408" i="25"/>
  <c r="BZ409" i="25"/>
  <c r="CA389" i="25"/>
  <c r="CA390" i="25"/>
  <c r="CA391" i="25"/>
  <c r="CA392" i="25"/>
  <c r="CA393" i="25"/>
  <c r="CA394" i="25"/>
  <c r="CA395" i="25"/>
  <c r="CA396" i="25"/>
  <c r="CA397" i="25"/>
  <c r="CA398" i="25"/>
  <c r="CA399" i="25"/>
  <c r="CA400" i="25"/>
  <c r="CA401" i="25"/>
  <c r="CA402" i="25"/>
  <c r="CA403" i="25"/>
  <c r="CA404" i="25"/>
  <c r="CA405" i="25"/>
  <c r="CA406" i="25"/>
  <c r="CA407" i="25"/>
  <c r="CA408" i="25"/>
  <c r="CA409"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30" i="89"/>
  <c r="G16" i="89"/>
  <c r="BS409" i="25" l="1"/>
  <c r="BM409" i="25" s="1"/>
  <c r="BN409" i="25" s="1"/>
  <c r="BO409" i="25" s="1"/>
  <c r="AX399" i="25"/>
  <c r="BA399" i="25" s="1"/>
  <c r="BB399" i="25" s="1"/>
  <c r="BF406" i="25"/>
  <c r="BJ395" i="25"/>
  <c r="AX389" i="25"/>
  <c r="BA389" i="25" s="1"/>
  <c r="BB389" i="25" s="1"/>
  <c r="BS402" i="25"/>
  <c r="BM402" i="25" s="1"/>
  <c r="BN402" i="25" s="1"/>
  <c r="BO402" i="25" s="1"/>
  <c r="BS394" i="25"/>
  <c r="BM394" i="25" s="1"/>
  <c r="BN394" i="25" s="1"/>
  <c r="BO394" i="25" s="1"/>
  <c r="BJ392" i="25"/>
  <c r="AX407" i="25"/>
  <c r="BA407" i="25" s="1"/>
  <c r="BB407" i="25" s="1"/>
  <c r="AY395" i="25"/>
  <c r="AZ395" i="25" s="1"/>
  <c r="BC395" i="25" s="1"/>
  <c r="AX404" i="25"/>
  <c r="BA404" i="25" s="1"/>
  <c r="BB404" i="25" s="1"/>
  <c r="BF408" i="25"/>
  <c r="AX391" i="25"/>
  <c r="BA391" i="25" s="1"/>
  <c r="BB391" i="25" s="1"/>
  <c r="BS406" i="25"/>
  <c r="BM406" i="25" s="1"/>
  <c r="BN406" i="25" s="1"/>
  <c r="BO406" i="25" s="1"/>
  <c r="BS398" i="25"/>
  <c r="BM398" i="25" s="1"/>
  <c r="BN398" i="25" s="1"/>
  <c r="BO398" i="25" s="1"/>
  <c r="BS390" i="25"/>
  <c r="BM390" i="25" s="1"/>
  <c r="BN390" i="25" s="1"/>
  <c r="BO390" i="25" s="1"/>
  <c r="BF400" i="25"/>
  <c r="AW399" i="25"/>
  <c r="AY399" i="25" s="1"/>
  <c r="AZ399" i="25" s="1"/>
  <c r="BC399" i="25" s="1"/>
  <c r="AY407" i="25"/>
  <c r="AZ407" i="25" s="1"/>
  <c r="BC407" i="25" s="1"/>
  <c r="BS405" i="25"/>
  <c r="BM405" i="25" s="1"/>
  <c r="BN405" i="25" s="1"/>
  <c r="BO405" i="25" s="1"/>
  <c r="BS397" i="25"/>
  <c r="BM397" i="25" s="1"/>
  <c r="BN397" i="25" s="1"/>
  <c r="BO397" i="25" s="1"/>
  <c r="BS389" i="25"/>
  <c r="BM389" i="25" s="1"/>
  <c r="BN389" i="25" s="1"/>
  <c r="BO389" i="25" s="1"/>
  <c r="BS404" i="25"/>
  <c r="BM404" i="25" s="1"/>
  <c r="BN404" i="25" s="1"/>
  <c r="BO404" i="25" s="1"/>
  <c r="BS396" i="25"/>
  <c r="BM396" i="25" s="1"/>
  <c r="BN396" i="25" s="1"/>
  <c r="BO396" i="25" s="1"/>
  <c r="AX402" i="25"/>
  <c r="BA402" i="25" s="1"/>
  <c r="BB402" i="25" s="1"/>
  <c r="AY403" i="25"/>
  <c r="AZ403" i="25" s="1"/>
  <c r="BC403" i="25" s="1"/>
  <c r="BF397" i="25"/>
  <c r="AX397" i="25"/>
  <c r="BA397" i="25" s="1"/>
  <c r="BB397" i="25" s="1"/>
  <c r="AY390" i="25"/>
  <c r="AZ390" i="25" s="1"/>
  <c r="BC390" i="25" s="1"/>
  <c r="AY394" i="25"/>
  <c r="AZ394" i="25" s="1"/>
  <c r="BC394" i="25" s="1"/>
  <c r="AX396" i="25"/>
  <c r="BA396" i="25" s="1"/>
  <c r="BB396" i="25" s="1"/>
  <c r="BJ405" i="25"/>
  <c r="BF389" i="25"/>
  <c r="AW389" i="25"/>
  <c r="AY389" i="25" s="1"/>
  <c r="AZ389" i="25" s="1"/>
  <c r="BC389" i="25" s="1"/>
  <c r="BS401" i="25"/>
  <c r="BM401" i="25" s="1"/>
  <c r="BN401" i="25" s="1"/>
  <c r="BO401" i="25" s="1"/>
  <c r="BS393" i="25"/>
  <c r="BM393" i="25" s="1"/>
  <c r="BN393" i="25" s="1"/>
  <c r="BO393" i="25" s="1"/>
  <c r="AX409" i="25"/>
  <c r="BA409" i="25" s="1"/>
  <c r="BB409" i="25" s="1"/>
  <c r="AX401" i="25"/>
  <c r="BA401" i="25" s="1"/>
  <c r="BB401" i="25" s="1"/>
  <c r="AX393" i="25"/>
  <c r="BA393" i="25" s="1"/>
  <c r="BB393" i="25" s="1"/>
  <c r="BJ398" i="25"/>
  <c r="AY391" i="25"/>
  <c r="AZ391" i="25" s="1"/>
  <c r="BC391" i="25" s="1"/>
  <c r="AY397" i="25"/>
  <c r="AZ397" i="25" s="1"/>
  <c r="BC397" i="25" s="1"/>
  <c r="BP397" i="25"/>
  <c r="BF407" i="25"/>
  <c r="BF394" i="25"/>
  <c r="AX394" i="25"/>
  <c r="BA394" i="25" s="1"/>
  <c r="BB394" i="25" s="1"/>
  <c r="BF391" i="25"/>
  <c r="AY396" i="25"/>
  <c r="AZ396" i="25" s="1"/>
  <c r="BC396" i="25" s="1"/>
  <c r="AY402" i="25"/>
  <c r="AZ402" i="25" s="1"/>
  <c r="BC402" i="25" s="1"/>
  <c r="BP405" i="25"/>
  <c r="BF402" i="25"/>
  <c r="BF390" i="25"/>
  <c r="AX405" i="25"/>
  <c r="BA405" i="25" s="1"/>
  <c r="BB405" i="25" s="1"/>
  <c r="AY392" i="25"/>
  <c r="AZ392" i="25" s="1"/>
  <c r="BC392" i="25" s="1"/>
  <c r="BS403" i="25"/>
  <c r="BM403" i="25" s="1"/>
  <c r="BN403" i="25" s="1"/>
  <c r="BO403" i="25" s="1"/>
  <c r="BS395" i="25"/>
  <c r="BM395" i="25" s="1"/>
  <c r="BN395" i="25" s="1"/>
  <c r="BO395" i="25" s="1"/>
  <c r="BS408" i="25"/>
  <c r="BM408" i="25" s="1"/>
  <c r="BN408" i="25" s="1"/>
  <c r="BO408" i="25" s="1"/>
  <c r="BS400" i="25"/>
  <c r="BM400" i="25" s="1"/>
  <c r="BN400" i="25" s="1"/>
  <c r="BO400" i="25" s="1"/>
  <c r="BS392" i="25"/>
  <c r="BM392" i="25" s="1"/>
  <c r="BN392" i="25" s="1"/>
  <c r="BO392" i="25" s="1"/>
  <c r="BP389" i="25"/>
  <c r="BJ403" i="25"/>
  <c r="BF399" i="25"/>
  <c r="AY404" i="25"/>
  <c r="AZ404" i="25" s="1"/>
  <c r="BC404" i="25" s="1"/>
  <c r="BS407" i="25"/>
  <c r="BM407" i="25" s="1"/>
  <c r="BN407" i="25" s="1"/>
  <c r="BO407" i="25" s="1"/>
  <c r="BS399" i="25"/>
  <c r="BM399" i="25" s="1"/>
  <c r="BN399" i="25" s="1"/>
  <c r="BO399" i="25" s="1"/>
  <c r="BS391" i="25"/>
  <c r="BM391" i="25" s="1"/>
  <c r="BN391" i="25" s="1"/>
  <c r="BO391" i="25" s="1"/>
  <c r="AX403" i="25"/>
  <c r="BA403" i="25" s="1"/>
  <c r="BB403" i="25" s="1"/>
  <c r="AX395" i="25"/>
  <c r="BA395" i="25" s="1"/>
  <c r="BB395" i="25" s="1"/>
  <c r="AY398" i="25"/>
  <c r="AZ398" i="25" s="1"/>
  <c r="BC398" i="25" s="1"/>
  <c r="AY408" i="25"/>
  <c r="AZ408" i="25" s="1"/>
  <c r="BC408" i="25" s="1"/>
  <c r="AY400" i="25"/>
  <c r="AZ400" i="25" s="1"/>
  <c r="BC400" i="25" s="1"/>
  <c r="AY406" i="25"/>
  <c r="AZ406" i="25" s="1"/>
  <c r="BC406" i="25" s="1"/>
  <c r="AY405" i="25"/>
  <c r="AZ405" i="25" s="1"/>
  <c r="BC405" i="25" s="1"/>
  <c r="BP406" i="25"/>
  <c r="BP398" i="25"/>
  <c r="BP390" i="25"/>
  <c r="BJ404" i="25"/>
  <c r="BJ396" i="25"/>
  <c r="AX408" i="25"/>
  <c r="BA408" i="25" s="1"/>
  <c r="BB408" i="25" s="1"/>
  <c r="AX400" i="25"/>
  <c r="BA400" i="25" s="1"/>
  <c r="BB400" i="25" s="1"/>
  <c r="AX392" i="25"/>
  <c r="BA392" i="25" s="1"/>
  <c r="BB392" i="25" s="1"/>
  <c r="AX406" i="25"/>
  <c r="BA406" i="25" s="1"/>
  <c r="BB406" i="25" s="1"/>
  <c r="AX398" i="25"/>
  <c r="BA398" i="25" s="1"/>
  <c r="BB398" i="25" s="1"/>
  <c r="AX390" i="25"/>
  <c r="BA390" i="25" s="1"/>
  <c r="BB390" i="25" s="1"/>
  <c r="BJ409" i="25"/>
  <c r="BJ401" i="25"/>
  <c r="BJ393" i="25"/>
  <c r="AW409" i="25"/>
  <c r="AY409" i="25" s="1"/>
  <c r="AZ409" i="25" s="1"/>
  <c r="BC409" i="25" s="1"/>
  <c r="AW401" i="25"/>
  <c r="AY401" i="25" s="1"/>
  <c r="AZ401" i="25" s="1"/>
  <c r="BC401" i="25" s="1"/>
  <c r="AW393" i="25"/>
  <c r="AY393" i="25" s="1"/>
  <c r="AZ393" i="25" s="1"/>
  <c r="BC393" i="25" s="1"/>
  <c r="G369" i="25" l="1"/>
  <c r="G370" i="25"/>
  <c r="G371" i="25"/>
  <c r="G372" i="25"/>
  <c r="G373" i="25"/>
  <c r="G374" i="25"/>
  <c r="G375" i="25"/>
  <c r="G376" i="25"/>
  <c r="G377" i="25"/>
  <c r="G378" i="25"/>
  <c r="G379" i="25"/>
  <c r="G380" i="25"/>
  <c r="G381" i="25"/>
  <c r="G382" i="25"/>
  <c r="G383" i="25"/>
  <c r="G384" i="25"/>
  <c r="G385" i="25"/>
  <c r="G386" i="25"/>
  <c r="G387" i="25"/>
  <c r="G388" i="25"/>
  <c r="AT369" i="25"/>
  <c r="AU369" i="25" s="1"/>
  <c r="AT370" i="25"/>
  <c r="AU370" i="25" s="1"/>
  <c r="AT371" i="25"/>
  <c r="AU371" i="25" s="1"/>
  <c r="AT372" i="25"/>
  <c r="AU372" i="25" s="1"/>
  <c r="AT373" i="25"/>
  <c r="AU373" i="25" s="1"/>
  <c r="AT374" i="25"/>
  <c r="AU374" i="25" s="1"/>
  <c r="AT375" i="25"/>
  <c r="AU375" i="25" s="1"/>
  <c r="AT376" i="25"/>
  <c r="AU376" i="25" s="1"/>
  <c r="AT377" i="25"/>
  <c r="AU377" i="25" s="1"/>
  <c r="AT378" i="25"/>
  <c r="AT379" i="25"/>
  <c r="AU379" i="25" s="1"/>
  <c r="AT380" i="25"/>
  <c r="AU380" i="25" s="1"/>
  <c r="AT381" i="25"/>
  <c r="AU381" i="25" s="1"/>
  <c r="AT382" i="25"/>
  <c r="AU382" i="25" s="1"/>
  <c r="AT383" i="25"/>
  <c r="AU383" i="25" s="1"/>
  <c r="AT384" i="25"/>
  <c r="AU384" i="25" s="1"/>
  <c r="AT385" i="25"/>
  <c r="AU385" i="25" s="1"/>
  <c r="AT386" i="25"/>
  <c r="AT387" i="25"/>
  <c r="AU387" i="25" s="1"/>
  <c r="AT388" i="25"/>
  <c r="AU388" i="25" s="1"/>
  <c r="AV369" i="25"/>
  <c r="AW369" i="25" s="1"/>
  <c r="AV370" i="25"/>
  <c r="AW370" i="25" s="1"/>
  <c r="AV371" i="25"/>
  <c r="AW371" i="25" s="1"/>
  <c r="AV372" i="25"/>
  <c r="AW372" i="25" s="1"/>
  <c r="AV373" i="25"/>
  <c r="AW373" i="25" s="1"/>
  <c r="AV374" i="25"/>
  <c r="AW374" i="25" s="1"/>
  <c r="AV375" i="25"/>
  <c r="AW375" i="25" s="1"/>
  <c r="AV376" i="25"/>
  <c r="AW376" i="25" s="1"/>
  <c r="AV377" i="25"/>
  <c r="AW377" i="25" s="1"/>
  <c r="AV378" i="25"/>
  <c r="AW378" i="25" s="1"/>
  <c r="AV379" i="25"/>
  <c r="AW379" i="25" s="1"/>
  <c r="AV380" i="25"/>
  <c r="AW380" i="25" s="1"/>
  <c r="AV381" i="25"/>
  <c r="AW381" i="25" s="1"/>
  <c r="AV382" i="25"/>
  <c r="AW382" i="25" s="1"/>
  <c r="AV383" i="25"/>
  <c r="AW383" i="25" s="1"/>
  <c r="AV384" i="25"/>
  <c r="AW384" i="25" s="1"/>
  <c r="AV385" i="25"/>
  <c r="AW385" i="25" s="1"/>
  <c r="AV386" i="25"/>
  <c r="AW386" i="25" s="1"/>
  <c r="AV387" i="25"/>
  <c r="AV388" i="25"/>
  <c r="BD369" i="25"/>
  <c r="BD370" i="25"/>
  <c r="BD371" i="25"/>
  <c r="BD372" i="25"/>
  <c r="BD373" i="25"/>
  <c r="BD374" i="25"/>
  <c r="BD375" i="25"/>
  <c r="BD376" i="25"/>
  <c r="BD377" i="25"/>
  <c r="BD378" i="25"/>
  <c r="BD379" i="25"/>
  <c r="BD380" i="25"/>
  <c r="BD381" i="25"/>
  <c r="BD382" i="25"/>
  <c r="BD383" i="25"/>
  <c r="BD384" i="25"/>
  <c r="BD385" i="25"/>
  <c r="BD386" i="25"/>
  <c r="BD387" i="25"/>
  <c r="BD388" i="25"/>
  <c r="BE369" i="25"/>
  <c r="BF369" i="25" s="1"/>
  <c r="BE370" i="25"/>
  <c r="BF370" i="25" s="1"/>
  <c r="BE371" i="25"/>
  <c r="BF371" i="25" s="1"/>
  <c r="BE372" i="25"/>
  <c r="BF372" i="25" s="1"/>
  <c r="BE373" i="25"/>
  <c r="BF373" i="25" s="1"/>
  <c r="BE374" i="25"/>
  <c r="BJ374" i="25" s="1"/>
  <c r="BE375" i="25"/>
  <c r="BJ375" i="25" s="1"/>
  <c r="BE376" i="25"/>
  <c r="BF376" i="25" s="1"/>
  <c r="BE377" i="25"/>
  <c r="BF377" i="25" s="1"/>
  <c r="BE378" i="25"/>
  <c r="BF378" i="25" s="1"/>
  <c r="BE379" i="25"/>
  <c r="BF379" i="25" s="1"/>
  <c r="BE380" i="25"/>
  <c r="BF380" i="25" s="1"/>
  <c r="BE381" i="25"/>
  <c r="BF381" i="25" s="1"/>
  <c r="BE382" i="25"/>
  <c r="BF382" i="25" s="1"/>
  <c r="BE383" i="25"/>
  <c r="BF383" i="25" s="1"/>
  <c r="BE384" i="25"/>
  <c r="BF384" i="25" s="1"/>
  <c r="BE385" i="25"/>
  <c r="BJ385" i="25" s="1"/>
  <c r="BE386" i="25"/>
  <c r="BF386" i="25" s="1"/>
  <c r="BE387" i="25"/>
  <c r="BF387" i="25" s="1"/>
  <c r="BE388" i="25"/>
  <c r="BF388" i="25" s="1"/>
  <c r="BG369" i="25"/>
  <c r="BG370" i="25"/>
  <c r="BG371" i="25"/>
  <c r="BG372" i="25"/>
  <c r="BG373" i="25"/>
  <c r="BG374" i="25"/>
  <c r="BG375" i="25"/>
  <c r="BG376" i="25"/>
  <c r="BG377" i="25"/>
  <c r="BG378" i="25"/>
  <c r="BG379" i="25"/>
  <c r="BG380" i="25"/>
  <c r="BG381" i="25"/>
  <c r="BG382" i="25"/>
  <c r="BG383" i="25"/>
  <c r="BG384" i="25"/>
  <c r="BG385" i="25"/>
  <c r="BG386" i="25"/>
  <c r="BG387" i="25"/>
  <c r="BG388" i="25"/>
  <c r="BH369" i="25"/>
  <c r="BI369" i="25" s="1"/>
  <c r="BH370" i="25"/>
  <c r="BI370" i="25" s="1"/>
  <c r="BH371" i="25"/>
  <c r="BI371" i="25" s="1"/>
  <c r="BH372" i="25"/>
  <c r="BI372" i="25" s="1"/>
  <c r="BH373" i="25"/>
  <c r="BI373" i="25" s="1"/>
  <c r="BH374" i="25"/>
  <c r="BI374" i="25" s="1"/>
  <c r="BH375" i="25"/>
  <c r="BI375" i="25" s="1"/>
  <c r="BH376" i="25"/>
  <c r="BI376" i="25" s="1"/>
  <c r="BH377" i="25"/>
  <c r="BI377" i="25" s="1"/>
  <c r="BH378" i="25"/>
  <c r="BI378" i="25" s="1"/>
  <c r="BH379" i="25"/>
  <c r="BI379" i="25" s="1"/>
  <c r="BH380" i="25"/>
  <c r="BI380" i="25" s="1"/>
  <c r="BH381" i="25"/>
  <c r="BI381" i="25" s="1"/>
  <c r="BH382" i="25"/>
  <c r="BI382" i="25" s="1"/>
  <c r="BH383" i="25"/>
  <c r="BI383" i="25" s="1"/>
  <c r="BH384" i="25"/>
  <c r="BI384" i="25" s="1"/>
  <c r="BH385" i="25"/>
  <c r="BI385" i="25" s="1"/>
  <c r="BH386" i="25"/>
  <c r="BI386" i="25" s="1"/>
  <c r="BH387" i="25"/>
  <c r="BI387" i="25" s="1"/>
  <c r="BH388" i="25"/>
  <c r="BI388" i="25" s="1"/>
  <c r="BK369" i="25"/>
  <c r="BK370" i="25"/>
  <c r="BP370" i="25" s="1"/>
  <c r="BK371" i="25"/>
  <c r="BP371" i="25" s="1"/>
  <c r="BK372" i="25"/>
  <c r="BP372" i="25" s="1"/>
  <c r="BK373" i="25"/>
  <c r="BP373" i="25" s="1"/>
  <c r="BK374" i="25"/>
  <c r="BP374" i="25" s="1"/>
  <c r="BK375" i="25"/>
  <c r="BP375" i="25" s="1"/>
  <c r="BK376" i="25"/>
  <c r="BP376" i="25" s="1"/>
  <c r="BK377" i="25"/>
  <c r="BP377" i="25" s="1"/>
  <c r="BK378" i="25"/>
  <c r="BP378" i="25" s="1"/>
  <c r="BK379" i="25"/>
  <c r="BP379" i="25" s="1"/>
  <c r="BK380" i="25"/>
  <c r="BP380" i="25" s="1"/>
  <c r="BK381" i="25"/>
  <c r="BP381" i="25" s="1"/>
  <c r="BK382" i="25"/>
  <c r="BP382" i="25" s="1"/>
  <c r="BK383" i="25"/>
  <c r="BP383" i="25" s="1"/>
  <c r="BK384" i="25"/>
  <c r="BP384" i="25" s="1"/>
  <c r="BK385" i="25"/>
  <c r="BP385" i="25" s="1"/>
  <c r="BK386" i="25"/>
  <c r="BP386" i="25" s="1"/>
  <c r="BK387" i="25"/>
  <c r="BP387" i="25" s="1"/>
  <c r="BK388" i="25"/>
  <c r="BP388" i="25" s="1"/>
  <c r="BL369" i="25"/>
  <c r="BL370" i="25"/>
  <c r="BL371" i="25"/>
  <c r="BL372" i="25"/>
  <c r="BL373" i="25"/>
  <c r="BL374" i="25"/>
  <c r="BL375" i="25"/>
  <c r="BL376" i="25"/>
  <c r="BL377" i="25"/>
  <c r="BL378" i="25"/>
  <c r="BL379" i="25"/>
  <c r="BL380" i="25"/>
  <c r="BL381" i="25"/>
  <c r="BL382" i="25"/>
  <c r="BL383" i="25"/>
  <c r="BL384" i="25"/>
  <c r="BL385" i="25"/>
  <c r="BL386" i="25"/>
  <c r="BL387" i="25"/>
  <c r="BL388" i="25"/>
  <c r="BP369" i="25"/>
  <c r="BQ369" i="25"/>
  <c r="BQ370" i="25"/>
  <c r="BQ371" i="25"/>
  <c r="BQ372" i="25"/>
  <c r="BQ373" i="25"/>
  <c r="BQ374" i="25"/>
  <c r="BQ375" i="25"/>
  <c r="BQ376" i="25"/>
  <c r="BQ377" i="25"/>
  <c r="BQ378" i="25"/>
  <c r="BQ379" i="25"/>
  <c r="BQ380" i="25"/>
  <c r="BQ381" i="25"/>
  <c r="BQ382" i="25"/>
  <c r="BQ383" i="25"/>
  <c r="BQ384" i="25"/>
  <c r="BQ385" i="25"/>
  <c r="BQ386" i="25"/>
  <c r="BQ387" i="25"/>
  <c r="BQ388" i="25"/>
  <c r="BR369" i="25"/>
  <c r="BR370" i="25"/>
  <c r="BR371" i="25"/>
  <c r="BR372" i="25"/>
  <c r="BR373" i="25"/>
  <c r="BR374" i="25"/>
  <c r="BR375" i="25"/>
  <c r="BR376" i="25"/>
  <c r="BR377" i="25"/>
  <c r="BR378" i="25"/>
  <c r="BR379" i="25"/>
  <c r="BR380" i="25"/>
  <c r="BR381" i="25"/>
  <c r="BR382" i="25"/>
  <c r="BR383" i="25"/>
  <c r="BR384" i="25"/>
  <c r="BR385" i="25"/>
  <c r="BR386" i="25"/>
  <c r="BR387" i="25"/>
  <c r="BR388" i="25"/>
  <c r="BT369" i="25"/>
  <c r="BT370" i="25"/>
  <c r="BT371" i="25"/>
  <c r="BT372" i="25"/>
  <c r="BT373" i="25"/>
  <c r="BT374" i="25"/>
  <c r="BT375" i="25"/>
  <c r="BT376" i="25"/>
  <c r="BT377" i="25"/>
  <c r="BT378" i="25"/>
  <c r="BT379" i="25"/>
  <c r="BT380" i="25"/>
  <c r="BT381" i="25"/>
  <c r="BT382" i="25"/>
  <c r="BT383" i="25"/>
  <c r="BT384" i="25"/>
  <c r="BT385" i="25"/>
  <c r="BT386" i="25"/>
  <c r="BT387" i="25"/>
  <c r="BT388" i="25"/>
  <c r="BU369" i="25"/>
  <c r="BU370" i="25"/>
  <c r="BU371" i="25"/>
  <c r="BU372" i="25"/>
  <c r="BU373" i="25"/>
  <c r="BU374" i="25"/>
  <c r="BU375" i="25"/>
  <c r="BU376" i="25"/>
  <c r="BU377" i="25"/>
  <c r="BU378" i="25"/>
  <c r="BU379" i="25"/>
  <c r="BU380" i="25"/>
  <c r="BU381" i="25"/>
  <c r="BU382" i="25"/>
  <c r="BU383" i="25"/>
  <c r="BU384" i="25"/>
  <c r="BU385" i="25"/>
  <c r="BU386" i="25"/>
  <c r="BU387" i="25"/>
  <c r="BU388" i="25"/>
  <c r="BV369" i="25"/>
  <c r="BV370" i="25"/>
  <c r="BV371" i="25"/>
  <c r="BV372" i="25"/>
  <c r="BV373" i="25"/>
  <c r="BV374" i="25"/>
  <c r="BV375" i="25"/>
  <c r="BV376" i="25"/>
  <c r="BV377" i="25"/>
  <c r="BV378" i="25"/>
  <c r="BV379" i="25"/>
  <c r="BV380" i="25"/>
  <c r="BV381" i="25"/>
  <c r="BV382" i="25"/>
  <c r="BV383" i="25"/>
  <c r="BV384" i="25"/>
  <c r="BV385" i="25"/>
  <c r="BV386" i="25"/>
  <c r="BV387" i="25"/>
  <c r="BV388" i="25"/>
  <c r="BW369" i="25"/>
  <c r="BW370" i="25"/>
  <c r="BW371" i="25"/>
  <c r="BW372" i="25"/>
  <c r="BW373" i="25"/>
  <c r="BW374" i="25"/>
  <c r="BW375" i="25"/>
  <c r="BW376" i="25"/>
  <c r="BW377" i="25"/>
  <c r="BW378" i="25"/>
  <c r="BW379" i="25"/>
  <c r="BW380" i="25"/>
  <c r="BW381" i="25"/>
  <c r="BW382" i="25"/>
  <c r="BW383" i="25"/>
  <c r="BW384" i="25"/>
  <c r="BW385" i="25"/>
  <c r="BW386" i="25"/>
  <c r="BW387" i="25"/>
  <c r="BW388" i="25"/>
  <c r="BX369" i="25"/>
  <c r="BX370" i="25"/>
  <c r="BX371" i="25"/>
  <c r="BX372" i="25"/>
  <c r="BX373" i="25"/>
  <c r="BX374" i="25"/>
  <c r="BX375" i="25"/>
  <c r="BX376" i="25"/>
  <c r="BX377" i="25"/>
  <c r="BX378" i="25"/>
  <c r="BX379" i="25"/>
  <c r="BX380" i="25"/>
  <c r="BX381" i="25"/>
  <c r="BX382" i="25"/>
  <c r="BX383" i="25"/>
  <c r="BX384" i="25"/>
  <c r="BX385" i="25"/>
  <c r="BX386" i="25"/>
  <c r="BX387" i="25"/>
  <c r="BX388" i="25"/>
  <c r="BY369" i="25"/>
  <c r="BY370" i="25"/>
  <c r="BY371" i="25"/>
  <c r="BY372" i="25"/>
  <c r="BY373" i="25"/>
  <c r="BY374" i="25"/>
  <c r="BY375" i="25"/>
  <c r="BY376" i="25"/>
  <c r="BY377" i="25"/>
  <c r="BY378" i="25"/>
  <c r="BY379" i="25"/>
  <c r="BY380" i="25"/>
  <c r="BY381" i="25"/>
  <c r="BY382" i="25"/>
  <c r="BY383" i="25"/>
  <c r="BY384" i="25"/>
  <c r="BY385" i="25"/>
  <c r="BY386" i="25"/>
  <c r="BY387" i="25"/>
  <c r="BY388" i="25"/>
  <c r="BZ369" i="25"/>
  <c r="BZ370" i="25"/>
  <c r="BZ371" i="25"/>
  <c r="BZ372" i="25"/>
  <c r="BZ373" i="25"/>
  <c r="BZ374" i="25"/>
  <c r="BZ375" i="25"/>
  <c r="BZ376" i="25"/>
  <c r="BZ377" i="25"/>
  <c r="BZ378" i="25"/>
  <c r="BZ379" i="25"/>
  <c r="BZ380" i="25"/>
  <c r="BZ381" i="25"/>
  <c r="BZ382" i="25"/>
  <c r="BZ383" i="25"/>
  <c r="BZ384" i="25"/>
  <c r="BZ385" i="25"/>
  <c r="BZ386" i="25"/>
  <c r="BZ387" i="25"/>
  <c r="BZ388" i="25"/>
  <c r="CA369" i="25"/>
  <c r="CA370" i="25"/>
  <c r="CA371" i="25"/>
  <c r="CA372" i="25"/>
  <c r="CA373" i="25"/>
  <c r="CA374" i="25"/>
  <c r="CA375" i="25"/>
  <c r="CA376" i="25"/>
  <c r="CA377" i="25"/>
  <c r="CA378" i="25"/>
  <c r="CA379" i="25"/>
  <c r="CA380" i="25"/>
  <c r="CA381" i="25"/>
  <c r="CA382" i="25"/>
  <c r="CA383" i="25"/>
  <c r="CA384" i="25"/>
  <c r="CA385" i="25"/>
  <c r="CA386" i="25"/>
  <c r="CA387" i="25"/>
  <c r="CA388" i="25"/>
  <c r="AY376" i="25" l="1"/>
  <c r="AZ376" i="25" s="1"/>
  <c r="BC376" i="25" s="1"/>
  <c r="BF375" i="25"/>
  <c r="BJ377" i="25"/>
  <c r="BS385" i="25"/>
  <c r="BM385" i="25" s="1"/>
  <c r="BN385" i="25" s="1"/>
  <c r="BO385" i="25" s="1"/>
  <c r="BS377" i="25"/>
  <c r="BM377" i="25" s="1"/>
  <c r="BN377" i="25" s="1"/>
  <c r="BO377" i="25" s="1"/>
  <c r="BS369" i="25"/>
  <c r="BM369" i="25" s="1"/>
  <c r="BN369" i="25" s="1"/>
  <c r="BO369" i="25" s="1"/>
  <c r="BJ369" i="25"/>
  <c r="BF385" i="25"/>
  <c r="BS386" i="25"/>
  <c r="BM386" i="25" s="1"/>
  <c r="BN386" i="25" s="1"/>
  <c r="BO386" i="25" s="1"/>
  <c r="AX384" i="25"/>
  <c r="BA384" i="25" s="1"/>
  <c r="BB384" i="25" s="1"/>
  <c r="AX387" i="25"/>
  <c r="BA387" i="25" s="1"/>
  <c r="BB387" i="25" s="1"/>
  <c r="BF374" i="25"/>
  <c r="AX382" i="25"/>
  <c r="BA382" i="25" s="1"/>
  <c r="BB382" i="25" s="1"/>
  <c r="BS384" i="25"/>
  <c r="BM384" i="25" s="1"/>
  <c r="BN384" i="25" s="1"/>
  <c r="BO384" i="25" s="1"/>
  <c r="BS376" i="25"/>
  <c r="BM376" i="25" s="1"/>
  <c r="BN376" i="25" s="1"/>
  <c r="BO376" i="25" s="1"/>
  <c r="BS388" i="25"/>
  <c r="BM388" i="25" s="1"/>
  <c r="BN388" i="25" s="1"/>
  <c r="BO388" i="25" s="1"/>
  <c r="BS380" i="25"/>
  <c r="BM380" i="25" s="1"/>
  <c r="BN380" i="25" s="1"/>
  <c r="BO380" i="25" s="1"/>
  <c r="BS372" i="25"/>
  <c r="BM372" i="25" s="1"/>
  <c r="BN372" i="25" s="1"/>
  <c r="BO372" i="25" s="1"/>
  <c r="BJ383" i="25"/>
  <c r="AX379" i="25"/>
  <c r="BA379" i="25" s="1"/>
  <c r="BB379" i="25" s="1"/>
  <c r="AY371" i="25"/>
  <c r="AZ371" i="25" s="1"/>
  <c r="BC371" i="25" s="1"/>
  <c r="BS387" i="25"/>
  <c r="BM387" i="25" s="1"/>
  <c r="BN387" i="25" s="1"/>
  <c r="BO387" i="25" s="1"/>
  <c r="BJ380" i="25"/>
  <c r="AX371" i="25"/>
  <c r="BA371" i="25" s="1"/>
  <c r="BB371" i="25" s="1"/>
  <c r="AX376" i="25"/>
  <c r="BA376" i="25" s="1"/>
  <c r="BB376" i="25" s="1"/>
  <c r="BS382" i="25"/>
  <c r="BM382" i="25" s="1"/>
  <c r="BN382" i="25" s="1"/>
  <c r="BO382" i="25" s="1"/>
  <c r="BS374" i="25"/>
  <c r="BM374" i="25" s="1"/>
  <c r="BN374" i="25" s="1"/>
  <c r="BO374" i="25" s="1"/>
  <c r="BS378" i="25"/>
  <c r="BM378" i="25" s="1"/>
  <c r="BN378" i="25" s="1"/>
  <c r="BO378" i="25" s="1"/>
  <c r="BS370" i="25"/>
  <c r="BM370" i="25" s="1"/>
  <c r="BN370" i="25" s="1"/>
  <c r="BO370" i="25" s="1"/>
  <c r="AW387" i="25"/>
  <c r="AY387" i="25" s="1"/>
  <c r="AZ387" i="25" s="1"/>
  <c r="BC387" i="25" s="1"/>
  <c r="BJ373" i="25"/>
  <c r="BJ376" i="25"/>
  <c r="AX374" i="25"/>
  <c r="BA374" i="25" s="1"/>
  <c r="BB374" i="25" s="1"/>
  <c r="AX381" i="25"/>
  <c r="BA381" i="25" s="1"/>
  <c r="BB381" i="25" s="1"/>
  <c r="AX386" i="25"/>
  <c r="BA386" i="25" s="1"/>
  <c r="BB386" i="25" s="1"/>
  <c r="AX378" i="25"/>
  <c r="BA378" i="25" s="1"/>
  <c r="BB378" i="25" s="1"/>
  <c r="AY370" i="25"/>
  <c r="AZ370" i="25" s="1"/>
  <c r="BC370" i="25" s="1"/>
  <c r="BS371" i="25"/>
  <c r="BM371" i="25" s="1"/>
  <c r="BN371" i="25" s="1"/>
  <c r="BO371" i="25" s="1"/>
  <c r="AX372" i="25"/>
  <c r="BA372" i="25" s="1"/>
  <c r="BB372" i="25" s="1"/>
  <c r="AX388" i="25"/>
  <c r="BA388" i="25" s="1"/>
  <c r="BB388" i="25" s="1"/>
  <c r="AY380" i="25"/>
  <c r="AZ380" i="25" s="1"/>
  <c r="BC380" i="25" s="1"/>
  <c r="AY372" i="25"/>
  <c r="AZ372" i="25" s="1"/>
  <c r="BC372" i="25" s="1"/>
  <c r="BJ382" i="25"/>
  <c r="AY381" i="25"/>
  <c r="AZ381" i="25" s="1"/>
  <c r="BC381" i="25" s="1"/>
  <c r="AY384" i="25"/>
  <c r="AZ384" i="25" s="1"/>
  <c r="BC384" i="25" s="1"/>
  <c r="AY379" i="25"/>
  <c r="AZ379" i="25" s="1"/>
  <c r="BC379" i="25" s="1"/>
  <c r="BS381" i="25"/>
  <c r="BM381" i="25" s="1"/>
  <c r="BN381" i="25" s="1"/>
  <c r="BO381" i="25" s="1"/>
  <c r="BS373" i="25"/>
  <c r="BM373" i="25" s="1"/>
  <c r="BN373" i="25" s="1"/>
  <c r="BO373" i="25" s="1"/>
  <c r="BS383" i="25"/>
  <c r="BM383" i="25" s="1"/>
  <c r="BN383" i="25" s="1"/>
  <c r="BO383" i="25" s="1"/>
  <c r="BS375" i="25"/>
  <c r="BM375" i="25" s="1"/>
  <c r="BN375" i="25" s="1"/>
  <c r="BO375" i="25" s="1"/>
  <c r="BS379" i="25"/>
  <c r="BM379" i="25" s="1"/>
  <c r="BN379" i="25" s="1"/>
  <c r="BO379" i="25" s="1"/>
  <c r="AX383" i="25"/>
  <c r="BA383" i="25" s="1"/>
  <c r="BB383" i="25" s="1"/>
  <c r="AX370" i="25"/>
  <c r="BA370" i="25" s="1"/>
  <c r="BB370" i="25" s="1"/>
  <c r="AX380" i="25"/>
  <c r="BA380" i="25" s="1"/>
  <c r="BB380" i="25" s="1"/>
  <c r="AW388" i="25"/>
  <c r="AY388" i="25" s="1"/>
  <c r="AZ388" i="25" s="1"/>
  <c r="BC388" i="25" s="1"/>
  <c r="AY373" i="25"/>
  <c r="AZ373" i="25" s="1"/>
  <c r="BC373" i="25" s="1"/>
  <c r="AX375" i="25"/>
  <c r="BA375" i="25" s="1"/>
  <c r="BB375" i="25" s="1"/>
  <c r="AU378" i="25"/>
  <c r="AY378" i="25" s="1"/>
  <c r="AZ378" i="25" s="1"/>
  <c r="BC378" i="25" s="1"/>
  <c r="BJ388" i="25"/>
  <c r="AX373" i="25"/>
  <c r="BA373" i="25" s="1"/>
  <c r="BB373" i="25" s="1"/>
  <c r="AU386" i="25"/>
  <c r="AY386" i="25" s="1"/>
  <c r="AZ386" i="25" s="1"/>
  <c r="BC386" i="25" s="1"/>
  <c r="BJ384" i="25"/>
  <c r="BJ372" i="25"/>
  <c r="AX385" i="25"/>
  <c r="BA385" i="25" s="1"/>
  <c r="BB385" i="25" s="1"/>
  <c r="AX377" i="25"/>
  <c r="BA377" i="25" s="1"/>
  <c r="BB377" i="25" s="1"/>
  <c r="AX369" i="25"/>
  <c r="BA369" i="25" s="1"/>
  <c r="BB369" i="25" s="1"/>
  <c r="AY385" i="25"/>
  <c r="AZ385" i="25" s="1"/>
  <c r="BC385" i="25" s="1"/>
  <c r="AY377" i="25"/>
  <c r="AZ377" i="25" s="1"/>
  <c r="BC377" i="25" s="1"/>
  <c r="AY369" i="25"/>
  <c r="AZ369" i="25" s="1"/>
  <c r="BC369" i="25" s="1"/>
  <c r="AY383" i="25"/>
  <c r="AZ383" i="25" s="1"/>
  <c r="BC383" i="25" s="1"/>
  <c r="AY382" i="25"/>
  <c r="AZ382" i="25" s="1"/>
  <c r="BC382" i="25" s="1"/>
  <c r="AY374" i="25"/>
  <c r="AZ374" i="25" s="1"/>
  <c r="BC374" i="25" s="1"/>
  <c r="AY375" i="25"/>
  <c r="AZ375" i="25" s="1"/>
  <c r="BC375" i="25" s="1"/>
  <c r="BJ381" i="25"/>
  <c r="BJ387" i="25"/>
  <c r="BJ379" i="25"/>
  <c r="BJ371" i="25"/>
  <c r="BJ386" i="25"/>
  <c r="BJ378" i="25"/>
  <c r="BJ370" i="25"/>
  <c r="G250" i="25" l="1"/>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AT352" i="25"/>
  <c r="AU352" i="25" s="1"/>
  <c r="AT353" i="25"/>
  <c r="AU353" i="25" s="1"/>
  <c r="AT354" i="25"/>
  <c r="AU354" i="25" s="1"/>
  <c r="AT355" i="25"/>
  <c r="AU355" i="25" s="1"/>
  <c r="AT356" i="25"/>
  <c r="AU356" i="25" s="1"/>
  <c r="AT357" i="25"/>
  <c r="AU357" i="25" s="1"/>
  <c r="AT358" i="25"/>
  <c r="AU358" i="25" s="1"/>
  <c r="AT359" i="25"/>
  <c r="AU359" i="25" s="1"/>
  <c r="AT360" i="25"/>
  <c r="AU360" i="25" s="1"/>
  <c r="AT361" i="25"/>
  <c r="AU361" i="25" s="1"/>
  <c r="AT362" i="25"/>
  <c r="AU362" i="25" s="1"/>
  <c r="AT363" i="25"/>
  <c r="AU363" i="25" s="1"/>
  <c r="AT364" i="25"/>
  <c r="AU364" i="25" s="1"/>
  <c r="AT365" i="25"/>
  <c r="AU365" i="25" s="1"/>
  <c r="AT366" i="25"/>
  <c r="AU366" i="25" s="1"/>
  <c r="AT367" i="25"/>
  <c r="AU367" i="25" s="1"/>
  <c r="AT368" i="25"/>
  <c r="AU368" i="25" s="1"/>
  <c r="AV352" i="25"/>
  <c r="AW352" i="25" s="1"/>
  <c r="AV353" i="25"/>
  <c r="AW353" i="25" s="1"/>
  <c r="AV354" i="25"/>
  <c r="AW354" i="25" s="1"/>
  <c r="AV355" i="25"/>
  <c r="AW355" i="25" s="1"/>
  <c r="AV356" i="25"/>
  <c r="AV357" i="25"/>
  <c r="AW357" i="25" s="1"/>
  <c r="AV358" i="25"/>
  <c r="AW358" i="25" s="1"/>
  <c r="AV359" i="25"/>
  <c r="AW359" i="25" s="1"/>
  <c r="AV360" i="25"/>
  <c r="AV361" i="25"/>
  <c r="AW361" i="25" s="1"/>
  <c r="AV362" i="25"/>
  <c r="AW362" i="25" s="1"/>
  <c r="AV363" i="25"/>
  <c r="AW363" i="25" s="1"/>
  <c r="AV364" i="25"/>
  <c r="AW364" i="25" s="1"/>
  <c r="AV365" i="25"/>
  <c r="AW365" i="25" s="1"/>
  <c r="AV366" i="25"/>
  <c r="AW366" i="25" s="1"/>
  <c r="AV367" i="25"/>
  <c r="AW367" i="25" s="1"/>
  <c r="AV368" i="25"/>
  <c r="AW368" i="25" s="1"/>
  <c r="BD352" i="25"/>
  <c r="BD353" i="25"/>
  <c r="BD354" i="25"/>
  <c r="BD355" i="25"/>
  <c r="BD356" i="25"/>
  <c r="BD357" i="25"/>
  <c r="BD358" i="25"/>
  <c r="BD359" i="25"/>
  <c r="BD360" i="25"/>
  <c r="BD361" i="25"/>
  <c r="BD362" i="25"/>
  <c r="BD363" i="25"/>
  <c r="BD364" i="25"/>
  <c r="BD365" i="25"/>
  <c r="BD366" i="25"/>
  <c r="BD367" i="25"/>
  <c r="BD368" i="25"/>
  <c r="BE352" i="25"/>
  <c r="BF352" i="25" s="1"/>
  <c r="BE353" i="25"/>
  <c r="BF353" i="25" s="1"/>
  <c r="BE354" i="25"/>
  <c r="BJ354" i="25" s="1"/>
  <c r="BE355" i="25"/>
  <c r="BJ355" i="25" s="1"/>
  <c r="BE356" i="25"/>
  <c r="BF356" i="25" s="1"/>
  <c r="BE357" i="25"/>
  <c r="BJ357" i="25" s="1"/>
  <c r="BE358" i="25"/>
  <c r="BF358" i="25" s="1"/>
  <c r="BE359" i="25"/>
  <c r="BF359" i="25" s="1"/>
  <c r="BE360" i="25"/>
  <c r="BF360" i="25" s="1"/>
  <c r="BE361" i="25"/>
  <c r="BF361" i="25" s="1"/>
  <c r="BE362" i="25"/>
  <c r="BF362" i="25" s="1"/>
  <c r="BE363" i="25"/>
  <c r="BF363" i="25" s="1"/>
  <c r="BE364" i="25"/>
  <c r="BF364" i="25" s="1"/>
  <c r="BE365" i="25"/>
  <c r="BF365" i="25" s="1"/>
  <c r="BE366" i="25"/>
  <c r="BJ366" i="25" s="1"/>
  <c r="BE367" i="25"/>
  <c r="BF367" i="25" s="1"/>
  <c r="BE368" i="25"/>
  <c r="BF368" i="25" s="1"/>
  <c r="BG352" i="25"/>
  <c r="BG353" i="25"/>
  <c r="BG354" i="25"/>
  <c r="BG355" i="25"/>
  <c r="BG356" i="25"/>
  <c r="BG357" i="25"/>
  <c r="BG358" i="25"/>
  <c r="BG359" i="25"/>
  <c r="BG360" i="25"/>
  <c r="BG361" i="25"/>
  <c r="BG362" i="25"/>
  <c r="BG363" i="25"/>
  <c r="BG364" i="25"/>
  <c r="BG365" i="25"/>
  <c r="BG366" i="25"/>
  <c r="BG367" i="25"/>
  <c r="BG368" i="25"/>
  <c r="BH352" i="25"/>
  <c r="BI352" i="25" s="1"/>
  <c r="BH353" i="25"/>
  <c r="BI353" i="25" s="1"/>
  <c r="BH354" i="25"/>
  <c r="BI354" i="25" s="1"/>
  <c r="BH355" i="25"/>
  <c r="BI355" i="25" s="1"/>
  <c r="BH356" i="25"/>
  <c r="BI356" i="25" s="1"/>
  <c r="BH357" i="25"/>
  <c r="BI357" i="25" s="1"/>
  <c r="BH358" i="25"/>
  <c r="BI358" i="25" s="1"/>
  <c r="BH359" i="25"/>
  <c r="BI359" i="25" s="1"/>
  <c r="BH360" i="25"/>
  <c r="BI360" i="25" s="1"/>
  <c r="BH361" i="25"/>
  <c r="BI361" i="25" s="1"/>
  <c r="BH362" i="25"/>
  <c r="BI362" i="25" s="1"/>
  <c r="BH363" i="25"/>
  <c r="BI363" i="25" s="1"/>
  <c r="BH364" i="25"/>
  <c r="BI364" i="25" s="1"/>
  <c r="BH365" i="25"/>
  <c r="BI365" i="25" s="1"/>
  <c r="BH366" i="25"/>
  <c r="BI366" i="25" s="1"/>
  <c r="BH367" i="25"/>
  <c r="BI367" i="25" s="1"/>
  <c r="BH368" i="25"/>
  <c r="BI368" i="25" s="1"/>
  <c r="BK352" i="25"/>
  <c r="BP352" i="25" s="1"/>
  <c r="BK353" i="25"/>
  <c r="BP353" i="25" s="1"/>
  <c r="BK354" i="25"/>
  <c r="BP354" i="25" s="1"/>
  <c r="BK355" i="25"/>
  <c r="BP355" i="25" s="1"/>
  <c r="BK356" i="25"/>
  <c r="BP356" i="25" s="1"/>
  <c r="BK357" i="25"/>
  <c r="BP357" i="25" s="1"/>
  <c r="BK358" i="25"/>
  <c r="BP358" i="25" s="1"/>
  <c r="BK359" i="25"/>
  <c r="BP359" i="25" s="1"/>
  <c r="BK360" i="25"/>
  <c r="BP360" i="25" s="1"/>
  <c r="BK361" i="25"/>
  <c r="BP361" i="25" s="1"/>
  <c r="BK362" i="25"/>
  <c r="BP362" i="25" s="1"/>
  <c r="BK363" i="25"/>
  <c r="BP363" i="25" s="1"/>
  <c r="BK364" i="25"/>
  <c r="BP364" i="25" s="1"/>
  <c r="BK365" i="25"/>
  <c r="BP365" i="25" s="1"/>
  <c r="BK366" i="25"/>
  <c r="BP366" i="25" s="1"/>
  <c r="BK367" i="25"/>
  <c r="BP367" i="25" s="1"/>
  <c r="BK368" i="25"/>
  <c r="BP368" i="25" s="1"/>
  <c r="BL352" i="25"/>
  <c r="BL353" i="25"/>
  <c r="BL354" i="25"/>
  <c r="BL355" i="25"/>
  <c r="BL356" i="25"/>
  <c r="BL357" i="25"/>
  <c r="BL358" i="25"/>
  <c r="BL359" i="25"/>
  <c r="BL360" i="25"/>
  <c r="BL361" i="25"/>
  <c r="BL362" i="25"/>
  <c r="BL363" i="25"/>
  <c r="BL364" i="25"/>
  <c r="BL365" i="25"/>
  <c r="BL366" i="25"/>
  <c r="BL367" i="25"/>
  <c r="BL368" i="25"/>
  <c r="BQ352" i="25"/>
  <c r="BQ353" i="25"/>
  <c r="BQ354" i="25"/>
  <c r="BQ355" i="25"/>
  <c r="BQ356" i="25"/>
  <c r="BQ357" i="25"/>
  <c r="BQ358" i="25"/>
  <c r="BQ359" i="25"/>
  <c r="BQ360" i="25"/>
  <c r="BQ361" i="25"/>
  <c r="BQ362" i="25"/>
  <c r="BQ363" i="25"/>
  <c r="BQ364" i="25"/>
  <c r="BQ365" i="25"/>
  <c r="BQ366" i="25"/>
  <c r="BQ367" i="25"/>
  <c r="BQ368" i="25"/>
  <c r="BR352" i="25"/>
  <c r="BR353" i="25"/>
  <c r="BR354" i="25"/>
  <c r="BR355" i="25"/>
  <c r="BR356" i="25"/>
  <c r="BR357" i="25"/>
  <c r="BR358" i="25"/>
  <c r="BR359" i="25"/>
  <c r="BR360" i="25"/>
  <c r="BR361" i="25"/>
  <c r="BR362" i="25"/>
  <c r="BR363" i="25"/>
  <c r="BR364" i="25"/>
  <c r="BR365" i="25"/>
  <c r="BR366" i="25"/>
  <c r="BR367" i="25"/>
  <c r="BR368" i="25"/>
  <c r="BT352" i="25"/>
  <c r="BT353" i="25"/>
  <c r="BT354" i="25"/>
  <c r="BT355" i="25"/>
  <c r="BT356" i="25"/>
  <c r="BT357" i="25"/>
  <c r="BT358" i="25"/>
  <c r="BT359" i="25"/>
  <c r="BT360" i="25"/>
  <c r="BT361" i="25"/>
  <c r="BT362" i="25"/>
  <c r="BT363" i="25"/>
  <c r="BT364" i="25"/>
  <c r="BT365" i="25"/>
  <c r="BT366" i="25"/>
  <c r="BT367" i="25"/>
  <c r="BT368" i="25"/>
  <c r="BU352" i="25"/>
  <c r="BU353" i="25"/>
  <c r="BU354" i="25"/>
  <c r="BU355" i="25"/>
  <c r="BU356" i="25"/>
  <c r="BU357" i="25"/>
  <c r="BU358" i="25"/>
  <c r="BU359" i="25"/>
  <c r="BU360" i="25"/>
  <c r="BU361" i="25"/>
  <c r="BU362" i="25"/>
  <c r="BU363" i="25"/>
  <c r="BU364" i="25"/>
  <c r="BU365" i="25"/>
  <c r="BU366" i="25"/>
  <c r="BU367" i="25"/>
  <c r="BU368" i="25"/>
  <c r="BV352" i="25"/>
  <c r="BV353" i="25"/>
  <c r="BV354" i="25"/>
  <c r="BV355" i="25"/>
  <c r="BV356" i="25"/>
  <c r="BV357" i="25"/>
  <c r="BV358" i="25"/>
  <c r="BV359" i="25"/>
  <c r="BV360" i="25"/>
  <c r="BV361" i="25"/>
  <c r="BV362" i="25"/>
  <c r="BV363" i="25"/>
  <c r="BV364" i="25"/>
  <c r="BV365" i="25"/>
  <c r="BV366" i="25"/>
  <c r="BV367" i="25"/>
  <c r="BV368" i="25"/>
  <c r="BW352" i="25"/>
  <c r="BW353" i="25"/>
  <c r="BW354" i="25"/>
  <c r="BW355" i="25"/>
  <c r="BW356" i="25"/>
  <c r="BW357" i="25"/>
  <c r="BW358" i="25"/>
  <c r="BW359" i="25"/>
  <c r="BW360" i="25"/>
  <c r="BW361" i="25"/>
  <c r="BW362" i="25"/>
  <c r="BW363" i="25"/>
  <c r="BW364" i="25"/>
  <c r="BW365" i="25"/>
  <c r="BW366" i="25"/>
  <c r="BW367" i="25"/>
  <c r="BW368" i="25"/>
  <c r="BX352" i="25"/>
  <c r="BX353" i="25"/>
  <c r="BX354" i="25"/>
  <c r="BX355" i="25"/>
  <c r="BX356" i="25"/>
  <c r="BX357" i="25"/>
  <c r="BX358" i="25"/>
  <c r="BX359" i="25"/>
  <c r="BX360" i="25"/>
  <c r="BX361" i="25"/>
  <c r="BX362" i="25"/>
  <c r="BX363" i="25"/>
  <c r="BX364" i="25"/>
  <c r="BX365" i="25"/>
  <c r="BX366" i="25"/>
  <c r="BX367" i="25"/>
  <c r="BX368" i="25"/>
  <c r="BY352" i="25"/>
  <c r="BY353" i="25"/>
  <c r="BY354" i="25"/>
  <c r="BY355" i="25"/>
  <c r="BY356" i="25"/>
  <c r="BY357" i="25"/>
  <c r="BY358" i="25"/>
  <c r="BY359" i="25"/>
  <c r="BY360" i="25"/>
  <c r="BY361" i="25"/>
  <c r="BY362" i="25"/>
  <c r="BY363" i="25"/>
  <c r="BY364" i="25"/>
  <c r="BY365" i="25"/>
  <c r="BY366" i="25"/>
  <c r="BY367" i="25"/>
  <c r="BY368" i="25"/>
  <c r="BZ352" i="25"/>
  <c r="BZ353" i="25"/>
  <c r="BZ354" i="25"/>
  <c r="BZ355" i="25"/>
  <c r="BZ356" i="25"/>
  <c r="BZ357" i="25"/>
  <c r="BZ358" i="25"/>
  <c r="BZ359" i="25"/>
  <c r="BZ360" i="25"/>
  <c r="BZ361" i="25"/>
  <c r="BZ362" i="25"/>
  <c r="BZ363" i="25"/>
  <c r="BZ364" i="25"/>
  <c r="BZ365" i="25"/>
  <c r="BZ366" i="25"/>
  <c r="BZ367" i="25"/>
  <c r="BZ368" i="25"/>
  <c r="CA352" i="25"/>
  <c r="CA353" i="25"/>
  <c r="CA354" i="25"/>
  <c r="CA355" i="25"/>
  <c r="CA356" i="25"/>
  <c r="CA357" i="25"/>
  <c r="CA358" i="25"/>
  <c r="CA359" i="25"/>
  <c r="CA360" i="25"/>
  <c r="CA361" i="25"/>
  <c r="CA362" i="25"/>
  <c r="CA363" i="25"/>
  <c r="CA364" i="25"/>
  <c r="CA365" i="25"/>
  <c r="CA366" i="25"/>
  <c r="CA367" i="25"/>
  <c r="CA368" i="25"/>
  <c r="G249" i="25"/>
  <c r="G248" i="25"/>
  <c r="G247" i="25"/>
  <c r="G246" i="25"/>
  <c r="G245" i="25"/>
  <c r="G244" i="25"/>
  <c r="G243" i="25"/>
  <c r="G180" i="25"/>
  <c r="AT243" i="25"/>
  <c r="AU243" i="25" s="1"/>
  <c r="AT244" i="25"/>
  <c r="AU244" i="25" s="1"/>
  <c r="AT245" i="25"/>
  <c r="AU245" i="25" s="1"/>
  <c r="AT246" i="25"/>
  <c r="AT247" i="25"/>
  <c r="AU247" i="25" s="1"/>
  <c r="AT248" i="25"/>
  <c r="AU248" i="25" s="1"/>
  <c r="AT249" i="25"/>
  <c r="AT250" i="25"/>
  <c r="AU250" i="25" s="1"/>
  <c r="AT251" i="25"/>
  <c r="AT252" i="25"/>
  <c r="AT253" i="25"/>
  <c r="AT254" i="25"/>
  <c r="AU254" i="25" s="1"/>
  <c r="AT255" i="25"/>
  <c r="AT256" i="25"/>
  <c r="AU256" i="25" s="1"/>
  <c r="AT257" i="25"/>
  <c r="AU257" i="25" s="1"/>
  <c r="AT258" i="25"/>
  <c r="AU258" i="25" s="1"/>
  <c r="AT259" i="25"/>
  <c r="AU259" i="25" s="1"/>
  <c r="AT260" i="25"/>
  <c r="AT261" i="25"/>
  <c r="AT262" i="25"/>
  <c r="AU262" i="25" s="1"/>
  <c r="AT263" i="25"/>
  <c r="AU263" i="25" s="1"/>
  <c r="AT264" i="25"/>
  <c r="AU264" i="25" s="1"/>
  <c r="AT265" i="25"/>
  <c r="AT266" i="25"/>
  <c r="AU266" i="25" s="1"/>
  <c r="AT267" i="25"/>
  <c r="AT268" i="25"/>
  <c r="AT269" i="25"/>
  <c r="AU269" i="25" s="1"/>
  <c r="AT270" i="25"/>
  <c r="AU270" i="25" s="1"/>
  <c r="AT271" i="25"/>
  <c r="AU271" i="25" s="1"/>
  <c r="AT272" i="25"/>
  <c r="AU272" i="25" s="1"/>
  <c r="AT273" i="25"/>
  <c r="AT274" i="25"/>
  <c r="AU274" i="25" s="1"/>
  <c r="AT275" i="25"/>
  <c r="AT276" i="25"/>
  <c r="AT277" i="25"/>
  <c r="AT278" i="25"/>
  <c r="AU278" i="25" s="1"/>
  <c r="AT279" i="25"/>
  <c r="AU279" i="25" s="1"/>
  <c r="AT280" i="25"/>
  <c r="AU280" i="25" s="1"/>
  <c r="AT281" i="25"/>
  <c r="AU281" i="25" s="1"/>
  <c r="AT282" i="25"/>
  <c r="AU282" i="25" s="1"/>
  <c r="AT283" i="25"/>
  <c r="AT284" i="25"/>
  <c r="AT285" i="25"/>
  <c r="AT286" i="25"/>
  <c r="AU286" i="25" s="1"/>
  <c r="AT287" i="25"/>
  <c r="AU287" i="25" s="1"/>
  <c r="AT288" i="25"/>
  <c r="AU288" i="25" s="1"/>
  <c r="AT289" i="25"/>
  <c r="AU289" i="25" s="1"/>
  <c r="AT290" i="25"/>
  <c r="AU290" i="25" s="1"/>
  <c r="AT291" i="25"/>
  <c r="AU291" i="25" s="1"/>
  <c r="AT292" i="25"/>
  <c r="AT293" i="25"/>
  <c r="AU293" i="25" s="1"/>
  <c r="AT294" i="25"/>
  <c r="AU294" i="25" s="1"/>
  <c r="AT295" i="25"/>
  <c r="AU295" i="25" s="1"/>
  <c r="AT296" i="25"/>
  <c r="AU296" i="25" s="1"/>
  <c r="AT297" i="25"/>
  <c r="AT298" i="25"/>
  <c r="AU298" i="25" s="1"/>
  <c r="AT299" i="25"/>
  <c r="AT300" i="25"/>
  <c r="AT301" i="25"/>
  <c r="AU301" i="25" s="1"/>
  <c r="AT302" i="25"/>
  <c r="AU302" i="25" s="1"/>
  <c r="AT303" i="25"/>
  <c r="AU303" i="25" s="1"/>
  <c r="AT304" i="25"/>
  <c r="AU304" i="25" s="1"/>
  <c r="AT305" i="25"/>
  <c r="AU305" i="25" s="1"/>
  <c r="AT306" i="25"/>
  <c r="AU306" i="25" s="1"/>
  <c r="AT307" i="25"/>
  <c r="AU307" i="25" s="1"/>
  <c r="AT308" i="25"/>
  <c r="AT309" i="25"/>
  <c r="AT310" i="25"/>
  <c r="AU310" i="25" s="1"/>
  <c r="AT311" i="25"/>
  <c r="AU311" i="25" s="1"/>
  <c r="AT312" i="25"/>
  <c r="AU312" i="25" s="1"/>
  <c r="AT313" i="25"/>
  <c r="AU313" i="25" s="1"/>
  <c r="AT314" i="25"/>
  <c r="AU314" i="25" s="1"/>
  <c r="AT315" i="25"/>
  <c r="AU315" i="25" s="1"/>
  <c r="AT316" i="25"/>
  <c r="AT317" i="25"/>
  <c r="AU317" i="25" s="1"/>
  <c r="AT318" i="25"/>
  <c r="AU318" i="25" s="1"/>
  <c r="AT319" i="25"/>
  <c r="AT320" i="25"/>
  <c r="AU320" i="25" s="1"/>
  <c r="AT321" i="25"/>
  <c r="AU321" i="25" s="1"/>
  <c r="AT322" i="25"/>
  <c r="AU322" i="25" s="1"/>
  <c r="AT323" i="25"/>
  <c r="AU323" i="25" s="1"/>
  <c r="AT324" i="25"/>
  <c r="AU324" i="25" s="1"/>
  <c r="AT325" i="25"/>
  <c r="AU325" i="25" s="1"/>
  <c r="AT326" i="25"/>
  <c r="AT327" i="25"/>
  <c r="AT328" i="25"/>
  <c r="AT337" i="25"/>
  <c r="AU337" i="25" s="1"/>
  <c r="AT331" i="25"/>
  <c r="AU331" i="25" s="1"/>
  <c r="AT330" i="25"/>
  <c r="AU330" i="25" s="1"/>
  <c r="AT334" i="25"/>
  <c r="AU334" i="25" s="1"/>
  <c r="AT336" i="25"/>
  <c r="AU336" i="25" s="1"/>
  <c r="AT333" i="25"/>
  <c r="AT332" i="25"/>
  <c r="AT335" i="25"/>
  <c r="AU335" i="25" s="1"/>
  <c r="AT329" i="25"/>
  <c r="AU329" i="25" s="1"/>
  <c r="AT338" i="25"/>
  <c r="AU338" i="25" s="1"/>
  <c r="AT339" i="25"/>
  <c r="AU339" i="25" s="1"/>
  <c r="AT340" i="25"/>
  <c r="AU340" i="25" s="1"/>
  <c r="AT341" i="25"/>
  <c r="AU341" i="25" s="1"/>
  <c r="AT342" i="25"/>
  <c r="AU342" i="25" s="1"/>
  <c r="AT343" i="25"/>
  <c r="AT344" i="25"/>
  <c r="AU344" i="25" s="1"/>
  <c r="AT345" i="25"/>
  <c r="AU345" i="25" s="1"/>
  <c r="AT346" i="25"/>
  <c r="AU346" i="25" s="1"/>
  <c r="AT347" i="25"/>
  <c r="AU347" i="25" s="1"/>
  <c r="AT348" i="25"/>
  <c r="AU348" i="25" s="1"/>
  <c r="AT349" i="25"/>
  <c r="AU349" i="25" s="1"/>
  <c r="AT350" i="25"/>
  <c r="AU350" i="25" s="1"/>
  <c r="AT351" i="25"/>
  <c r="AV243" i="25"/>
  <c r="AV244" i="25"/>
  <c r="AV245" i="25"/>
  <c r="AW245" i="25" s="1"/>
  <c r="AV246" i="25"/>
  <c r="AW246" i="25" s="1"/>
  <c r="AV247" i="25"/>
  <c r="AV248" i="25"/>
  <c r="AW248" i="25" s="1"/>
  <c r="AV249" i="25"/>
  <c r="AW249" i="25" s="1"/>
  <c r="AV250" i="25"/>
  <c r="AV251" i="25"/>
  <c r="AW251" i="25" s="1"/>
  <c r="AV252" i="25"/>
  <c r="AW252" i="25" s="1"/>
  <c r="AV253" i="25"/>
  <c r="AW253" i="25" s="1"/>
  <c r="AV254" i="25"/>
  <c r="AV255" i="25"/>
  <c r="AW255" i="25" s="1"/>
  <c r="AV256" i="25"/>
  <c r="AV257" i="25"/>
  <c r="AV258" i="25"/>
  <c r="AV259" i="25"/>
  <c r="AW259" i="25" s="1"/>
  <c r="AV260" i="25"/>
  <c r="AW260" i="25" s="1"/>
  <c r="AV261" i="25"/>
  <c r="AW261" i="25" s="1"/>
  <c r="AV262" i="25"/>
  <c r="AV263" i="25"/>
  <c r="AW263" i="25" s="1"/>
  <c r="AV264" i="25"/>
  <c r="AW264" i="25" s="1"/>
  <c r="AV265" i="25"/>
  <c r="AW265" i="25" s="1"/>
  <c r="AV266" i="25"/>
  <c r="AV267" i="25"/>
  <c r="AW267" i="25" s="1"/>
  <c r="AV268" i="25"/>
  <c r="AW268" i="25" s="1"/>
  <c r="AV269" i="25"/>
  <c r="AW269" i="25" s="1"/>
  <c r="AV270" i="25"/>
  <c r="AV271" i="25"/>
  <c r="AW271" i="25" s="1"/>
  <c r="AV272" i="25"/>
  <c r="AW272" i="25" s="1"/>
  <c r="AV273" i="25"/>
  <c r="AW273" i="25" s="1"/>
  <c r="AV274" i="25"/>
  <c r="AW274" i="25" s="1"/>
  <c r="AV275" i="25"/>
  <c r="AW275" i="25" s="1"/>
  <c r="AV276" i="25"/>
  <c r="AW276" i="25" s="1"/>
  <c r="AV277" i="25"/>
  <c r="AW277" i="25" s="1"/>
  <c r="AV278" i="25"/>
  <c r="AV279" i="25"/>
  <c r="AW279" i="25" s="1"/>
  <c r="AV280" i="25"/>
  <c r="AW280" i="25" s="1"/>
  <c r="AV281" i="25"/>
  <c r="AV282" i="25"/>
  <c r="AV283" i="25"/>
  <c r="AW283" i="25" s="1"/>
  <c r="AV284" i="25"/>
  <c r="AW284" i="25" s="1"/>
  <c r="AV285" i="25"/>
  <c r="AW285" i="25" s="1"/>
  <c r="AV286" i="25"/>
  <c r="AV287" i="25"/>
  <c r="AW287" i="25" s="1"/>
  <c r="AV288" i="25"/>
  <c r="AW288" i="25" s="1"/>
  <c r="AV289" i="25"/>
  <c r="AW289" i="25" s="1"/>
  <c r="AV290" i="25"/>
  <c r="AV291" i="25"/>
  <c r="AW291" i="25" s="1"/>
  <c r="AV292" i="25"/>
  <c r="AW292" i="25" s="1"/>
  <c r="AV293" i="25"/>
  <c r="AW293" i="25" s="1"/>
  <c r="AV294" i="25"/>
  <c r="AV295" i="25"/>
  <c r="AW295" i="25" s="1"/>
  <c r="AV296" i="25"/>
  <c r="AW296" i="25" s="1"/>
  <c r="AV297" i="25"/>
  <c r="AW297" i="25" s="1"/>
  <c r="AV298" i="25"/>
  <c r="AW298" i="25" s="1"/>
  <c r="AV299" i="25"/>
  <c r="AW299" i="25" s="1"/>
  <c r="AV300" i="25"/>
  <c r="AW300" i="25" s="1"/>
  <c r="AV301" i="25"/>
  <c r="AW301" i="25" s="1"/>
  <c r="AV302" i="25"/>
  <c r="AV303" i="25"/>
  <c r="AV304" i="25"/>
  <c r="AW304" i="25" s="1"/>
  <c r="AV305" i="25"/>
  <c r="AW305" i="25" s="1"/>
  <c r="AV306" i="25"/>
  <c r="AV307" i="25"/>
  <c r="AW307" i="25" s="1"/>
  <c r="AV308" i="25"/>
  <c r="AW308" i="25" s="1"/>
  <c r="AV309" i="25"/>
  <c r="AW309" i="25" s="1"/>
  <c r="AV310" i="25"/>
  <c r="AV311" i="25"/>
  <c r="AW311" i="25" s="1"/>
  <c r="AV312" i="25"/>
  <c r="AW312" i="25" s="1"/>
  <c r="AV313" i="25"/>
  <c r="AV314" i="25"/>
  <c r="AV315" i="25"/>
  <c r="AW315" i="25" s="1"/>
  <c r="AV316" i="25"/>
  <c r="AW316" i="25" s="1"/>
  <c r="AV317" i="25"/>
  <c r="AW317" i="25" s="1"/>
  <c r="AV318" i="25"/>
  <c r="AV319" i="25"/>
  <c r="AW319" i="25" s="1"/>
  <c r="AV320" i="25"/>
  <c r="AV321" i="25"/>
  <c r="AV322" i="25"/>
  <c r="AV323" i="25"/>
  <c r="AW323" i="25" s="1"/>
  <c r="AV324" i="25"/>
  <c r="AW324" i="25" s="1"/>
  <c r="AV325" i="25"/>
  <c r="AV326" i="25"/>
  <c r="AW326" i="25" s="1"/>
  <c r="AV327" i="25"/>
  <c r="AW327" i="25" s="1"/>
  <c r="AV328" i="25"/>
  <c r="AW328" i="25" s="1"/>
  <c r="AV337" i="25"/>
  <c r="AV331" i="25"/>
  <c r="AW331" i="25" s="1"/>
  <c r="AV330" i="25"/>
  <c r="AW330" i="25" s="1"/>
  <c r="AV334" i="25"/>
  <c r="AW334" i="25" s="1"/>
  <c r="AV336" i="25"/>
  <c r="AV333" i="25"/>
  <c r="AW333" i="25" s="1"/>
  <c r="AV332" i="25"/>
  <c r="AW332" i="25" s="1"/>
  <c r="AV335" i="25"/>
  <c r="AW335" i="25" s="1"/>
  <c r="AV329" i="25"/>
  <c r="AV338" i="25"/>
  <c r="AW338" i="25" s="1"/>
  <c r="AV339" i="25"/>
  <c r="AW339" i="25" s="1"/>
  <c r="AV340" i="25"/>
  <c r="AW340" i="25" s="1"/>
  <c r="AV341" i="25"/>
  <c r="AV342" i="25"/>
  <c r="AW342" i="25" s="1"/>
  <c r="AV343" i="25"/>
  <c r="AW343" i="25" s="1"/>
  <c r="AV344" i="25"/>
  <c r="AW344" i="25" s="1"/>
  <c r="AV345" i="25"/>
  <c r="AV346" i="25"/>
  <c r="AV347" i="25"/>
  <c r="AW347" i="25" s="1"/>
  <c r="AV348" i="25"/>
  <c r="AW348" i="25" s="1"/>
  <c r="AV349" i="25"/>
  <c r="AW349" i="25" s="1"/>
  <c r="AV350" i="25"/>
  <c r="AW350" i="25" s="1"/>
  <c r="AV351" i="25"/>
  <c r="AW351" i="25" s="1"/>
  <c r="BD243" i="25"/>
  <c r="BD244" i="25"/>
  <c r="BD245" i="25"/>
  <c r="BD246" i="25"/>
  <c r="BD247" i="25"/>
  <c r="BD248" i="25"/>
  <c r="BD249" i="25"/>
  <c r="BD250" i="25"/>
  <c r="BD251" i="25"/>
  <c r="BD252" i="25"/>
  <c r="BD253" i="25"/>
  <c r="BD254" i="25"/>
  <c r="BD255" i="25"/>
  <c r="BD256" i="25"/>
  <c r="BD257" i="25"/>
  <c r="BD258" i="25"/>
  <c r="BD259" i="25"/>
  <c r="BD260" i="25"/>
  <c r="BD261" i="25"/>
  <c r="BD262" i="25"/>
  <c r="BD263" i="25"/>
  <c r="BD264" i="25"/>
  <c r="BD265" i="25"/>
  <c r="BD266" i="25"/>
  <c r="BD267" i="25"/>
  <c r="BD268" i="25"/>
  <c r="BD269" i="25"/>
  <c r="BD270" i="25"/>
  <c r="BD271" i="25"/>
  <c r="BD272" i="25"/>
  <c r="BD273" i="25"/>
  <c r="BD274" i="25"/>
  <c r="BD275" i="25"/>
  <c r="BD276" i="25"/>
  <c r="BD277" i="25"/>
  <c r="BD278" i="25"/>
  <c r="BD279" i="25"/>
  <c r="BD280" i="25"/>
  <c r="BD281" i="25"/>
  <c r="BD282" i="25"/>
  <c r="BD283" i="25"/>
  <c r="BD284" i="25"/>
  <c r="BD285" i="25"/>
  <c r="BD286" i="25"/>
  <c r="BD287" i="25"/>
  <c r="BD288" i="25"/>
  <c r="BD289" i="25"/>
  <c r="BD290" i="25"/>
  <c r="BD291" i="25"/>
  <c r="BD292" i="25"/>
  <c r="BD293" i="25"/>
  <c r="BD294" i="25"/>
  <c r="BD295" i="25"/>
  <c r="BD296" i="25"/>
  <c r="BD297" i="25"/>
  <c r="BD298" i="25"/>
  <c r="BD299" i="25"/>
  <c r="BD300" i="25"/>
  <c r="BD301" i="25"/>
  <c r="BD302" i="25"/>
  <c r="BD303" i="25"/>
  <c r="BD304" i="25"/>
  <c r="BD305" i="25"/>
  <c r="BD306" i="25"/>
  <c r="BD307" i="25"/>
  <c r="BD308" i="25"/>
  <c r="BD309" i="25"/>
  <c r="BD310" i="25"/>
  <c r="BD311" i="25"/>
  <c r="BD312" i="25"/>
  <c r="BD313" i="25"/>
  <c r="BD314" i="25"/>
  <c r="BD315" i="25"/>
  <c r="BD316" i="25"/>
  <c r="BD317" i="25"/>
  <c r="BD318" i="25"/>
  <c r="BD319" i="25"/>
  <c r="BD320" i="25"/>
  <c r="BD321" i="25"/>
  <c r="BD322" i="25"/>
  <c r="BD323" i="25"/>
  <c r="BD324" i="25"/>
  <c r="BD325" i="25"/>
  <c r="BD326" i="25"/>
  <c r="BD327" i="25"/>
  <c r="BD328" i="25"/>
  <c r="BD337" i="25"/>
  <c r="BD331" i="25"/>
  <c r="BD330" i="25"/>
  <c r="BD334" i="25"/>
  <c r="BD336" i="25"/>
  <c r="BD333" i="25"/>
  <c r="BD332" i="25"/>
  <c r="BD335" i="25"/>
  <c r="BD329" i="25"/>
  <c r="BD338" i="25"/>
  <c r="BD339" i="25"/>
  <c r="BD340" i="25"/>
  <c r="BD341" i="25"/>
  <c r="BD342" i="25"/>
  <c r="BD343" i="25"/>
  <c r="BD344" i="25"/>
  <c r="BD345" i="25"/>
  <c r="BD346" i="25"/>
  <c r="BD347" i="25"/>
  <c r="BD348" i="25"/>
  <c r="BD349" i="25"/>
  <c r="BD350" i="25"/>
  <c r="BD351" i="25"/>
  <c r="BE243" i="25"/>
  <c r="BE244" i="25"/>
  <c r="BF244" i="25" s="1"/>
  <c r="BE245" i="25"/>
  <c r="BF245" i="25" s="1"/>
  <c r="BE246" i="25"/>
  <c r="BF246" i="25" s="1"/>
  <c r="BE247" i="25"/>
  <c r="BE248" i="25"/>
  <c r="BF248" i="25" s="1"/>
  <c r="BE249" i="25"/>
  <c r="BE250" i="25"/>
  <c r="BJ250" i="25" s="1"/>
  <c r="BE251" i="25"/>
  <c r="BF251" i="25" s="1"/>
  <c r="BE252" i="25"/>
  <c r="BE253" i="25"/>
  <c r="BF253" i="25" s="1"/>
  <c r="BE254" i="25"/>
  <c r="BE255" i="25"/>
  <c r="BF255" i="25" s="1"/>
  <c r="BE256" i="25"/>
  <c r="BF256" i="25" s="1"/>
  <c r="BE257" i="25"/>
  <c r="BJ257" i="25" s="1"/>
  <c r="BE258" i="25"/>
  <c r="BJ258" i="25" s="1"/>
  <c r="BE259" i="25"/>
  <c r="BF259" i="25" s="1"/>
  <c r="BE260" i="25"/>
  <c r="BJ260" i="25" s="1"/>
  <c r="BE261" i="25"/>
  <c r="BF261" i="25" s="1"/>
  <c r="BE262" i="25"/>
  <c r="BE263" i="25"/>
  <c r="BF263" i="25" s="1"/>
  <c r="BE264" i="25"/>
  <c r="BJ264" i="25" s="1"/>
  <c r="BE265" i="25"/>
  <c r="BJ265" i="25" s="1"/>
  <c r="BE266" i="25"/>
  <c r="BJ266" i="25" s="1"/>
  <c r="BE267" i="25"/>
  <c r="BJ267" i="25" s="1"/>
  <c r="BE268" i="25"/>
  <c r="BJ268" i="25" s="1"/>
  <c r="BE269" i="25"/>
  <c r="BF269" i="25" s="1"/>
  <c r="BE270" i="25"/>
  <c r="BE271" i="25"/>
  <c r="BF271" i="25" s="1"/>
  <c r="BE272" i="25"/>
  <c r="BJ272" i="25" s="1"/>
  <c r="BE273" i="25"/>
  <c r="BJ273" i="25" s="1"/>
  <c r="BE274" i="25"/>
  <c r="BE275" i="25"/>
  <c r="BJ275" i="25" s="1"/>
  <c r="BE276" i="25"/>
  <c r="BJ276" i="25" s="1"/>
  <c r="BE277" i="25"/>
  <c r="BF277" i="25" s="1"/>
  <c r="BE278" i="25"/>
  <c r="BJ278" i="25" s="1"/>
  <c r="BE279" i="25"/>
  <c r="BF279" i="25" s="1"/>
  <c r="BE280" i="25"/>
  <c r="BF280" i="25" s="1"/>
  <c r="BE281" i="25"/>
  <c r="BJ281" i="25" s="1"/>
  <c r="BE282" i="25"/>
  <c r="BJ282" i="25" s="1"/>
  <c r="BE283" i="25"/>
  <c r="BF283" i="25" s="1"/>
  <c r="BE284" i="25"/>
  <c r="BE285" i="25"/>
  <c r="BJ285" i="25" s="1"/>
  <c r="BE286" i="25"/>
  <c r="BJ286" i="25" s="1"/>
  <c r="BE287" i="25"/>
  <c r="BF287" i="25" s="1"/>
  <c r="BE288" i="25"/>
  <c r="BF288" i="25" s="1"/>
  <c r="BE289" i="25"/>
  <c r="BF289" i="25" s="1"/>
  <c r="BE290" i="25"/>
  <c r="BE291" i="25"/>
  <c r="BJ291" i="25" s="1"/>
  <c r="BE292" i="25"/>
  <c r="BE293" i="25"/>
  <c r="BF293" i="25" s="1"/>
  <c r="BE294" i="25"/>
  <c r="BE295" i="25"/>
  <c r="BF295" i="25" s="1"/>
  <c r="BE296" i="25"/>
  <c r="BJ296" i="25" s="1"/>
  <c r="BE297" i="25"/>
  <c r="BJ297" i="25" s="1"/>
  <c r="BE298" i="25"/>
  <c r="BE299" i="25"/>
  <c r="BF299" i="25" s="1"/>
  <c r="BE300" i="25"/>
  <c r="BJ300" i="25" s="1"/>
  <c r="BE301" i="25"/>
  <c r="BJ301" i="25" s="1"/>
  <c r="BE302" i="25"/>
  <c r="BE303" i="25"/>
  <c r="BF303" i="25" s="1"/>
  <c r="BE304" i="25"/>
  <c r="BF304" i="25" s="1"/>
  <c r="BE305" i="25"/>
  <c r="BF305" i="25" s="1"/>
  <c r="BE306" i="25"/>
  <c r="BE307" i="25"/>
  <c r="BF307" i="25" s="1"/>
  <c r="BE308" i="25"/>
  <c r="BJ308" i="25" s="1"/>
  <c r="BE309" i="25"/>
  <c r="BF309" i="25" s="1"/>
  <c r="BE310" i="25"/>
  <c r="BE311" i="25"/>
  <c r="BF311" i="25" s="1"/>
  <c r="BE312" i="25"/>
  <c r="BF312" i="25" s="1"/>
  <c r="BE313" i="25"/>
  <c r="BF313" i="25" s="1"/>
  <c r="BE314" i="25"/>
  <c r="BE315" i="25"/>
  <c r="BF315" i="25" s="1"/>
  <c r="BE316" i="25"/>
  <c r="BE317" i="25"/>
  <c r="BF317" i="25" s="1"/>
  <c r="BE318" i="25"/>
  <c r="BE319" i="25"/>
  <c r="BF319" i="25" s="1"/>
  <c r="BE320" i="25"/>
  <c r="BF320" i="25" s="1"/>
  <c r="BE321" i="25"/>
  <c r="BJ321" i="25" s="1"/>
  <c r="BE322" i="25"/>
  <c r="BF322" i="25" s="1"/>
  <c r="BE323" i="25"/>
  <c r="BF323" i="25" s="1"/>
  <c r="BE324" i="25"/>
  <c r="BF324" i="25" s="1"/>
  <c r="BE325" i="25"/>
  <c r="BE326" i="25"/>
  <c r="BJ326" i="25" s="1"/>
  <c r="BE327" i="25"/>
  <c r="BE328" i="25"/>
  <c r="BF328" i="25" s="1"/>
  <c r="BE337" i="25"/>
  <c r="BE331" i="25"/>
  <c r="BF331" i="25" s="1"/>
  <c r="BE330" i="25"/>
  <c r="BJ330" i="25" s="1"/>
  <c r="BE334" i="25"/>
  <c r="BJ334" i="25" s="1"/>
  <c r="BE336" i="25"/>
  <c r="BJ336" i="25" s="1"/>
  <c r="BE333" i="25"/>
  <c r="BJ333" i="25" s="1"/>
  <c r="BE332" i="25"/>
  <c r="BE335" i="25"/>
  <c r="BJ335" i="25" s="1"/>
  <c r="BE329" i="25"/>
  <c r="BE338" i="25"/>
  <c r="BF338" i="25" s="1"/>
  <c r="BE339" i="25"/>
  <c r="BF339" i="25" s="1"/>
  <c r="BE340" i="25"/>
  <c r="BF340" i="25" s="1"/>
  <c r="BE341" i="25"/>
  <c r="BE342" i="25"/>
  <c r="BF342" i="25" s="1"/>
  <c r="BE343" i="25"/>
  <c r="BE344" i="25"/>
  <c r="BF344" i="25" s="1"/>
  <c r="BE345" i="25"/>
  <c r="BE346" i="25"/>
  <c r="BF346" i="25" s="1"/>
  <c r="BE347" i="25"/>
  <c r="BF347" i="25" s="1"/>
  <c r="BE348" i="25"/>
  <c r="BF348" i="25" s="1"/>
  <c r="BE349" i="25"/>
  <c r="BE350" i="25"/>
  <c r="BF350" i="25" s="1"/>
  <c r="BE351" i="25"/>
  <c r="BG243" i="25"/>
  <c r="BG244" i="25"/>
  <c r="BG245" i="25"/>
  <c r="BG246" i="25"/>
  <c r="BG247" i="25"/>
  <c r="BG248" i="25"/>
  <c r="BG249" i="25"/>
  <c r="BG250" i="25"/>
  <c r="BG251" i="25"/>
  <c r="BG252" i="25"/>
  <c r="BG253" i="25"/>
  <c r="BG254" i="25"/>
  <c r="BG255" i="25"/>
  <c r="BG256" i="25"/>
  <c r="BG257" i="25"/>
  <c r="BG258" i="25"/>
  <c r="BG259" i="25"/>
  <c r="BG260" i="25"/>
  <c r="BG261" i="25"/>
  <c r="BG262" i="25"/>
  <c r="BG263" i="25"/>
  <c r="BG264" i="25"/>
  <c r="BG265" i="25"/>
  <c r="BG266" i="25"/>
  <c r="BG267" i="25"/>
  <c r="BG268" i="25"/>
  <c r="BG269" i="25"/>
  <c r="BG270" i="25"/>
  <c r="BG271" i="25"/>
  <c r="BG272" i="25"/>
  <c r="BG273" i="25"/>
  <c r="BG274" i="25"/>
  <c r="BG275" i="25"/>
  <c r="BG276" i="25"/>
  <c r="BG277" i="25"/>
  <c r="BG278" i="25"/>
  <c r="BG279" i="25"/>
  <c r="BG280" i="25"/>
  <c r="BG281" i="25"/>
  <c r="BG282" i="25"/>
  <c r="BG283" i="25"/>
  <c r="BG284" i="25"/>
  <c r="BG285" i="25"/>
  <c r="BG286" i="25"/>
  <c r="BG287" i="25"/>
  <c r="BG288" i="25"/>
  <c r="BG289" i="25"/>
  <c r="BG290" i="25"/>
  <c r="BG291" i="25"/>
  <c r="BG292" i="25"/>
  <c r="BG293" i="25"/>
  <c r="BG294" i="25"/>
  <c r="BG295" i="25"/>
  <c r="BG296" i="25"/>
  <c r="BG297" i="25"/>
  <c r="BG298" i="25"/>
  <c r="BG299" i="25"/>
  <c r="BG300" i="25"/>
  <c r="BG301" i="25"/>
  <c r="BG302" i="25"/>
  <c r="BG303" i="25"/>
  <c r="BG304" i="25"/>
  <c r="BG305" i="25"/>
  <c r="BG306" i="25"/>
  <c r="BG307" i="25"/>
  <c r="BG308" i="25"/>
  <c r="BG309" i="25"/>
  <c r="BG310" i="25"/>
  <c r="BG311" i="25"/>
  <c r="BG312" i="25"/>
  <c r="BG313" i="25"/>
  <c r="BG314" i="25"/>
  <c r="BG315" i="25"/>
  <c r="BG316" i="25"/>
  <c r="BG317" i="25"/>
  <c r="BG318" i="25"/>
  <c r="BG319" i="25"/>
  <c r="BG320" i="25"/>
  <c r="BG321" i="25"/>
  <c r="BG322" i="25"/>
  <c r="BG323" i="25"/>
  <c r="BG324" i="25"/>
  <c r="BG325" i="25"/>
  <c r="BG326" i="25"/>
  <c r="BG327" i="25"/>
  <c r="BG328" i="25"/>
  <c r="BG337" i="25"/>
  <c r="BG331" i="25"/>
  <c r="BG330" i="25"/>
  <c r="BG334" i="25"/>
  <c r="BG336" i="25"/>
  <c r="BG333" i="25"/>
  <c r="BG332" i="25"/>
  <c r="BG335" i="25"/>
  <c r="BG329" i="25"/>
  <c r="BG338" i="25"/>
  <c r="BG339" i="25"/>
  <c r="BG340" i="25"/>
  <c r="BG341" i="25"/>
  <c r="BG342" i="25"/>
  <c r="BG343" i="25"/>
  <c r="BG344" i="25"/>
  <c r="BG345" i="25"/>
  <c r="BG346" i="25"/>
  <c r="BG347" i="25"/>
  <c r="BG348" i="25"/>
  <c r="BG349" i="25"/>
  <c r="BG350" i="25"/>
  <c r="BG351" i="25"/>
  <c r="BH243" i="25"/>
  <c r="BI243" i="25" s="1"/>
  <c r="BH244" i="25"/>
  <c r="BI244" i="25" s="1"/>
  <c r="BH245" i="25"/>
  <c r="BI245" i="25" s="1"/>
  <c r="BH246" i="25"/>
  <c r="BI246" i="25" s="1"/>
  <c r="BH247" i="25"/>
  <c r="BI247" i="25" s="1"/>
  <c r="BH248" i="25"/>
  <c r="BI248" i="25" s="1"/>
  <c r="BH249" i="25"/>
  <c r="BI249" i="25" s="1"/>
  <c r="BH250" i="25"/>
  <c r="BI250" i="25" s="1"/>
  <c r="BH251" i="25"/>
  <c r="BI251" i="25" s="1"/>
  <c r="BH252" i="25"/>
  <c r="BI252" i="25" s="1"/>
  <c r="BH253" i="25"/>
  <c r="BI253" i="25" s="1"/>
  <c r="BH254" i="25"/>
  <c r="BI254" i="25" s="1"/>
  <c r="BH255" i="25"/>
  <c r="BI255" i="25" s="1"/>
  <c r="BH256" i="25"/>
  <c r="BI256" i="25" s="1"/>
  <c r="BH257" i="25"/>
  <c r="BI257" i="25" s="1"/>
  <c r="BH258" i="25"/>
  <c r="BI258" i="25" s="1"/>
  <c r="BH259" i="25"/>
  <c r="BI259" i="25" s="1"/>
  <c r="BH260" i="25"/>
  <c r="BI260" i="25" s="1"/>
  <c r="BH261" i="25"/>
  <c r="BI261" i="25" s="1"/>
  <c r="BH262" i="25"/>
  <c r="BI262" i="25" s="1"/>
  <c r="BH263" i="25"/>
  <c r="BI263" i="25" s="1"/>
  <c r="BH264" i="25"/>
  <c r="BI264" i="25" s="1"/>
  <c r="BH265" i="25"/>
  <c r="BI265" i="25" s="1"/>
  <c r="BH266" i="25"/>
  <c r="BI266" i="25" s="1"/>
  <c r="BH267" i="25"/>
  <c r="BI267" i="25" s="1"/>
  <c r="BH268" i="25"/>
  <c r="BI268" i="25" s="1"/>
  <c r="BH269" i="25"/>
  <c r="BI269" i="25" s="1"/>
  <c r="BH270" i="25"/>
  <c r="BI270" i="25" s="1"/>
  <c r="BH271" i="25"/>
  <c r="BI271" i="25" s="1"/>
  <c r="BH272" i="25"/>
  <c r="BI272" i="25" s="1"/>
  <c r="BH273" i="25"/>
  <c r="BI273" i="25" s="1"/>
  <c r="BH274" i="25"/>
  <c r="BI274" i="25" s="1"/>
  <c r="BH275" i="25"/>
  <c r="BI275" i="25" s="1"/>
  <c r="BH276" i="25"/>
  <c r="BI276" i="25" s="1"/>
  <c r="BH277" i="25"/>
  <c r="BI277" i="25" s="1"/>
  <c r="BH278" i="25"/>
  <c r="BI278" i="25" s="1"/>
  <c r="BH279" i="25"/>
  <c r="BI279" i="25" s="1"/>
  <c r="BH280" i="25"/>
  <c r="BI280" i="25" s="1"/>
  <c r="BH281" i="25"/>
  <c r="BI281" i="25" s="1"/>
  <c r="BH282" i="25"/>
  <c r="BI282" i="25" s="1"/>
  <c r="BH283" i="25"/>
  <c r="BI283" i="25" s="1"/>
  <c r="BH284" i="25"/>
  <c r="BI284" i="25" s="1"/>
  <c r="BH285" i="25"/>
  <c r="BI285" i="25" s="1"/>
  <c r="BH286" i="25"/>
  <c r="BI286" i="25" s="1"/>
  <c r="BH287" i="25"/>
  <c r="BI287" i="25" s="1"/>
  <c r="BH288" i="25"/>
  <c r="BI288" i="25" s="1"/>
  <c r="BH289" i="25"/>
  <c r="BI289" i="25" s="1"/>
  <c r="BH290" i="25"/>
  <c r="BI290" i="25" s="1"/>
  <c r="BH291" i="25"/>
  <c r="BI291" i="25" s="1"/>
  <c r="BH292" i="25"/>
  <c r="BI292" i="25" s="1"/>
  <c r="BH293" i="25"/>
  <c r="BI293" i="25" s="1"/>
  <c r="BH294" i="25"/>
  <c r="BI294" i="25" s="1"/>
  <c r="BH295" i="25"/>
  <c r="BI295" i="25" s="1"/>
  <c r="BH296" i="25"/>
  <c r="BI296" i="25" s="1"/>
  <c r="BH297" i="25"/>
  <c r="BI297" i="25" s="1"/>
  <c r="BH298" i="25"/>
  <c r="BI298" i="25" s="1"/>
  <c r="BH299" i="25"/>
  <c r="BI299" i="25" s="1"/>
  <c r="BH300" i="25"/>
  <c r="BI300" i="25" s="1"/>
  <c r="BH301" i="25"/>
  <c r="BI301" i="25" s="1"/>
  <c r="BH302" i="25"/>
  <c r="BI302" i="25" s="1"/>
  <c r="BH303" i="25"/>
  <c r="BI303" i="25" s="1"/>
  <c r="BH304" i="25"/>
  <c r="BI304" i="25" s="1"/>
  <c r="BH305" i="25"/>
  <c r="BI305" i="25" s="1"/>
  <c r="BH306" i="25"/>
  <c r="BI306" i="25" s="1"/>
  <c r="BH307" i="25"/>
  <c r="BI307" i="25" s="1"/>
  <c r="BH308" i="25"/>
  <c r="BI308" i="25" s="1"/>
  <c r="BH309" i="25"/>
  <c r="BI309" i="25" s="1"/>
  <c r="BH310" i="25"/>
  <c r="BI310" i="25" s="1"/>
  <c r="BH311" i="25"/>
  <c r="BI311" i="25" s="1"/>
  <c r="BH312" i="25"/>
  <c r="BI312" i="25" s="1"/>
  <c r="BH313" i="25"/>
  <c r="BI313" i="25" s="1"/>
  <c r="BH314" i="25"/>
  <c r="BI314" i="25" s="1"/>
  <c r="BH315" i="25"/>
  <c r="BI315" i="25" s="1"/>
  <c r="BH316" i="25"/>
  <c r="BI316" i="25" s="1"/>
  <c r="BH317" i="25"/>
  <c r="BI317" i="25" s="1"/>
  <c r="BH318" i="25"/>
  <c r="BI318" i="25" s="1"/>
  <c r="BH319" i="25"/>
  <c r="BI319" i="25" s="1"/>
  <c r="BH320" i="25"/>
  <c r="BI320" i="25" s="1"/>
  <c r="BH321" i="25"/>
  <c r="BI321" i="25" s="1"/>
  <c r="BH322" i="25"/>
  <c r="BI322" i="25" s="1"/>
  <c r="BH323" i="25"/>
  <c r="BI323" i="25" s="1"/>
  <c r="BH324" i="25"/>
  <c r="BI324" i="25" s="1"/>
  <c r="BH325" i="25"/>
  <c r="BI325" i="25" s="1"/>
  <c r="BH326" i="25"/>
  <c r="BI326" i="25" s="1"/>
  <c r="BH327" i="25"/>
  <c r="BI327" i="25" s="1"/>
  <c r="BH328" i="25"/>
  <c r="BI328" i="25" s="1"/>
  <c r="BH337" i="25"/>
  <c r="BI337" i="25" s="1"/>
  <c r="BH331" i="25"/>
  <c r="BI331" i="25" s="1"/>
  <c r="BH330" i="25"/>
  <c r="BI330" i="25" s="1"/>
  <c r="BH334" i="25"/>
  <c r="BI334" i="25" s="1"/>
  <c r="BH336" i="25"/>
  <c r="BI336" i="25" s="1"/>
  <c r="BH333" i="25"/>
  <c r="BI333" i="25" s="1"/>
  <c r="BH332" i="25"/>
  <c r="BI332" i="25" s="1"/>
  <c r="BH335" i="25"/>
  <c r="BI335" i="25" s="1"/>
  <c r="BH329" i="25"/>
  <c r="BI329" i="25" s="1"/>
  <c r="BH338" i="25"/>
  <c r="BI338" i="25" s="1"/>
  <c r="BH339" i="25"/>
  <c r="BI339" i="25" s="1"/>
  <c r="BH340" i="25"/>
  <c r="BI340" i="25" s="1"/>
  <c r="BH341" i="25"/>
  <c r="BI341" i="25" s="1"/>
  <c r="BH342" i="25"/>
  <c r="BI342" i="25" s="1"/>
  <c r="BH343" i="25"/>
  <c r="BI343" i="25" s="1"/>
  <c r="BH344" i="25"/>
  <c r="BI344" i="25" s="1"/>
  <c r="BH345" i="25"/>
  <c r="BI345" i="25" s="1"/>
  <c r="BH346" i="25"/>
  <c r="BI346" i="25" s="1"/>
  <c r="BH347" i="25"/>
  <c r="BI347" i="25" s="1"/>
  <c r="BH348" i="25"/>
  <c r="BI348" i="25" s="1"/>
  <c r="BH349" i="25"/>
  <c r="BI349" i="25" s="1"/>
  <c r="BH350" i="25"/>
  <c r="BI350" i="25" s="1"/>
  <c r="BH351" i="25"/>
  <c r="BI351" i="25" s="1"/>
  <c r="BK243" i="25"/>
  <c r="BP243" i="25" s="1"/>
  <c r="BK244" i="25"/>
  <c r="BP244" i="25" s="1"/>
  <c r="BK245" i="25"/>
  <c r="BP245" i="25" s="1"/>
  <c r="BK246" i="25"/>
  <c r="BK247" i="25"/>
  <c r="BP247" i="25" s="1"/>
  <c r="BK248" i="25"/>
  <c r="BP248" i="25" s="1"/>
  <c r="BK249" i="25"/>
  <c r="BP249" i="25" s="1"/>
  <c r="BK250" i="25"/>
  <c r="BP250" i="25" s="1"/>
  <c r="BK251" i="25"/>
  <c r="BP251" i="25" s="1"/>
  <c r="BK252" i="25"/>
  <c r="BP252" i="25" s="1"/>
  <c r="BK253" i="25"/>
  <c r="BP253" i="25" s="1"/>
  <c r="BK254" i="25"/>
  <c r="BP254" i="25" s="1"/>
  <c r="BK255" i="25"/>
  <c r="BP255" i="25" s="1"/>
  <c r="BK256" i="25"/>
  <c r="BP256" i="25" s="1"/>
  <c r="BK257" i="25"/>
  <c r="BK258" i="25"/>
  <c r="BP258" i="25" s="1"/>
  <c r="BK259" i="25"/>
  <c r="BP259" i="25" s="1"/>
  <c r="BK260" i="25"/>
  <c r="BP260" i="25" s="1"/>
  <c r="BK261" i="25"/>
  <c r="BP261" i="25" s="1"/>
  <c r="BK262" i="25"/>
  <c r="BP262" i="25" s="1"/>
  <c r="BK263" i="25"/>
  <c r="BP263" i="25" s="1"/>
  <c r="BK264" i="25"/>
  <c r="BP264" i="25" s="1"/>
  <c r="BK265" i="25"/>
  <c r="BK266" i="25"/>
  <c r="BP266" i="25" s="1"/>
  <c r="BK267" i="25"/>
  <c r="BP267" i="25" s="1"/>
  <c r="BK268" i="25"/>
  <c r="BP268" i="25" s="1"/>
  <c r="BK269" i="25"/>
  <c r="BP269" i="25" s="1"/>
  <c r="BK270" i="25"/>
  <c r="BP270" i="25" s="1"/>
  <c r="BK271" i="25"/>
  <c r="BP271" i="25" s="1"/>
  <c r="BK272" i="25"/>
  <c r="BP272" i="25" s="1"/>
  <c r="BK273" i="25"/>
  <c r="BK274" i="25"/>
  <c r="BP274" i="25" s="1"/>
  <c r="BK275" i="25"/>
  <c r="BP275" i="25" s="1"/>
  <c r="BK276" i="25"/>
  <c r="BP276" i="25" s="1"/>
  <c r="BK277" i="25"/>
  <c r="BP277" i="25" s="1"/>
  <c r="BK278" i="25"/>
  <c r="BP278" i="25" s="1"/>
  <c r="BK279" i="25"/>
  <c r="BP279" i="25" s="1"/>
  <c r="BK280" i="25"/>
  <c r="BP280" i="25" s="1"/>
  <c r="BK281" i="25"/>
  <c r="BK282" i="25"/>
  <c r="BP282" i="25" s="1"/>
  <c r="BK283" i="25"/>
  <c r="BP283" i="25" s="1"/>
  <c r="BK284" i="25"/>
  <c r="BP284" i="25" s="1"/>
  <c r="BK285" i="25"/>
  <c r="BP285" i="25" s="1"/>
  <c r="BK286" i="25"/>
  <c r="BP286" i="25" s="1"/>
  <c r="BK287" i="25"/>
  <c r="BP287" i="25" s="1"/>
  <c r="BK288" i="25"/>
  <c r="BP288" i="25" s="1"/>
  <c r="BK289" i="25"/>
  <c r="BK290" i="25"/>
  <c r="BP290" i="25" s="1"/>
  <c r="BK291" i="25"/>
  <c r="BP291" i="25" s="1"/>
  <c r="BK292" i="25"/>
  <c r="BP292" i="25" s="1"/>
  <c r="BK293" i="25"/>
  <c r="BP293" i="25" s="1"/>
  <c r="BK294" i="25"/>
  <c r="BP294" i="25" s="1"/>
  <c r="BK295" i="25"/>
  <c r="BP295" i="25" s="1"/>
  <c r="BK296" i="25"/>
  <c r="BP296" i="25" s="1"/>
  <c r="BK297" i="25"/>
  <c r="BK298" i="25"/>
  <c r="BP298" i="25" s="1"/>
  <c r="BK299" i="25"/>
  <c r="BP299" i="25" s="1"/>
  <c r="BK300" i="25"/>
  <c r="BP300" i="25" s="1"/>
  <c r="BK301" i="25"/>
  <c r="BP301" i="25" s="1"/>
  <c r="BK302" i="25"/>
  <c r="BP302" i="25" s="1"/>
  <c r="BK303" i="25"/>
  <c r="BP303" i="25" s="1"/>
  <c r="BK304" i="25"/>
  <c r="BP304" i="25" s="1"/>
  <c r="BK305" i="25"/>
  <c r="BK306" i="25"/>
  <c r="BP306" i="25" s="1"/>
  <c r="BK307" i="25"/>
  <c r="BP307" i="25" s="1"/>
  <c r="BK308" i="25"/>
  <c r="BP308" i="25" s="1"/>
  <c r="BK309" i="25"/>
  <c r="BP309" i="25" s="1"/>
  <c r="BK310" i="25"/>
  <c r="BP310" i="25" s="1"/>
  <c r="BK311" i="25"/>
  <c r="BP311" i="25" s="1"/>
  <c r="BK312" i="25"/>
  <c r="BP312" i="25" s="1"/>
  <c r="BK313" i="25"/>
  <c r="BK314" i="25"/>
  <c r="BP314" i="25" s="1"/>
  <c r="BK315" i="25"/>
  <c r="BP315" i="25" s="1"/>
  <c r="BK316" i="25"/>
  <c r="BP316" i="25" s="1"/>
  <c r="BK317" i="25"/>
  <c r="BP317" i="25" s="1"/>
  <c r="BK318" i="25"/>
  <c r="BP318" i="25" s="1"/>
  <c r="BK319" i="25"/>
  <c r="BP319" i="25" s="1"/>
  <c r="BK320" i="25"/>
  <c r="BP320" i="25" s="1"/>
  <c r="BK321" i="25"/>
  <c r="BK322" i="25"/>
  <c r="BP322" i="25" s="1"/>
  <c r="BK323" i="25"/>
  <c r="BP323" i="25" s="1"/>
  <c r="BK324" i="25"/>
  <c r="BK325" i="25"/>
  <c r="BP325" i="25" s="1"/>
  <c r="BK326" i="25"/>
  <c r="BP326" i="25" s="1"/>
  <c r="BK327" i="25"/>
  <c r="BP327" i="25" s="1"/>
  <c r="BK328" i="25"/>
  <c r="BP328" i="25" s="1"/>
  <c r="BK337" i="25"/>
  <c r="BP337" i="25" s="1"/>
  <c r="BK331" i="25"/>
  <c r="BP331" i="25" s="1"/>
  <c r="BK330" i="25"/>
  <c r="BP330" i="25" s="1"/>
  <c r="BK334" i="25"/>
  <c r="BK336" i="25"/>
  <c r="BP336" i="25" s="1"/>
  <c r="BK333" i="25"/>
  <c r="BP333" i="25" s="1"/>
  <c r="BK332" i="25"/>
  <c r="BP332" i="25" s="1"/>
  <c r="BK335" i="25"/>
  <c r="BP335" i="25" s="1"/>
  <c r="BK329" i="25"/>
  <c r="BP329" i="25" s="1"/>
  <c r="BK338" i="25"/>
  <c r="BP338" i="25" s="1"/>
  <c r="BK339" i="25"/>
  <c r="BP339" i="25" s="1"/>
  <c r="BK340" i="25"/>
  <c r="BK341" i="25"/>
  <c r="BP341" i="25" s="1"/>
  <c r="BK342" i="25"/>
  <c r="BP342" i="25" s="1"/>
  <c r="BK343" i="25"/>
  <c r="BP343" i="25" s="1"/>
  <c r="BK344" i="25"/>
  <c r="BP344" i="25" s="1"/>
  <c r="BK345" i="25"/>
  <c r="BP345" i="25" s="1"/>
  <c r="BK346" i="25"/>
  <c r="BP346" i="25" s="1"/>
  <c r="BK347" i="25"/>
  <c r="BP347" i="25" s="1"/>
  <c r="BK348" i="25"/>
  <c r="BK349" i="25"/>
  <c r="BP349" i="25" s="1"/>
  <c r="BK350" i="25"/>
  <c r="BP350" i="25" s="1"/>
  <c r="BK351" i="25"/>
  <c r="BP351" i="25" s="1"/>
  <c r="BL243" i="25"/>
  <c r="BL244" i="25"/>
  <c r="BL245" i="25"/>
  <c r="BL246" i="25"/>
  <c r="BL247" i="25"/>
  <c r="BL248" i="25"/>
  <c r="BL249" i="25"/>
  <c r="BL250" i="25"/>
  <c r="BL251" i="25"/>
  <c r="BL252" i="25"/>
  <c r="BL253" i="25"/>
  <c r="BL254" i="25"/>
  <c r="BL255" i="25"/>
  <c r="BL256" i="25"/>
  <c r="BL257" i="25"/>
  <c r="BL258" i="25"/>
  <c r="BL259" i="25"/>
  <c r="BL260" i="25"/>
  <c r="BL261" i="25"/>
  <c r="BL262" i="25"/>
  <c r="BL263" i="25"/>
  <c r="BL264" i="25"/>
  <c r="BL265" i="25"/>
  <c r="BL266" i="25"/>
  <c r="BL267" i="25"/>
  <c r="BL268" i="25"/>
  <c r="BL269" i="25"/>
  <c r="BL270" i="25"/>
  <c r="BL271" i="25"/>
  <c r="BL272" i="25"/>
  <c r="BL273" i="25"/>
  <c r="BL274" i="25"/>
  <c r="BL275" i="25"/>
  <c r="BL276" i="25"/>
  <c r="BL277" i="25"/>
  <c r="BL278" i="25"/>
  <c r="BL279" i="25"/>
  <c r="BL280" i="25"/>
  <c r="BL281" i="25"/>
  <c r="BL282" i="25"/>
  <c r="BL283" i="25"/>
  <c r="BL284" i="25"/>
  <c r="BL285" i="25"/>
  <c r="BL286" i="25"/>
  <c r="BL287" i="25"/>
  <c r="BL288" i="25"/>
  <c r="BL289" i="25"/>
  <c r="BL290" i="25"/>
  <c r="BL291" i="25"/>
  <c r="BL292" i="25"/>
  <c r="BL293" i="25"/>
  <c r="BL294" i="25"/>
  <c r="BL295" i="25"/>
  <c r="BL296" i="25"/>
  <c r="BL297" i="25"/>
  <c r="BL298" i="25"/>
  <c r="BL299" i="25"/>
  <c r="BL300" i="25"/>
  <c r="BL301" i="25"/>
  <c r="BL302" i="25"/>
  <c r="BL303" i="25"/>
  <c r="BL304" i="25"/>
  <c r="BL305" i="25"/>
  <c r="BL306" i="25"/>
  <c r="BL307" i="25"/>
  <c r="BL308" i="25"/>
  <c r="BL309" i="25"/>
  <c r="BL310" i="25"/>
  <c r="BL311" i="25"/>
  <c r="BL312" i="25"/>
  <c r="BL313" i="25"/>
  <c r="BL314" i="25"/>
  <c r="BL315" i="25"/>
  <c r="BL316" i="25"/>
  <c r="BL317" i="25"/>
  <c r="BL318" i="25"/>
  <c r="BL319" i="25"/>
  <c r="BL320" i="25"/>
  <c r="BL321" i="25"/>
  <c r="BL322" i="25"/>
  <c r="BL323" i="25"/>
  <c r="BL324" i="25"/>
  <c r="BL325" i="25"/>
  <c r="BL326" i="25"/>
  <c r="BL327" i="25"/>
  <c r="BL328" i="25"/>
  <c r="BL337" i="25"/>
  <c r="BL331" i="25"/>
  <c r="BL330" i="25"/>
  <c r="BL334" i="25"/>
  <c r="BL336" i="25"/>
  <c r="BL333" i="25"/>
  <c r="BL332" i="25"/>
  <c r="BL335" i="25"/>
  <c r="BL329" i="25"/>
  <c r="BL338" i="25"/>
  <c r="BL339" i="25"/>
  <c r="BL340" i="25"/>
  <c r="BL341" i="25"/>
  <c r="BL342" i="25"/>
  <c r="BL343" i="25"/>
  <c r="BL344" i="25"/>
  <c r="BL345" i="25"/>
  <c r="BL346" i="25"/>
  <c r="BL347" i="25"/>
  <c r="BL348" i="25"/>
  <c r="BL349" i="25"/>
  <c r="BL350" i="25"/>
  <c r="BL351" i="25"/>
  <c r="BQ243" i="25"/>
  <c r="BQ244" i="25"/>
  <c r="BQ245" i="25"/>
  <c r="BQ246" i="25"/>
  <c r="BQ247" i="25"/>
  <c r="BQ248" i="25"/>
  <c r="BQ249" i="25"/>
  <c r="BQ250" i="25"/>
  <c r="BQ251" i="25"/>
  <c r="BQ252" i="25"/>
  <c r="BQ253" i="25"/>
  <c r="BQ254" i="25"/>
  <c r="BQ255" i="25"/>
  <c r="BQ256" i="25"/>
  <c r="BQ257" i="25"/>
  <c r="BQ258" i="25"/>
  <c r="BQ259" i="25"/>
  <c r="BQ260" i="25"/>
  <c r="BQ261" i="25"/>
  <c r="BQ262" i="25"/>
  <c r="BQ263" i="25"/>
  <c r="BQ264" i="25"/>
  <c r="BQ265" i="25"/>
  <c r="BQ266" i="25"/>
  <c r="BQ267" i="25"/>
  <c r="BQ268" i="25"/>
  <c r="BQ269" i="25"/>
  <c r="BQ270" i="25"/>
  <c r="BQ271" i="25"/>
  <c r="BQ272" i="25"/>
  <c r="BQ273" i="25"/>
  <c r="BQ274" i="25"/>
  <c r="BQ275" i="25"/>
  <c r="BQ276" i="25"/>
  <c r="BQ277" i="25"/>
  <c r="BQ278" i="25"/>
  <c r="BQ279" i="25"/>
  <c r="BQ280" i="25"/>
  <c r="BQ281" i="25"/>
  <c r="BQ282" i="25"/>
  <c r="BQ283" i="25"/>
  <c r="BQ284" i="25"/>
  <c r="BQ285" i="25"/>
  <c r="BQ286" i="25"/>
  <c r="BQ287" i="25"/>
  <c r="BQ288" i="25"/>
  <c r="BQ289" i="25"/>
  <c r="BQ290" i="25"/>
  <c r="BQ291" i="25"/>
  <c r="BQ292" i="25"/>
  <c r="BQ293" i="25"/>
  <c r="BQ294" i="25"/>
  <c r="BQ295" i="25"/>
  <c r="BQ296" i="25"/>
  <c r="BQ297" i="25"/>
  <c r="BQ298" i="25"/>
  <c r="BQ299" i="25"/>
  <c r="BQ300" i="25"/>
  <c r="BQ301" i="25"/>
  <c r="BQ302" i="25"/>
  <c r="BQ303" i="25"/>
  <c r="BQ304" i="25"/>
  <c r="BQ305" i="25"/>
  <c r="BQ306" i="25"/>
  <c r="BQ307" i="25"/>
  <c r="BQ308" i="25"/>
  <c r="BQ309" i="25"/>
  <c r="BQ310" i="25"/>
  <c r="BQ311" i="25"/>
  <c r="BQ312" i="25"/>
  <c r="BQ313" i="25"/>
  <c r="BQ314" i="25"/>
  <c r="BQ315" i="25"/>
  <c r="BQ316" i="25"/>
  <c r="BQ317" i="25"/>
  <c r="BQ318" i="25"/>
  <c r="BQ319" i="25"/>
  <c r="BQ320" i="25"/>
  <c r="BQ321" i="25"/>
  <c r="BQ322" i="25"/>
  <c r="BQ323" i="25"/>
  <c r="BQ324" i="25"/>
  <c r="BQ325" i="25"/>
  <c r="BQ326" i="25"/>
  <c r="BQ327" i="25"/>
  <c r="BQ328" i="25"/>
  <c r="BQ337" i="25"/>
  <c r="BQ331" i="25"/>
  <c r="BQ330" i="25"/>
  <c r="BQ334" i="25"/>
  <c r="BQ336" i="25"/>
  <c r="BQ333" i="25"/>
  <c r="BQ332" i="25"/>
  <c r="BQ335" i="25"/>
  <c r="BQ329" i="25"/>
  <c r="BQ338" i="25"/>
  <c r="BQ339" i="25"/>
  <c r="BQ340" i="25"/>
  <c r="BQ341" i="25"/>
  <c r="BQ342" i="25"/>
  <c r="BQ343" i="25"/>
  <c r="BQ344" i="25"/>
  <c r="BQ345" i="25"/>
  <c r="BQ346" i="25"/>
  <c r="BQ347" i="25"/>
  <c r="BQ348" i="25"/>
  <c r="BQ349" i="25"/>
  <c r="BQ350" i="25"/>
  <c r="BQ351" i="25"/>
  <c r="BR243" i="25"/>
  <c r="BR244" i="25"/>
  <c r="BR245" i="25"/>
  <c r="BR246" i="25"/>
  <c r="BR247" i="25"/>
  <c r="BR248" i="25"/>
  <c r="BR249" i="25"/>
  <c r="BR250" i="25"/>
  <c r="BR251" i="25"/>
  <c r="BR252" i="25"/>
  <c r="BR253" i="25"/>
  <c r="BR254" i="25"/>
  <c r="BR255" i="25"/>
  <c r="BR256" i="25"/>
  <c r="BR257" i="25"/>
  <c r="BR258" i="25"/>
  <c r="BR259" i="25"/>
  <c r="BR260" i="25"/>
  <c r="BR261" i="25"/>
  <c r="BR262" i="25"/>
  <c r="BR263" i="25"/>
  <c r="BR264" i="25"/>
  <c r="BR265" i="25"/>
  <c r="BR266" i="25"/>
  <c r="BR267" i="25"/>
  <c r="BR268" i="25"/>
  <c r="BR269" i="25"/>
  <c r="BR270" i="25"/>
  <c r="BR271" i="25"/>
  <c r="BR272" i="25"/>
  <c r="BR273" i="25"/>
  <c r="BR274" i="25"/>
  <c r="BR275" i="25"/>
  <c r="BR276" i="25"/>
  <c r="BR277" i="25"/>
  <c r="BR278" i="25"/>
  <c r="BR279" i="25"/>
  <c r="BR280" i="25"/>
  <c r="BR281" i="25"/>
  <c r="BR282" i="25"/>
  <c r="BR283" i="25"/>
  <c r="BR284" i="25"/>
  <c r="BR285" i="25"/>
  <c r="BR286" i="25"/>
  <c r="BR287" i="25"/>
  <c r="BR288" i="25"/>
  <c r="BR289" i="25"/>
  <c r="BR290" i="25"/>
  <c r="BR291" i="25"/>
  <c r="BR292" i="25"/>
  <c r="BR293" i="25"/>
  <c r="BR294" i="25"/>
  <c r="BR295" i="25"/>
  <c r="BR296" i="25"/>
  <c r="BR297" i="25"/>
  <c r="BR298" i="25"/>
  <c r="BR299" i="25"/>
  <c r="BR300" i="25"/>
  <c r="BR301" i="25"/>
  <c r="BR302" i="25"/>
  <c r="BR303" i="25"/>
  <c r="BR304" i="25"/>
  <c r="BR305" i="25"/>
  <c r="BR306" i="25"/>
  <c r="BR307" i="25"/>
  <c r="BR308" i="25"/>
  <c r="BR309" i="25"/>
  <c r="BR310" i="25"/>
  <c r="BR311" i="25"/>
  <c r="BR312" i="25"/>
  <c r="BR313" i="25"/>
  <c r="BR314" i="25"/>
  <c r="BR315" i="25"/>
  <c r="BR316" i="25"/>
  <c r="BR317" i="25"/>
  <c r="BR318" i="25"/>
  <c r="BR319" i="25"/>
  <c r="BR320" i="25"/>
  <c r="BR321" i="25"/>
  <c r="BR322" i="25"/>
  <c r="BR323" i="25"/>
  <c r="BR324" i="25"/>
  <c r="BR325" i="25"/>
  <c r="BR326" i="25"/>
  <c r="BR327" i="25"/>
  <c r="BR328" i="25"/>
  <c r="BR337" i="25"/>
  <c r="BR331" i="25"/>
  <c r="BR330" i="25"/>
  <c r="BR334" i="25"/>
  <c r="BR336" i="25"/>
  <c r="BR333" i="25"/>
  <c r="BR332" i="25"/>
  <c r="BR335" i="25"/>
  <c r="BR329" i="25"/>
  <c r="BR338" i="25"/>
  <c r="BR339" i="25"/>
  <c r="BR340" i="25"/>
  <c r="BR341" i="25"/>
  <c r="BR342" i="25"/>
  <c r="BR343" i="25"/>
  <c r="BR344" i="25"/>
  <c r="BR345" i="25"/>
  <c r="BR346" i="25"/>
  <c r="BR347" i="25"/>
  <c r="BR348" i="25"/>
  <c r="BR349" i="25"/>
  <c r="BR350" i="25"/>
  <c r="BR351" i="25"/>
  <c r="BT243" i="25"/>
  <c r="BT244" i="25"/>
  <c r="BT245" i="25"/>
  <c r="BT246" i="25"/>
  <c r="BT247" i="25"/>
  <c r="BT248" i="25"/>
  <c r="BT249" i="25"/>
  <c r="BT250" i="25"/>
  <c r="BT251" i="25"/>
  <c r="BT252" i="25"/>
  <c r="BT253" i="25"/>
  <c r="BT254" i="25"/>
  <c r="BT255" i="25"/>
  <c r="BT256" i="25"/>
  <c r="BT257" i="25"/>
  <c r="BT258" i="25"/>
  <c r="BT259" i="25"/>
  <c r="BT260" i="25"/>
  <c r="BT261" i="25"/>
  <c r="BT262" i="25"/>
  <c r="BT263" i="25"/>
  <c r="BT264" i="25"/>
  <c r="BT265" i="25"/>
  <c r="BT266" i="25"/>
  <c r="BT267" i="25"/>
  <c r="BT268" i="25"/>
  <c r="BT269" i="25"/>
  <c r="BT270" i="25"/>
  <c r="BT271" i="25"/>
  <c r="BT272" i="25"/>
  <c r="BT273" i="25"/>
  <c r="BT274" i="25"/>
  <c r="BT275" i="25"/>
  <c r="BT276" i="25"/>
  <c r="BT277" i="25"/>
  <c r="BT278" i="25"/>
  <c r="BT279" i="25"/>
  <c r="BT280" i="25"/>
  <c r="BT281" i="25"/>
  <c r="BT282" i="25"/>
  <c r="BT283" i="25"/>
  <c r="BT284" i="25"/>
  <c r="BT285" i="25"/>
  <c r="BT286" i="25"/>
  <c r="BT287" i="25"/>
  <c r="BT288" i="25"/>
  <c r="BT289" i="25"/>
  <c r="BT290" i="25"/>
  <c r="BT291" i="25"/>
  <c r="BT292" i="25"/>
  <c r="BT293" i="25"/>
  <c r="BT294" i="25"/>
  <c r="BT295" i="25"/>
  <c r="BT296" i="25"/>
  <c r="BT297" i="25"/>
  <c r="BT298" i="25"/>
  <c r="BT299" i="25"/>
  <c r="BT300" i="25"/>
  <c r="BT301" i="25"/>
  <c r="BT302" i="25"/>
  <c r="BT303" i="25"/>
  <c r="BT304" i="25"/>
  <c r="BT305" i="25"/>
  <c r="BT306" i="25"/>
  <c r="BT307" i="25"/>
  <c r="BT308" i="25"/>
  <c r="BT309" i="25"/>
  <c r="BT310" i="25"/>
  <c r="BT311" i="25"/>
  <c r="BT312" i="25"/>
  <c r="BT313" i="25"/>
  <c r="BT314" i="25"/>
  <c r="BT315" i="25"/>
  <c r="BT316" i="25"/>
  <c r="BT317" i="25"/>
  <c r="BT318" i="25"/>
  <c r="BT319" i="25"/>
  <c r="BT320" i="25"/>
  <c r="BT321" i="25"/>
  <c r="BT322" i="25"/>
  <c r="BT323" i="25"/>
  <c r="BT324" i="25"/>
  <c r="BT325" i="25"/>
  <c r="BT326" i="25"/>
  <c r="BT327" i="25"/>
  <c r="BT328" i="25"/>
  <c r="BT337" i="25"/>
  <c r="BT331" i="25"/>
  <c r="BT330" i="25"/>
  <c r="BT334" i="25"/>
  <c r="BT336" i="25"/>
  <c r="BT333" i="25"/>
  <c r="BT332" i="25"/>
  <c r="BT335" i="25"/>
  <c r="BT329" i="25"/>
  <c r="BT338" i="25"/>
  <c r="BT339" i="25"/>
  <c r="BT340" i="25"/>
  <c r="BT341" i="25"/>
  <c r="BT342" i="25"/>
  <c r="BT343" i="25"/>
  <c r="BT344" i="25"/>
  <c r="BT345" i="25"/>
  <c r="BT346" i="25"/>
  <c r="BT347" i="25"/>
  <c r="BT348" i="25"/>
  <c r="BT349" i="25"/>
  <c r="BT350" i="25"/>
  <c r="BT351" i="25"/>
  <c r="BU243" i="25"/>
  <c r="BU244" i="25"/>
  <c r="BU245" i="25"/>
  <c r="BU246" i="25"/>
  <c r="BU247" i="25"/>
  <c r="BU248" i="25"/>
  <c r="BU249" i="25"/>
  <c r="BU250" i="25"/>
  <c r="BU251" i="25"/>
  <c r="BU252" i="25"/>
  <c r="BU253" i="25"/>
  <c r="BU254" i="25"/>
  <c r="BU255" i="25"/>
  <c r="BU256" i="25"/>
  <c r="BU257" i="25"/>
  <c r="BU258" i="25"/>
  <c r="BU259" i="25"/>
  <c r="BU260" i="25"/>
  <c r="BU261" i="25"/>
  <c r="BU262" i="25"/>
  <c r="BU263" i="25"/>
  <c r="BU264" i="25"/>
  <c r="BU265" i="25"/>
  <c r="BU266" i="25"/>
  <c r="BU267" i="25"/>
  <c r="BU268" i="25"/>
  <c r="BU269" i="25"/>
  <c r="BU270" i="25"/>
  <c r="BU271" i="25"/>
  <c r="BU272" i="25"/>
  <c r="BU273" i="25"/>
  <c r="BU274" i="25"/>
  <c r="BU275" i="25"/>
  <c r="BU276" i="25"/>
  <c r="BU277" i="25"/>
  <c r="BU278" i="25"/>
  <c r="BU279" i="25"/>
  <c r="BU280" i="25"/>
  <c r="BU281" i="25"/>
  <c r="BU282" i="25"/>
  <c r="BU283" i="25"/>
  <c r="BU284" i="25"/>
  <c r="BU285" i="25"/>
  <c r="BU286" i="25"/>
  <c r="BU287" i="25"/>
  <c r="BU288" i="25"/>
  <c r="BU289" i="25"/>
  <c r="BU290" i="25"/>
  <c r="BU291" i="25"/>
  <c r="BU292" i="25"/>
  <c r="BU293" i="25"/>
  <c r="BU294" i="25"/>
  <c r="BU295" i="25"/>
  <c r="BU296" i="25"/>
  <c r="BU297" i="25"/>
  <c r="BU298" i="25"/>
  <c r="BU299" i="25"/>
  <c r="BU300" i="25"/>
  <c r="BU301" i="25"/>
  <c r="BU302" i="25"/>
  <c r="BU303" i="25"/>
  <c r="BU304" i="25"/>
  <c r="BU305" i="25"/>
  <c r="BU306" i="25"/>
  <c r="BU307" i="25"/>
  <c r="BU308" i="25"/>
  <c r="BU309" i="25"/>
  <c r="BU310" i="25"/>
  <c r="BU311" i="25"/>
  <c r="BU312" i="25"/>
  <c r="BU313" i="25"/>
  <c r="BU314" i="25"/>
  <c r="BU315" i="25"/>
  <c r="BU316" i="25"/>
  <c r="BU317" i="25"/>
  <c r="BU318" i="25"/>
  <c r="BU319" i="25"/>
  <c r="BU320" i="25"/>
  <c r="BU321" i="25"/>
  <c r="BU322" i="25"/>
  <c r="BU323" i="25"/>
  <c r="BU324" i="25"/>
  <c r="BU325" i="25"/>
  <c r="BU326" i="25"/>
  <c r="BU327" i="25"/>
  <c r="BU328" i="25"/>
  <c r="BU337" i="25"/>
  <c r="BU331" i="25"/>
  <c r="BU330" i="25"/>
  <c r="BU334" i="25"/>
  <c r="BU336" i="25"/>
  <c r="BU333" i="25"/>
  <c r="BU332" i="25"/>
  <c r="BU335" i="25"/>
  <c r="BU329" i="25"/>
  <c r="BU338" i="25"/>
  <c r="BU339" i="25"/>
  <c r="BU340" i="25"/>
  <c r="BU341" i="25"/>
  <c r="BU342" i="25"/>
  <c r="BU343" i="25"/>
  <c r="BU344" i="25"/>
  <c r="BU345" i="25"/>
  <c r="BU346" i="25"/>
  <c r="BU347" i="25"/>
  <c r="BU348" i="25"/>
  <c r="BU349" i="25"/>
  <c r="BU350" i="25"/>
  <c r="BU351" i="25"/>
  <c r="BV243" i="25"/>
  <c r="BV244" i="25"/>
  <c r="BV245" i="25"/>
  <c r="BV246" i="25"/>
  <c r="BV247" i="25"/>
  <c r="BV248" i="25"/>
  <c r="BV249" i="25"/>
  <c r="BV250" i="25"/>
  <c r="BV251" i="25"/>
  <c r="BV252" i="25"/>
  <c r="BV253" i="25"/>
  <c r="BV254" i="25"/>
  <c r="BV255" i="25"/>
  <c r="BV256" i="25"/>
  <c r="BV257" i="25"/>
  <c r="BV258" i="25"/>
  <c r="BV259" i="25"/>
  <c r="BV260" i="25"/>
  <c r="BV261" i="25"/>
  <c r="BV262" i="25"/>
  <c r="BV263" i="25"/>
  <c r="BV264" i="25"/>
  <c r="BV265" i="25"/>
  <c r="BV266" i="25"/>
  <c r="BV267" i="25"/>
  <c r="BV268" i="25"/>
  <c r="BV269" i="25"/>
  <c r="BV270" i="25"/>
  <c r="BV271" i="25"/>
  <c r="BV272" i="25"/>
  <c r="BV273" i="25"/>
  <c r="BV274" i="25"/>
  <c r="BV275" i="25"/>
  <c r="BV276" i="25"/>
  <c r="BV277" i="25"/>
  <c r="BV278" i="25"/>
  <c r="BV279" i="25"/>
  <c r="BV280" i="25"/>
  <c r="BV281" i="25"/>
  <c r="BV282" i="25"/>
  <c r="BV283" i="25"/>
  <c r="BV284" i="25"/>
  <c r="BV285" i="25"/>
  <c r="BV286" i="25"/>
  <c r="BV287" i="25"/>
  <c r="BV288" i="25"/>
  <c r="BV289" i="25"/>
  <c r="BV290" i="25"/>
  <c r="BV291" i="25"/>
  <c r="BV292" i="25"/>
  <c r="BV293" i="25"/>
  <c r="BV294" i="25"/>
  <c r="BV295" i="25"/>
  <c r="BV296" i="25"/>
  <c r="BV297" i="25"/>
  <c r="BV298" i="25"/>
  <c r="BV299" i="25"/>
  <c r="BV300" i="25"/>
  <c r="BV301" i="25"/>
  <c r="BV302" i="25"/>
  <c r="BV303" i="25"/>
  <c r="BV304" i="25"/>
  <c r="BV305" i="25"/>
  <c r="BV306" i="25"/>
  <c r="BV307" i="25"/>
  <c r="BV308" i="25"/>
  <c r="BV309" i="25"/>
  <c r="BV310" i="25"/>
  <c r="BV311" i="25"/>
  <c r="BV312" i="25"/>
  <c r="BV313" i="25"/>
  <c r="BV314" i="25"/>
  <c r="BV315" i="25"/>
  <c r="BV316" i="25"/>
  <c r="BV317" i="25"/>
  <c r="BV318" i="25"/>
  <c r="BV319" i="25"/>
  <c r="BV320" i="25"/>
  <c r="BV321" i="25"/>
  <c r="BV322" i="25"/>
  <c r="BV323" i="25"/>
  <c r="BV324" i="25"/>
  <c r="BV325" i="25"/>
  <c r="BV326" i="25"/>
  <c r="BV327" i="25"/>
  <c r="BV328" i="25"/>
  <c r="BV337" i="25"/>
  <c r="BV331" i="25"/>
  <c r="BV330" i="25"/>
  <c r="BV334" i="25"/>
  <c r="BV336" i="25"/>
  <c r="BV333" i="25"/>
  <c r="BV332" i="25"/>
  <c r="BV335" i="25"/>
  <c r="BV329" i="25"/>
  <c r="BV338" i="25"/>
  <c r="BV339" i="25"/>
  <c r="BV340" i="25"/>
  <c r="BV341" i="25"/>
  <c r="BV342" i="25"/>
  <c r="BV343" i="25"/>
  <c r="BV344" i="25"/>
  <c r="BV345" i="25"/>
  <c r="BV346" i="25"/>
  <c r="BV347" i="25"/>
  <c r="BV348" i="25"/>
  <c r="BV349" i="25"/>
  <c r="BV350" i="25"/>
  <c r="BV351" i="25"/>
  <c r="BW243" i="25"/>
  <c r="BW244" i="25"/>
  <c r="BW245" i="25"/>
  <c r="BW246" i="25"/>
  <c r="BW247" i="25"/>
  <c r="BW248" i="25"/>
  <c r="BW249" i="25"/>
  <c r="BW250" i="25"/>
  <c r="BW251" i="25"/>
  <c r="BW252" i="25"/>
  <c r="BW253" i="25"/>
  <c r="BW254" i="25"/>
  <c r="BW255" i="25"/>
  <c r="BW256" i="25"/>
  <c r="BW257" i="25"/>
  <c r="BW258" i="25"/>
  <c r="BW259" i="25"/>
  <c r="BW260" i="25"/>
  <c r="BW261" i="25"/>
  <c r="BW262" i="25"/>
  <c r="BW263" i="25"/>
  <c r="BW264" i="25"/>
  <c r="BW265" i="25"/>
  <c r="BW266" i="25"/>
  <c r="BW267" i="25"/>
  <c r="BW268" i="25"/>
  <c r="BW269" i="25"/>
  <c r="BW270" i="25"/>
  <c r="BW271" i="25"/>
  <c r="BW272" i="25"/>
  <c r="BW273" i="25"/>
  <c r="BW274" i="25"/>
  <c r="BW275" i="25"/>
  <c r="BW276" i="25"/>
  <c r="BW277" i="25"/>
  <c r="BW278" i="25"/>
  <c r="BW279" i="25"/>
  <c r="BW280" i="25"/>
  <c r="BW281" i="25"/>
  <c r="BW282" i="25"/>
  <c r="BW283" i="25"/>
  <c r="BW284" i="25"/>
  <c r="BW285" i="25"/>
  <c r="BW286" i="25"/>
  <c r="BW287" i="25"/>
  <c r="BW288" i="25"/>
  <c r="BW289" i="25"/>
  <c r="BW290" i="25"/>
  <c r="BW291" i="25"/>
  <c r="BW292" i="25"/>
  <c r="BW293" i="25"/>
  <c r="BW294" i="25"/>
  <c r="BW295" i="25"/>
  <c r="BW296" i="25"/>
  <c r="BW297" i="25"/>
  <c r="BW298" i="25"/>
  <c r="BW299" i="25"/>
  <c r="BW300" i="25"/>
  <c r="BW301" i="25"/>
  <c r="BW302" i="25"/>
  <c r="BW303" i="25"/>
  <c r="BW304" i="25"/>
  <c r="BW305" i="25"/>
  <c r="BW306" i="25"/>
  <c r="BW307" i="25"/>
  <c r="BW308" i="25"/>
  <c r="BW309" i="25"/>
  <c r="BW310" i="25"/>
  <c r="BW311" i="25"/>
  <c r="BW312" i="25"/>
  <c r="BW313" i="25"/>
  <c r="BW314" i="25"/>
  <c r="BW315" i="25"/>
  <c r="BW316" i="25"/>
  <c r="BW317" i="25"/>
  <c r="BW318" i="25"/>
  <c r="BW319" i="25"/>
  <c r="BW320" i="25"/>
  <c r="BW321" i="25"/>
  <c r="BW322" i="25"/>
  <c r="BW323" i="25"/>
  <c r="BW324" i="25"/>
  <c r="BW325" i="25"/>
  <c r="BW326" i="25"/>
  <c r="BW327" i="25"/>
  <c r="BW328" i="25"/>
  <c r="BW337" i="25"/>
  <c r="BW331" i="25"/>
  <c r="BW330" i="25"/>
  <c r="BW334" i="25"/>
  <c r="BW336" i="25"/>
  <c r="BW333" i="25"/>
  <c r="BW332" i="25"/>
  <c r="BW335" i="25"/>
  <c r="BW329" i="25"/>
  <c r="BW338" i="25"/>
  <c r="BW339" i="25"/>
  <c r="BW340" i="25"/>
  <c r="BW341" i="25"/>
  <c r="BW342" i="25"/>
  <c r="BW343" i="25"/>
  <c r="BW344" i="25"/>
  <c r="BW345" i="25"/>
  <c r="BW346" i="25"/>
  <c r="BW347" i="25"/>
  <c r="BW348" i="25"/>
  <c r="BW349" i="25"/>
  <c r="BW350" i="25"/>
  <c r="BW351" i="25"/>
  <c r="BX243" i="25"/>
  <c r="BX244" i="25"/>
  <c r="BX245" i="25"/>
  <c r="BX246" i="25"/>
  <c r="BX247" i="25"/>
  <c r="BX248" i="25"/>
  <c r="BX249" i="25"/>
  <c r="BX250" i="25"/>
  <c r="BX251" i="25"/>
  <c r="BX252" i="25"/>
  <c r="BX253" i="25"/>
  <c r="BX254" i="25"/>
  <c r="BX255" i="25"/>
  <c r="BX256" i="25"/>
  <c r="BX257" i="25"/>
  <c r="BX258" i="25"/>
  <c r="BX259" i="25"/>
  <c r="BX260" i="25"/>
  <c r="BX261" i="25"/>
  <c r="BX262" i="25"/>
  <c r="BX263" i="25"/>
  <c r="BX264" i="25"/>
  <c r="BX265" i="25"/>
  <c r="BX266" i="25"/>
  <c r="BX267" i="25"/>
  <c r="BX268" i="25"/>
  <c r="BX269" i="25"/>
  <c r="BX270" i="25"/>
  <c r="BX271" i="25"/>
  <c r="BX272" i="25"/>
  <c r="BX273" i="25"/>
  <c r="BX274" i="25"/>
  <c r="BX275" i="25"/>
  <c r="BX276" i="25"/>
  <c r="BX277" i="25"/>
  <c r="BX278" i="25"/>
  <c r="BX279" i="25"/>
  <c r="BX280" i="25"/>
  <c r="BX281" i="25"/>
  <c r="BX282" i="25"/>
  <c r="BX283" i="25"/>
  <c r="BX284" i="25"/>
  <c r="BX285" i="25"/>
  <c r="BX286" i="25"/>
  <c r="BX287" i="25"/>
  <c r="BX288" i="25"/>
  <c r="BX289" i="25"/>
  <c r="BX290" i="25"/>
  <c r="BX291" i="25"/>
  <c r="BX292" i="25"/>
  <c r="BX293" i="25"/>
  <c r="BX294" i="25"/>
  <c r="BX295" i="25"/>
  <c r="BX296" i="25"/>
  <c r="BX297" i="25"/>
  <c r="BX298" i="25"/>
  <c r="BX299" i="25"/>
  <c r="BX300" i="25"/>
  <c r="BX301" i="25"/>
  <c r="BX302" i="25"/>
  <c r="BX303" i="25"/>
  <c r="BX304" i="25"/>
  <c r="BX305" i="25"/>
  <c r="BX306" i="25"/>
  <c r="BX307" i="25"/>
  <c r="BX308" i="25"/>
  <c r="BX309" i="25"/>
  <c r="BX310" i="25"/>
  <c r="BX311" i="25"/>
  <c r="BX312" i="25"/>
  <c r="BX313" i="25"/>
  <c r="BX314" i="25"/>
  <c r="BX315" i="25"/>
  <c r="BX316" i="25"/>
  <c r="BX317" i="25"/>
  <c r="BX318" i="25"/>
  <c r="BX319" i="25"/>
  <c r="BX320" i="25"/>
  <c r="BX321" i="25"/>
  <c r="BX322" i="25"/>
  <c r="BX323" i="25"/>
  <c r="BX324" i="25"/>
  <c r="BX325" i="25"/>
  <c r="BX326" i="25"/>
  <c r="BX327" i="25"/>
  <c r="BX328" i="25"/>
  <c r="BX337" i="25"/>
  <c r="BX331" i="25"/>
  <c r="BX330" i="25"/>
  <c r="BX334" i="25"/>
  <c r="BX336" i="25"/>
  <c r="BX333" i="25"/>
  <c r="BX332" i="25"/>
  <c r="BX335" i="25"/>
  <c r="BX329" i="25"/>
  <c r="BX338" i="25"/>
  <c r="BX339" i="25"/>
  <c r="BX340" i="25"/>
  <c r="BX341" i="25"/>
  <c r="BX342" i="25"/>
  <c r="BX343" i="25"/>
  <c r="BX344" i="25"/>
  <c r="BX345" i="25"/>
  <c r="BX346" i="25"/>
  <c r="BX347" i="25"/>
  <c r="BX348" i="25"/>
  <c r="BX349" i="25"/>
  <c r="BX350" i="25"/>
  <c r="BX351" i="25"/>
  <c r="BY243" i="25"/>
  <c r="BY244" i="25"/>
  <c r="BY245" i="25"/>
  <c r="BY246" i="25"/>
  <c r="BY247" i="25"/>
  <c r="BY248" i="25"/>
  <c r="BY249" i="25"/>
  <c r="BY250" i="25"/>
  <c r="BY251" i="25"/>
  <c r="BY252" i="25"/>
  <c r="BY253" i="25"/>
  <c r="BY254" i="25"/>
  <c r="BY255" i="25"/>
  <c r="BY256" i="25"/>
  <c r="BY257" i="25"/>
  <c r="BY258" i="25"/>
  <c r="BY259" i="25"/>
  <c r="BY260" i="25"/>
  <c r="BY261" i="25"/>
  <c r="BY262" i="25"/>
  <c r="BY263" i="25"/>
  <c r="BY264" i="25"/>
  <c r="BY265" i="25"/>
  <c r="BY266" i="25"/>
  <c r="BY267" i="25"/>
  <c r="BY268" i="25"/>
  <c r="BY269" i="25"/>
  <c r="BY270" i="25"/>
  <c r="BY271" i="25"/>
  <c r="BY272" i="25"/>
  <c r="BY273" i="25"/>
  <c r="BY274" i="25"/>
  <c r="BY275" i="25"/>
  <c r="BY276" i="25"/>
  <c r="BY277" i="25"/>
  <c r="BY278" i="25"/>
  <c r="BY279" i="25"/>
  <c r="BY280" i="25"/>
  <c r="BY281" i="25"/>
  <c r="BY282" i="25"/>
  <c r="BY283" i="25"/>
  <c r="BY284" i="25"/>
  <c r="BY285" i="25"/>
  <c r="BY286" i="25"/>
  <c r="BY287" i="25"/>
  <c r="BY288" i="25"/>
  <c r="BY289" i="25"/>
  <c r="BY290" i="25"/>
  <c r="BY291" i="25"/>
  <c r="BY292" i="25"/>
  <c r="BY293" i="25"/>
  <c r="BY294" i="25"/>
  <c r="BY295" i="25"/>
  <c r="BY296" i="25"/>
  <c r="BY297" i="25"/>
  <c r="BY298" i="25"/>
  <c r="BY299" i="25"/>
  <c r="BY300" i="25"/>
  <c r="BY301" i="25"/>
  <c r="BY302" i="25"/>
  <c r="BY303" i="25"/>
  <c r="BY304" i="25"/>
  <c r="BY305" i="25"/>
  <c r="BY306" i="25"/>
  <c r="BY307" i="25"/>
  <c r="BY308" i="25"/>
  <c r="BY309" i="25"/>
  <c r="BY310" i="25"/>
  <c r="BY311" i="25"/>
  <c r="BY312" i="25"/>
  <c r="BY313" i="25"/>
  <c r="BY314" i="25"/>
  <c r="BY315" i="25"/>
  <c r="BY316" i="25"/>
  <c r="BY317" i="25"/>
  <c r="BY318" i="25"/>
  <c r="BY319" i="25"/>
  <c r="BY320" i="25"/>
  <c r="BY321" i="25"/>
  <c r="BY322" i="25"/>
  <c r="BY323" i="25"/>
  <c r="BY324" i="25"/>
  <c r="BY325" i="25"/>
  <c r="BY326" i="25"/>
  <c r="BY327" i="25"/>
  <c r="BY328" i="25"/>
  <c r="BY337" i="25"/>
  <c r="BY331" i="25"/>
  <c r="BY330" i="25"/>
  <c r="BY334" i="25"/>
  <c r="BY336" i="25"/>
  <c r="BY333" i="25"/>
  <c r="BY332" i="25"/>
  <c r="BY335" i="25"/>
  <c r="BY329" i="25"/>
  <c r="BY338" i="25"/>
  <c r="BY339" i="25"/>
  <c r="BY340" i="25"/>
  <c r="BY341" i="25"/>
  <c r="BY342" i="25"/>
  <c r="BY343" i="25"/>
  <c r="BY344" i="25"/>
  <c r="BY345" i="25"/>
  <c r="BY346" i="25"/>
  <c r="BY347" i="25"/>
  <c r="BY348" i="25"/>
  <c r="BY349" i="25"/>
  <c r="BY350" i="25"/>
  <c r="BY351" i="25"/>
  <c r="BZ243" i="25"/>
  <c r="BZ244" i="25"/>
  <c r="BZ245" i="25"/>
  <c r="BZ246" i="25"/>
  <c r="BZ247" i="25"/>
  <c r="BZ248" i="25"/>
  <c r="BZ249" i="25"/>
  <c r="BZ250" i="25"/>
  <c r="BZ251" i="25"/>
  <c r="BZ252" i="25"/>
  <c r="BZ253" i="25"/>
  <c r="BZ254" i="25"/>
  <c r="BZ255" i="25"/>
  <c r="BZ256" i="25"/>
  <c r="BZ257" i="25"/>
  <c r="BZ258" i="25"/>
  <c r="BZ259" i="25"/>
  <c r="BZ260" i="25"/>
  <c r="BZ261" i="25"/>
  <c r="BZ262" i="25"/>
  <c r="BZ263" i="25"/>
  <c r="BZ264" i="25"/>
  <c r="BZ265" i="25"/>
  <c r="BZ266" i="25"/>
  <c r="BZ267" i="25"/>
  <c r="BZ268" i="25"/>
  <c r="BZ269" i="25"/>
  <c r="BZ270" i="25"/>
  <c r="BZ271" i="25"/>
  <c r="BZ272" i="25"/>
  <c r="BZ273" i="25"/>
  <c r="BZ274" i="25"/>
  <c r="BZ275" i="25"/>
  <c r="BZ276" i="25"/>
  <c r="BZ277" i="25"/>
  <c r="BZ278" i="25"/>
  <c r="BZ279" i="25"/>
  <c r="BZ280" i="25"/>
  <c r="BZ281" i="25"/>
  <c r="BZ282" i="25"/>
  <c r="BZ283" i="25"/>
  <c r="BZ284" i="25"/>
  <c r="BZ285" i="25"/>
  <c r="BZ286" i="25"/>
  <c r="BZ287" i="25"/>
  <c r="BZ288" i="25"/>
  <c r="BZ289" i="25"/>
  <c r="BZ290" i="25"/>
  <c r="BZ291" i="25"/>
  <c r="BZ292" i="25"/>
  <c r="BZ293" i="25"/>
  <c r="BZ294" i="25"/>
  <c r="BZ295" i="25"/>
  <c r="BZ296" i="25"/>
  <c r="BZ297" i="25"/>
  <c r="BZ298" i="25"/>
  <c r="BZ299" i="25"/>
  <c r="BZ300" i="25"/>
  <c r="BZ301" i="25"/>
  <c r="BZ302" i="25"/>
  <c r="BZ303" i="25"/>
  <c r="BZ304" i="25"/>
  <c r="BZ305" i="25"/>
  <c r="BZ306" i="25"/>
  <c r="BZ307" i="25"/>
  <c r="BZ308" i="25"/>
  <c r="BZ309" i="25"/>
  <c r="BZ310" i="25"/>
  <c r="BZ311" i="25"/>
  <c r="BZ312" i="25"/>
  <c r="BZ313" i="25"/>
  <c r="BZ314" i="25"/>
  <c r="BZ315" i="25"/>
  <c r="BZ316" i="25"/>
  <c r="BZ317" i="25"/>
  <c r="BZ318" i="25"/>
  <c r="BZ319" i="25"/>
  <c r="BZ320" i="25"/>
  <c r="BZ321" i="25"/>
  <c r="BZ322" i="25"/>
  <c r="BZ323" i="25"/>
  <c r="BZ324" i="25"/>
  <c r="BZ325" i="25"/>
  <c r="BZ326" i="25"/>
  <c r="BZ327" i="25"/>
  <c r="BZ328" i="25"/>
  <c r="BZ337" i="25"/>
  <c r="BZ331" i="25"/>
  <c r="BZ330" i="25"/>
  <c r="BZ334" i="25"/>
  <c r="BZ336" i="25"/>
  <c r="BZ333" i="25"/>
  <c r="BZ332" i="25"/>
  <c r="BZ335" i="25"/>
  <c r="BZ329" i="25"/>
  <c r="BZ338" i="25"/>
  <c r="BZ339" i="25"/>
  <c r="BZ340" i="25"/>
  <c r="BZ341" i="25"/>
  <c r="BZ342" i="25"/>
  <c r="BZ343" i="25"/>
  <c r="BZ344" i="25"/>
  <c r="BZ345" i="25"/>
  <c r="BZ346" i="25"/>
  <c r="BZ347" i="25"/>
  <c r="BZ348" i="25"/>
  <c r="BZ349" i="25"/>
  <c r="BZ350" i="25"/>
  <c r="BZ351" i="25"/>
  <c r="CA243" i="25"/>
  <c r="CA244" i="25"/>
  <c r="CA245" i="25"/>
  <c r="CA246" i="25"/>
  <c r="CA247" i="25"/>
  <c r="CA248" i="25"/>
  <c r="CA249" i="25"/>
  <c r="CA250" i="25"/>
  <c r="CA251" i="25"/>
  <c r="CA252" i="25"/>
  <c r="CA253" i="25"/>
  <c r="CA254" i="25"/>
  <c r="CA255" i="25"/>
  <c r="CA256" i="25"/>
  <c r="CA257" i="25"/>
  <c r="CA258" i="25"/>
  <c r="CA259" i="25"/>
  <c r="CA260" i="25"/>
  <c r="CA261" i="25"/>
  <c r="CA262" i="25"/>
  <c r="CA263" i="25"/>
  <c r="CA264" i="25"/>
  <c r="CA265" i="25"/>
  <c r="CA266" i="25"/>
  <c r="CA267" i="25"/>
  <c r="CA268" i="25"/>
  <c r="CA269" i="25"/>
  <c r="CA270" i="25"/>
  <c r="CA271" i="25"/>
  <c r="CA272" i="25"/>
  <c r="CA273" i="25"/>
  <c r="CA274" i="25"/>
  <c r="CA275" i="25"/>
  <c r="CA276" i="25"/>
  <c r="CA277" i="25"/>
  <c r="CA278" i="25"/>
  <c r="CA279" i="25"/>
  <c r="CA280" i="25"/>
  <c r="CA281" i="25"/>
  <c r="CA282" i="25"/>
  <c r="CA283" i="25"/>
  <c r="CA284" i="25"/>
  <c r="CA285" i="25"/>
  <c r="CA286" i="25"/>
  <c r="CA287" i="25"/>
  <c r="CA288" i="25"/>
  <c r="CA289" i="25"/>
  <c r="CA290" i="25"/>
  <c r="CA291" i="25"/>
  <c r="CA292" i="25"/>
  <c r="CA293" i="25"/>
  <c r="CA294" i="25"/>
  <c r="CA295" i="25"/>
  <c r="CA296" i="25"/>
  <c r="CA297" i="25"/>
  <c r="CA298" i="25"/>
  <c r="CA299" i="25"/>
  <c r="CA300" i="25"/>
  <c r="CA301" i="25"/>
  <c r="CA302" i="25"/>
  <c r="CA303" i="25"/>
  <c r="CA304" i="25"/>
  <c r="CA305" i="25"/>
  <c r="CA306" i="25"/>
  <c r="CA307" i="25"/>
  <c r="CA308" i="25"/>
  <c r="CA309" i="25"/>
  <c r="CA310" i="25"/>
  <c r="CA311" i="25"/>
  <c r="CA312" i="25"/>
  <c r="CA313" i="25"/>
  <c r="CA314" i="25"/>
  <c r="CA315" i="25"/>
  <c r="CA316" i="25"/>
  <c r="CA317" i="25"/>
  <c r="CA318" i="25"/>
  <c r="CA319" i="25"/>
  <c r="CA320" i="25"/>
  <c r="CA321" i="25"/>
  <c r="CA322" i="25"/>
  <c r="CA323" i="25"/>
  <c r="CA324" i="25"/>
  <c r="CA325" i="25"/>
  <c r="CA326" i="25"/>
  <c r="CA327" i="25"/>
  <c r="CA328" i="25"/>
  <c r="CA337" i="25"/>
  <c r="CA331" i="25"/>
  <c r="CA330" i="25"/>
  <c r="CA334" i="25"/>
  <c r="CA336" i="25"/>
  <c r="CA333" i="25"/>
  <c r="CA332" i="25"/>
  <c r="CA335" i="25"/>
  <c r="CA329" i="25"/>
  <c r="CA338" i="25"/>
  <c r="CA339" i="25"/>
  <c r="CA340" i="25"/>
  <c r="CA341" i="25"/>
  <c r="CA342" i="25"/>
  <c r="CA343" i="25"/>
  <c r="CA344" i="25"/>
  <c r="CA345" i="25"/>
  <c r="CA346" i="25"/>
  <c r="CA347" i="25"/>
  <c r="CA348" i="25"/>
  <c r="CA349" i="25"/>
  <c r="CA350" i="25"/>
  <c r="CA351" i="25"/>
  <c r="BJ364" i="25" l="1"/>
  <c r="AX356" i="25"/>
  <c r="BA356" i="25" s="1"/>
  <c r="BB356" i="25" s="1"/>
  <c r="BS361" i="25"/>
  <c r="BM361" i="25" s="1"/>
  <c r="BN361" i="25" s="1"/>
  <c r="BO361" i="25" s="1"/>
  <c r="BS353" i="25"/>
  <c r="BM353" i="25" s="1"/>
  <c r="BN353" i="25" s="1"/>
  <c r="BO353" i="25" s="1"/>
  <c r="AY355" i="25"/>
  <c r="AZ355" i="25" s="1"/>
  <c r="BC355" i="25" s="1"/>
  <c r="AW356" i="25"/>
  <c r="AY356" i="25" s="1"/>
  <c r="AZ356" i="25" s="1"/>
  <c r="BC356" i="25" s="1"/>
  <c r="AY353" i="25"/>
  <c r="AZ353" i="25" s="1"/>
  <c r="BC353" i="25" s="1"/>
  <c r="BJ363" i="25"/>
  <c r="AY366" i="25"/>
  <c r="AZ366" i="25" s="1"/>
  <c r="BC366" i="25" s="1"/>
  <c r="BS368" i="25"/>
  <c r="BM368" i="25" s="1"/>
  <c r="BN368" i="25" s="1"/>
  <c r="BO368" i="25" s="1"/>
  <c r="BS360" i="25"/>
  <c r="BM360" i="25" s="1"/>
  <c r="BN360" i="25" s="1"/>
  <c r="BO360" i="25" s="1"/>
  <c r="BS352" i="25"/>
  <c r="BM352" i="25" s="1"/>
  <c r="BN352" i="25" s="1"/>
  <c r="BO352" i="25" s="1"/>
  <c r="BJ365" i="25"/>
  <c r="BF357" i="25"/>
  <c r="BS363" i="25"/>
  <c r="BM363" i="25" s="1"/>
  <c r="BN363" i="25" s="1"/>
  <c r="BO363" i="25" s="1"/>
  <c r="BS355" i="25"/>
  <c r="BM355" i="25" s="1"/>
  <c r="BN355" i="25" s="1"/>
  <c r="BO355" i="25" s="1"/>
  <c r="BF355" i="25"/>
  <c r="BS362" i="25"/>
  <c r="BM362" i="25" s="1"/>
  <c r="BN362" i="25" s="1"/>
  <c r="BO362" i="25" s="1"/>
  <c r="BS354" i="25"/>
  <c r="BM354" i="25" s="1"/>
  <c r="BN354" i="25" s="1"/>
  <c r="BO354" i="25" s="1"/>
  <c r="AY358" i="25"/>
  <c r="AZ358" i="25" s="1"/>
  <c r="BC358" i="25" s="1"/>
  <c r="BF366" i="25"/>
  <c r="AY364" i="25"/>
  <c r="AZ364" i="25" s="1"/>
  <c r="BC364" i="25" s="1"/>
  <c r="AY365" i="25"/>
  <c r="AZ365" i="25" s="1"/>
  <c r="BC365" i="25" s="1"/>
  <c r="AY357" i="25"/>
  <c r="AZ357" i="25" s="1"/>
  <c r="BC357" i="25" s="1"/>
  <c r="BJ358" i="25"/>
  <c r="AY362" i="25"/>
  <c r="AZ362" i="25" s="1"/>
  <c r="BC362" i="25" s="1"/>
  <c r="AY354" i="25"/>
  <c r="AZ354" i="25" s="1"/>
  <c r="BC354" i="25" s="1"/>
  <c r="AY361" i="25"/>
  <c r="AZ361" i="25" s="1"/>
  <c r="BC361" i="25" s="1"/>
  <c r="AX355" i="25"/>
  <c r="BA355" i="25" s="1"/>
  <c r="BB355" i="25" s="1"/>
  <c r="AX360" i="25"/>
  <c r="BA360" i="25" s="1"/>
  <c r="BB360" i="25" s="1"/>
  <c r="BS365" i="25"/>
  <c r="BM365" i="25" s="1"/>
  <c r="BN365" i="25" s="1"/>
  <c r="BO365" i="25" s="1"/>
  <c r="BS357" i="25"/>
  <c r="BM357" i="25" s="1"/>
  <c r="BN357" i="25" s="1"/>
  <c r="BO357" i="25" s="1"/>
  <c r="BS367" i="25"/>
  <c r="BM367" i="25" s="1"/>
  <c r="BN367" i="25" s="1"/>
  <c r="BO367" i="25" s="1"/>
  <c r="BS359" i="25"/>
  <c r="BM359" i="25" s="1"/>
  <c r="BN359" i="25" s="1"/>
  <c r="BO359" i="25" s="1"/>
  <c r="BS364" i="25"/>
  <c r="BM364" i="25" s="1"/>
  <c r="BN364" i="25" s="1"/>
  <c r="BO364" i="25" s="1"/>
  <c r="BS356" i="25"/>
  <c r="BM356" i="25" s="1"/>
  <c r="BN356" i="25" s="1"/>
  <c r="BO356" i="25" s="1"/>
  <c r="BF354" i="25"/>
  <c r="AX367" i="25"/>
  <c r="BA367" i="25" s="1"/>
  <c r="BB367" i="25" s="1"/>
  <c r="AY368" i="25"/>
  <c r="AZ368" i="25" s="1"/>
  <c r="BC368" i="25" s="1"/>
  <c r="AY352" i="25"/>
  <c r="AZ352" i="25" s="1"/>
  <c r="BC352" i="25" s="1"/>
  <c r="BJ356" i="25"/>
  <c r="AX364" i="25"/>
  <c r="BA364" i="25" s="1"/>
  <c r="BB364" i="25" s="1"/>
  <c r="AX359" i="25"/>
  <c r="BA359" i="25" s="1"/>
  <c r="BB359" i="25" s="1"/>
  <c r="AX358" i="25"/>
  <c r="BA358" i="25" s="1"/>
  <c r="BB358" i="25" s="1"/>
  <c r="AX357" i="25"/>
  <c r="BA357" i="25" s="1"/>
  <c r="BB357" i="25" s="1"/>
  <c r="AY359" i="25"/>
  <c r="AZ359" i="25" s="1"/>
  <c r="BC359" i="25" s="1"/>
  <c r="AX368" i="25"/>
  <c r="BA368" i="25" s="1"/>
  <c r="BB368" i="25" s="1"/>
  <c r="AX366" i="25"/>
  <c r="BA366" i="25" s="1"/>
  <c r="BB366" i="25" s="1"/>
  <c r="AW360" i="25"/>
  <c r="AY360" i="25" s="1"/>
  <c r="AZ360" i="25" s="1"/>
  <c r="BC360" i="25" s="1"/>
  <c r="BJ353" i="25"/>
  <c r="AX365" i="25"/>
  <c r="BA365" i="25" s="1"/>
  <c r="BB365" i="25" s="1"/>
  <c r="AX352" i="25"/>
  <c r="BA352" i="25" s="1"/>
  <c r="BB352" i="25" s="1"/>
  <c r="BJ362" i="25"/>
  <c r="AX363" i="25"/>
  <c r="BA363" i="25" s="1"/>
  <c r="BB363" i="25" s="1"/>
  <c r="AY363" i="25"/>
  <c r="AZ363" i="25" s="1"/>
  <c r="BC363" i="25" s="1"/>
  <c r="BS366" i="25"/>
  <c r="BM366" i="25" s="1"/>
  <c r="BN366" i="25" s="1"/>
  <c r="BO366" i="25" s="1"/>
  <c r="BS358" i="25"/>
  <c r="BM358" i="25" s="1"/>
  <c r="BN358" i="25" s="1"/>
  <c r="BO358" i="25" s="1"/>
  <c r="AY367" i="25"/>
  <c r="AZ367" i="25" s="1"/>
  <c r="BC367" i="25" s="1"/>
  <c r="AX362" i="25"/>
  <c r="BA362" i="25" s="1"/>
  <c r="BB362" i="25" s="1"/>
  <c r="AX354" i="25"/>
  <c r="BA354" i="25" s="1"/>
  <c r="BB354" i="25" s="1"/>
  <c r="BJ361" i="25"/>
  <c r="AX361" i="25"/>
  <c r="BA361" i="25" s="1"/>
  <c r="BB361" i="25" s="1"/>
  <c r="AX353" i="25"/>
  <c r="BA353" i="25" s="1"/>
  <c r="BB353" i="25" s="1"/>
  <c r="BJ368" i="25"/>
  <c r="BJ360" i="25"/>
  <c r="BJ352" i="25"/>
  <c r="BJ367" i="25"/>
  <c r="BJ359" i="25"/>
  <c r="BF301" i="25"/>
  <c r="BJ350" i="25"/>
  <c r="BS270" i="25"/>
  <c r="BM270" i="25" s="1"/>
  <c r="BN270" i="25" s="1"/>
  <c r="BO270" i="25" s="1"/>
  <c r="BJ328" i="25"/>
  <c r="AX313" i="25"/>
  <c r="BA313" i="25" s="1"/>
  <c r="BB313" i="25" s="1"/>
  <c r="AY289" i="25"/>
  <c r="AZ289" i="25" s="1"/>
  <c r="BC289" i="25" s="1"/>
  <c r="AX281" i="25"/>
  <c r="BA281" i="25" s="1"/>
  <c r="BB281" i="25" s="1"/>
  <c r="BJ269" i="25"/>
  <c r="BF326" i="25"/>
  <c r="BJ293" i="25"/>
  <c r="BJ256" i="25"/>
  <c r="BJ245" i="25"/>
  <c r="BS261" i="25"/>
  <c r="BM261" i="25" s="1"/>
  <c r="BN261" i="25" s="1"/>
  <c r="BO261" i="25" s="1"/>
  <c r="AX346" i="25"/>
  <c r="BA346" i="25" s="1"/>
  <c r="BB346" i="25" s="1"/>
  <c r="AY338" i="25"/>
  <c r="AZ338" i="25" s="1"/>
  <c r="BC338" i="25" s="1"/>
  <c r="AX322" i="25"/>
  <c r="BA322" i="25" s="1"/>
  <c r="BB322" i="25" s="1"/>
  <c r="AX303" i="25"/>
  <c r="BA303" i="25" s="1"/>
  <c r="BB303" i="25" s="1"/>
  <c r="AY287" i="25"/>
  <c r="AZ287" i="25" s="1"/>
  <c r="AY271" i="25"/>
  <c r="AZ271" i="25" s="1"/>
  <c r="BC271" i="25" s="1"/>
  <c r="AX244" i="25"/>
  <c r="BA244" i="25" s="1"/>
  <c r="BB244" i="25" s="1"/>
  <c r="BF291" i="25"/>
  <c r="BJ307" i="25"/>
  <c r="BF281" i="25"/>
  <c r="AX323" i="25"/>
  <c r="BA323" i="25" s="1"/>
  <c r="BB323" i="25" s="1"/>
  <c r="AY274" i="25"/>
  <c r="AZ274" i="25" s="1"/>
  <c r="BC274" i="25" s="1"/>
  <c r="BS298" i="25"/>
  <c r="BM298" i="25" s="1"/>
  <c r="BN298" i="25" s="1"/>
  <c r="BO298" i="25" s="1"/>
  <c r="BS274" i="25"/>
  <c r="BM274" i="25" s="1"/>
  <c r="BN274" i="25" s="1"/>
  <c r="BO274" i="25" s="1"/>
  <c r="BS250" i="25"/>
  <c r="BM250" i="25" s="1"/>
  <c r="BN250" i="25" s="1"/>
  <c r="BO250" i="25" s="1"/>
  <c r="BF278" i="25"/>
  <c r="AX280" i="25"/>
  <c r="BA280" i="25" s="1"/>
  <c r="BB280" i="25" s="1"/>
  <c r="BS313" i="25"/>
  <c r="BM313" i="25" s="1"/>
  <c r="BN313" i="25" s="1"/>
  <c r="BO313" i="25" s="1"/>
  <c r="BJ283" i="25"/>
  <c r="AY339" i="25"/>
  <c r="AZ339" i="25" s="1"/>
  <c r="BC339" i="25" s="1"/>
  <c r="BJ342" i="25"/>
  <c r="BJ259" i="25"/>
  <c r="BS345" i="25"/>
  <c r="BM345" i="25" s="1"/>
  <c r="BN345" i="25" s="1"/>
  <c r="BO345" i="25" s="1"/>
  <c r="BS329" i="25"/>
  <c r="BM329" i="25" s="1"/>
  <c r="BN329" i="25" s="1"/>
  <c r="BO329" i="25" s="1"/>
  <c r="BS337" i="25"/>
  <c r="BS318" i="25"/>
  <c r="BM318" i="25" s="1"/>
  <c r="BN318" i="25" s="1"/>
  <c r="BO318" i="25" s="1"/>
  <c r="BS310" i="25"/>
  <c r="BM310" i="25" s="1"/>
  <c r="BN310" i="25" s="1"/>
  <c r="BO310" i="25" s="1"/>
  <c r="BS302" i="25"/>
  <c r="BM302" i="25" s="1"/>
  <c r="BN302" i="25" s="1"/>
  <c r="BO302" i="25" s="1"/>
  <c r="BS294" i="25"/>
  <c r="BM294" i="25" s="1"/>
  <c r="BN294" i="25" s="1"/>
  <c r="BO294" i="25" s="1"/>
  <c r="BS286" i="25"/>
  <c r="BM286" i="25" s="1"/>
  <c r="BN286" i="25" s="1"/>
  <c r="BO286" i="25" s="1"/>
  <c r="BS278" i="25"/>
  <c r="BM278" i="25" s="1"/>
  <c r="BN278" i="25" s="1"/>
  <c r="BO278" i="25" s="1"/>
  <c r="BS262" i="25"/>
  <c r="BM262" i="25" s="1"/>
  <c r="BN262" i="25" s="1"/>
  <c r="BO262" i="25" s="1"/>
  <c r="BS254" i="25"/>
  <c r="BS243" i="25"/>
  <c r="BM243" i="25" s="1"/>
  <c r="BN243" i="25" s="1"/>
  <c r="BO243" i="25" s="1"/>
  <c r="AX305" i="25"/>
  <c r="BA305" i="25" s="1"/>
  <c r="BB305" i="25" s="1"/>
  <c r="AX320" i="25"/>
  <c r="BA320" i="25" s="1"/>
  <c r="BB320" i="25" s="1"/>
  <c r="AX304" i="25"/>
  <c r="BA304" i="25" s="1"/>
  <c r="BB304" i="25" s="1"/>
  <c r="AX256" i="25"/>
  <c r="BA256" i="25" s="1"/>
  <c r="BB256" i="25" s="1"/>
  <c r="BS316" i="25"/>
  <c r="BM316" i="25" s="1"/>
  <c r="BN316" i="25" s="1"/>
  <c r="BO316" i="25" s="1"/>
  <c r="BS342" i="25"/>
  <c r="BM342" i="25" s="1"/>
  <c r="BN342" i="25" s="1"/>
  <c r="BO342" i="25" s="1"/>
  <c r="BS248" i="25"/>
  <c r="BM248" i="25" s="1"/>
  <c r="BN248" i="25" s="1"/>
  <c r="BO248" i="25" s="1"/>
  <c r="BJ315" i="25"/>
  <c r="BJ253" i="25"/>
  <c r="BF266" i="25"/>
  <c r="BJ246" i="25"/>
  <c r="BF265" i="25"/>
  <c r="AY304" i="25"/>
  <c r="AZ304" i="25" s="1"/>
  <c r="BC304" i="25" s="1"/>
  <c r="BJ305" i="25"/>
  <c r="BF250" i="25"/>
  <c r="AW303" i="25"/>
  <c r="AY303" i="25" s="1"/>
  <c r="AZ303" i="25" s="1"/>
  <c r="BC303" i="25" s="1"/>
  <c r="AX315" i="25"/>
  <c r="BA315" i="25" s="1"/>
  <c r="BB315" i="25" s="1"/>
  <c r="BS296" i="25"/>
  <c r="BM296" i="25" s="1"/>
  <c r="BN296" i="25" s="1"/>
  <c r="BO296" i="25" s="1"/>
  <c r="BJ346" i="25"/>
  <c r="AX306" i="25"/>
  <c r="BA306" i="25" s="1"/>
  <c r="BB306" i="25" s="1"/>
  <c r="AX266" i="25"/>
  <c r="BA266" i="25" s="1"/>
  <c r="BB266" i="25" s="1"/>
  <c r="AX250" i="25"/>
  <c r="BA250" i="25" s="1"/>
  <c r="BB250" i="25" s="1"/>
  <c r="BF335" i="25"/>
  <c r="AX335" i="25"/>
  <c r="BA335" i="25" s="1"/>
  <c r="BB335" i="25" s="1"/>
  <c r="BS325" i="25"/>
  <c r="BM325" i="25" s="1"/>
  <c r="BN325" i="25" s="1"/>
  <c r="BO325" i="25" s="1"/>
  <c r="AX336" i="25"/>
  <c r="BA336" i="25" s="1"/>
  <c r="BB336" i="25" s="1"/>
  <c r="AW322" i="25"/>
  <c r="AY322" i="25" s="1"/>
  <c r="AZ322" i="25" s="1"/>
  <c r="BC322" i="25" s="1"/>
  <c r="AY323" i="25"/>
  <c r="AZ323" i="25" s="1"/>
  <c r="BC323" i="25" s="1"/>
  <c r="AY259" i="25"/>
  <c r="AZ259" i="25" s="1"/>
  <c r="BS307" i="25"/>
  <c r="BM307" i="25" s="1"/>
  <c r="BN307" i="25" s="1"/>
  <c r="BO307" i="25" s="1"/>
  <c r="BS259" i="25"/>
  <c r="BM259" i="25" s="1"/>
  <c r="BN259" i="25" s="1"/>
  <c r="BO259" i="25" s="1"/>
  <c r="BJ287" i="25"/>
  <c r="AX287" i="25"/>
  <c r="BA287" i="25" s="1"/>
  <c r="BB287" i="25" s="1"/>
  <c r="AY330" i="25"/>
  <c r="AZ330" i="25" s="1"/>
  <c r="BC330" i="25" s="1"/>
  <c r="AY272" i="25"/>
  <c r="AZ272" i="25" s="1"/>
  <c r="BC272" i="25" s="1"/>
  <c r="BJ320" i="25"/>
  <c r="BJ304" i="25"/>
  <c r="BJ280" i="25"/>
  <c r="BJ255" i="25"/>
  <c r="BJ244" i="25"/>
  <c r="AX272" i="25"/>
  <c r="BA272" i="25" s="1"/>
  <c r="BB272" i="25" s="1"/>
  <c r="AY350" i="25"/>
  <c r="AZ350" i="25" s="1"/>
  <c r="BC350" i="25" s="1"/>
  <c r="AY342" i="25"/>
  <c r="AZ342" i="25" s="1"/>
  <c r="BC342" i="25" s="1"/>
  <c r="AX333" i="25"/>
  <c r="BA333" i="25" s="1"/>
  <c r="BB333" i="25" s="1"/>
  <c r="AX326" i="25"/>
  <c r="BA326" i="25" s="1"/>
  <c r="BB326" i="25" s="1"/>
  <c r="AY307" i="25"/>
  <c r="AZ307" i="25" s="1"/>
  <c r="AX299" i="25"/>
  <c r="BA299" i="25" s="1"/>
  <c r="BB299" i="25" s="1"/>
  <c r="AY291" i="25"/>
  <c r="AZ291" i="25" s="1"/>
  <c r="BC291" i="25" s="1"/>
  <c r="AX283" i="25"/>
  <c r="BA283" i="25" s="1"/>
  <c r="BB283" i="25" s="1"/>
  <c r="AX275" i="25"/>
  <c r="BA275" i="25" s="1"/>
  <c r="BB275" i="25" s="1"/>
  <c r="AX267" i="25"/>
  <c r="BA267" i="25" s="1"/>
  <c r="BB267" i="25" s="1"/>
  <c r="AX251" i="25"/>
  <c r="BA251" i="25" s="1"/>
  <c r="BB251" i="25" s="1"/>
  <c r="BS348" i="25"/>
  <c r="BM348" i="25" s="1"/>
  <c r="BN348" i="25" s="1"/>
  <c r="BO348" i="25" s="1"/>
  <c r="BS334" i="25"/>
  <c r="BS324" i="25"/>
  <c r="BM324" i="25" s="1"/>
  <c r="BN324" i="25" s="1"/>
  <c r="BO324" i="25" s="1"/>
  <c r="BS321" i="25"/>
  <c r="BM321" i="25" s="1"/>
  <c r="BN321" i="25" s="1"/>
  <c r="BO321" i="25" s="1"/>
  <c r="BS297" i="25"/>
  <c r="BM297" i="25" s="1"/>
  <c r="BN297" i="25" s="1"/>
  <c r="BO297" i="25" s="1"/>
  <c r="BS289" i="25"/>
  <c r="BM289" i="25" s="1"/>
  <c r="BN289" i="25" s="1"/>
  <c r="BO289" i="25" s="1"/>
  <c r="BS281" i="25"/>
  <c r="BM281" i="25" s="1"/>
  <c r="BN281" i="25" s="1"/>
  <c r="BO281" i="25" s="1"/>
  <c r="BS273" i="25"/>
  <c r="BM273" i="25" s="1"/>
  <c r="BN273" i="25" s="1"/>
  <c r="BO273" i="25" s="1"/>
  <c r="BS265" i="25"/>
  <c r="BM265" i="25" s="1"/>
  <c r="BN265" i="25" s="1"/>
  <c r="BO265" i="25" s="1"/>
  <c r="BS257" i="25"/>
  <c r="BM257" i="25" s="1"/>
  <c r="BN257" i="25" s="1"/>
  <c r="BO257" i="25" s="1"/>
  <c r="BS246" i="25"/>
  <c r="BJ339" i="25"/>
  <c r="BJ319" i="25"/>
  <c r="BJ303" i="25"/>
  <c r="BJ279" i="25"/>
  <c r="BF272" i="25"/>
  <c r="AX263" i="25"/>
  <c r="BA263" i="25" s="1"/>
  <c r="BB263" i="25" s="1"/>
  <c r="AW320" i="25"/>
  <c r="AY320" i="25" s="1"/>
  <c r="AZ320" i="25" s="1"/>
  <c r="BC320" i="25" s="1"/>
  <c r="AW244" i="25"/>
  <c r="BJ338" i="25"/>
  <c r="BJ317" i="25"/>
  <c r="BJ299" i="25"/>
  <c r="BJ271" i="25"/>
  <c r="BJ251" i="25"/>
  <c r="BF267" i="25"/>
  <c r="AW256" i="25"/>
  <c r="AY256" i="25" s="1"/>
  <c r="AZ256" i="25" s="1"/>
  <c r="BC256" i="25" s="1"/>
  <c r="AU283" i="25"/>
  <c r="AY283" i="25" s="1"/>
  <c r="AZ283" i="25" s="1"/>
  <c r="BC283" i="25" s="1"/>
  <c r="AU251" i="25"/>
  <c r="AY251" i="25" s="1"/>
  <c r="AZ251" i="25" s="1"/>
  <c r="BC251" i="25" s="1"/>
  <c r="BJ331" i="25"/>
  <c r="BJ295" i="25"/>
  <c r="AY347" i="25"/>
  <c r="AZ347" i="25" s="1"/>
  <c r="BC347" i="25" s="1"/>
  <c r="AX330" i="25"/>
  <c r="BA330" i="25" s="1"/>
  <c r="BB330" i="25" s="1"/>
  <c r="AX312" i="25"/>
  <c r="BA312" i="25" s="1"/>
  <c r="BB312" i="25" s="1"/>
  <c r="AY288" i="25"/>
  <c r="AZ288" i="25" s="1"/>
  <c r="BC288" i="25" s="1"/>
  <c r="AY280" i="25"/>
  <c r="AZ280" i="25" s="1"/>
  <c r="BC280" i="25" s="1"/>
  <c r="AY264" i="25"/>
  <c r="AZ264" i="25" s="1"/>
  <c r="BC264" i="25" s="1"/>
  <c r="BJ312" i="25"/>
  <c r="AY298" i="25"/>
  <c r="AZ298" i="25" s="1"/>
  <c r="BC298" i="25" s="1"/>
  <c r="BS285" i="25"/>
  <c r="BM285" i="25" s="1"/>
  <c r="BN285" i="25" s="1"/>
  <c r="BO285" i="25" s="1"/>
  <c r="BS351" i="25"/>
  <c r="BM351" i="25" s="1"/>
  <c r="BN351" i="25" s="1"/>
  <c r="BO351" i="25" s="1"/>
  <c r="BS343" i="25"/>
  <c r="BS332" i="25"/>
  <c r="BM332" i="25" s="1"/>
  <c r="BN332" i="25" s="1"/>
  <c r="BO332" i="25" s="1"/>
  <c r="BS327" i="25"/>
  <c r="BM327" i="25" s="1"/>
  <c r="BN327" i="25" s="1"/>
  <c r="BO327" i="25" s="1"/>
  <c r="BS308" i="25"/>
  <c r="BM308" i="25" s="1"/>
  <c r="BN308" i="25" s="1"/>
  <c r="BO308" i="25" s="1"/>
  <c r="BJ311" i="25"/>
  <c r="BJ261" i="25"/>
  <c r="BJ248" i="25"/>
  <c r="BF333" i="25"/>
  <c r="BF264" i="25"/>
  <c r="AW346" i="25"/>
  <c r="AY346" i="25" s="1"/>
  <c r="AZ346" i="25" s="1"/>
  <c r="BC346" i="25" s="1"/>
  <c r="BJ340" i="25"/>
  <c r="BF285" i="25"/>
  <c r="AU333" i="25"/>
  <c r="AY333" i="25" s="1"/>
  <c r="AZ333" i="25" s="1"/>
  <c r="BC333" i="25" s="1"/>
  <c r="AY344" i="25"/>
  <c r="AZ344" i="25" s="1"/>
  <c r="BC344" i="25" s="1"/>
  <c r="AY335" i="25"/>
  <c r="AZ335" i="25" s="1"/>
  <c r="BC335" i="25" s="1"/>
  <c r="AY317" i="25"/>
  <c r="AZ317" i="25" s="1"/>
  <c r="BC317" i="25" s="1"/>
  <c r="AY301" i="25"/>
  <c r="AZ301" i="25" s="1"/>
  <c r="BC301" i="25" s="1"/>
  <c r="AY293" i="25"/>
  <c r="AZ293" i="25" s="1"/>
  <c r="BC293" i="25" s="1"/>
  <c r="AX285" i="25"/>
  <c r="BA285" i="25" s="1"/>
  <c r="BB285" i="25" s="1"/>
  <c r="AY269" i="25"/>
  <c r="AZ269" i="25" s="1"/>
  <c r="BC269" i="25" s="1"/>
  <c r="BJ324" i="25"/>
  <c r="BF321" i="25"/>
  <c r="AY312" i="25"/>
  <c r="AZ312" i="25" s="1"/>
  <c r="BC312" i="25" s="1"/>
  <c r="AY315" i="25"/>
  <c r="AZ315" i="25" s="1"/>
  <c r="BC315" i="25" s="1"/>
  <c r="AY248" i="25"/>
  <c r="AZ248" i="25" s="1"/>
  <c r="BC248" i="25" s="1"/>
  <c r="BS287" i="25"/>
  <c r="BM287" i="25" s="1"/>
  <c r="BN287" i="25" s="1"/>
  <c r="BO287" i="25" s="1"/>
  <c r="BM254" i="25"/>
  <c r="BN254" i="25" s="1"/>
  <c r="BO254" i="25" s="1"/>
  <c r="BJ348" i="25"/>
  <c r="BJ323" i="25"/>
  <c r="BJ289" i="25"/>
  <c r="BJ277" i="25"/>
  <c r="BF334" i="25"/>
  <c r="BF297" i="25"/>
  <c r="BF275" i="25"/>
  <c r="AX296" i="25"/>
  <c r="BA296" i="25" s="1"/>
  <c r="BB296" i="25" s="1"/>
  <c r="AX259" i="25"/>
  <c r="BA259" i="25" s="1"/>
  <c r="BB259" i="25" s="1"/>
  <c r="BS301" i="25"/>
  <c r="BM301" i="25" s="1"/>
  <c r="BN301" i="25" s="1"/>
  <c r="BO301" i="25" s="1"/>
  <c r="BS293" i="25"/>
  <c r="BM293" i="25" s="1"/>
  <c r="BN293" i="25" s="1"/>
  <c r="BO293" i="25" s="1"/>
  <c r="BS277" i="25"/>
  <c r="BM277" i="25" s="1"/>
  <c r="BN277" i="25" s="1"/>
  <c r="BO277" i="25" s="1"/>
  <c r="BS269" i="25"/>
  <c r="BM269" i="25" s="1"/>
  <c r="BN269" i="25" s="1"/>
  <c r="BO269" i="25" s="1"/>
  <c r="BJ347" i="25"/>
  <c r="BJ322" i="25"/>
  <c r="BJ313" i="25"/>
  <c r="BJ288" i="25"/>
  <c r="BJ263" i="25"/>
  <c r="BF330" i="25"/>
  <c r="BF296" i="25"/>
  <c r="BF273" i="25"/>
  <c r="BF258" i="25"/>
  <c r="AX342" i="25"/>
  <c r="BA342" i="25" s="1"/>
  <c r="BB342" i="25" s="1"/>
  <c r="AX317" i="25"/>
  <c r="BA317" i="25" s="1"/>
  <c r="BB317" i="25" s="1"/>
  <c r="AX291" i="25"/>
  <c r="BA291" i="25" s="1"/>
  <c r="BB291" i="25" s="1"/>
  <c r="AW281" i="25"/>
  <c r="AY281" i="25" s="1"/>
  <c r="AZ281" i="25" s="1"/>
  <c r="BC281" i="25" s="1"/>
  <c r="AW266" i="25"/>
  <c r="AY266" i="25" s="1"/>
  <c r="AZ266" i="25" s="1"/>
  <c r="BC266" i="25" s="1"/>
  <c r="AW250" i="25"/>
  <c r="AY250" i="25" s="1"/>
  <c r="AZ250" i="25" s="1"/>
  <c r="BC250" i="25" s="1"/>
  <c r="AU267" i="25"/>
  <c r="AY267" i="25" s="1"/>
  <c r="AZ267" i="25" s="1"/>
  <c r="BC267" i="25" s="1"/>
  <c r="AY348" i="25"/>
  <c r="AZ348" i="25" s="1"/>
  <c r="BC348" i="25" s="1"/>
  <c r="AY340" i="25"/>
  <c r="AZ340" i="25" s="1"/>
  <c r="BC340" i="25" s="1"/>
  <c r="AY334" i="25"/>
  <c r="AZ334" i="25" s="1"/>
  <c r="BC334" i="25" s="1"/>
  <c r="AY305" i="25"/>
  <c r="AZ305" i="25" s="1"/>
  <c r="BC305" i="25" s="1"/>
  <c r="BF257" i="25"/>
  <c r="BJ344" i="25"/>
  <c r="AX248" i="25"/>
  <c r="BA248" i="25" s="1"/>
  <c r="BB248" i="25" s="1"/>
  <c r="AX319" i="25"/>
  <c r="BA319" i="25" s="1"/>
  <c r="BB319" i="25" s="1"/>
  <c r="AX295" i="25"/>
  <c r="BA295" i="25" s="1"/>
  <c r="BB295" i="25" s="1"/>
  <c r="AX255" i="25"/>
  <c r="BA255" i="25" s="1"/>
  <c r="BB255" i="25" s="1"/>
  <c r="BS350" i="25"/>
  <c r="BM350" i="25" s="1"/>
  <c r="BN350" i="25" s="1"/>
  <c r="BO350" i="25" s="1"/>
  <c r="BS333" i="25"/>
  <c r="BM333" i="25" s="1"/>
  <c r="BN333" i="25" s="1"/>
  <c r="BO333" i="25" s="1"/>
  <c r="BS326" i="25"/>
  <c r="BM326" i="25" s="1"/>
  <c r="BN326" i="25" s="1"/>
  <c r="BO326" i="25" s="1"/>
  <c r="BS315" i="25"/>
  <c r="BM315" i="25" s="1"/>
  <c r="BN315" i="25" s="1"/>
  <c r="BO315" i="25" s="1"/>
  <c r="BS299" i="25"/>
  <c r="BM299" i="25" s="1"/>
  <c r="BN299" i="25" s="1"/>
  <c r="BO299" i="25" s="1"/>
  <c r="BS291" i="25"/>
  <c r="BM291" i="25" s="1"/>
  <c r="BN291" i="25" s="1"/>
  <c r="BO291" i="25" s="1"/>
  <c r="BS283" i="25"/>
  <c r="BM283" i="25" s="1"/>
  <c r="BN283" i="25" s="1"/>
  <c r="BO283" i="25" s="1"/>
  <c r="BS275" i="25"/>
  <c r="BM275" i="25" s="1"/>
  <c r="BN275" i="25" s="1"/>
  <c r="BO275" i="25" s="1"/>
  <c r="BS267" i="25"/>
  <c r="BM267" i="25" s="1"/>
  <c r="BN267" i="25" s="1"/>
  <c r="BO267" i="25" s="1"/>
  <c r="BS251" i="25"/>
  <c r="BM251" i="25" s="1"/>
  <c r="BN251" i="25" s="1"/>
  <c r="BO251" i="25" s="1"/>
  <c r="BS349" i="25"/>
  <c r="BM349" i="25" s="1"/>
  <c r="BN349" i="25" s="1"/>
  <c r="BO349" i="25" s="1"/>
  <c r="BS341" i="25"/>
  <c r="BM341" i="25" s="1"/>
  <c r="BN341" i="25" s="1"/>
  <c r="BO341" i="25" s="1"/>
  <c r="BS336" i="25"/>
  <c r="BM336" i="25" s="1"/>
  <c r="BN336" i="25" s="1"/>
  <c r="BO336" i="25" s="1"/>
  <c r="BS314" i="25"/>
  <c r="BM314" i="25" s="1"/>
  <c r="BN314" i="25" s="1"/>
  <c r="BO314" i="25" s="1"/>
  <c r="BS306" i="25"/>
  <c r="BM306" i="25" s="1"/>
  <c r="BN306" i="25" s="1"/>
  <c r="BO306" i="25" s="1"/>
  <c r="BS290" i="25"/>
  <c r="BM290" i="25" s="1"/>
  <c r="BN290" i="25" s="1"/>
  <c r="BO290" i="25" s="1"/>
  <c r="BS282" i="25"/>
  <c r="BM282" i="25" s="1"/>
  <c r="BN282" i="25" s="1"/>
  <c r="BO282" i="25" s="1"/>
  <c r="BS266" i="25"/>
  <c r="BM266" i="25" s="1"/>
  <c r="BN266" i="25" s="1"/>
  <c r="BO266" i="25" s="1"/>
  <c r="BS258" i="25"/>
  <c r="BM258" i="25" s="1"/>
  <c r="BN258" i="25" s="1"/>
  <c r="BO258" i="25" s="1"/>
  <c r="BS247" i="25"/>
  <c r="BM247" i="25" s="1"/>
  <c r="BN247" i="25" s="1"/>
  <c r="BO247" i="25" s="1"/>
  <c r="BJ309" i="25"/>
  <c r="AX307" i="25"/>
  <c r="BA307" i="25" s="1"/>
  <c r="BB307" i="25" s="1"/>
  <c r="AX245" i="25"/>
  <c r="BA245" i="25" s="1"/>
  <c r="BB245" i="25" s="1"/>
  <c r="AU299" i="25"/>
  <c r="AY299" i="25" s="1"/>
  <c r="AZ299" i="25" s="1"/>
  <c r="BC299" i="25" s="1"/>
  <c r="BF351" i="25"/>
  <c r="BJ351" i="25"/>
  <c r="BF343" i="25"/>
  <c r="BJ343" i="25"/>
  <c r="BF332" i="25"/>
  <c r="BJ332" i="25"/>
  <c r="BF327" i="25"/>
  <c r="BJ327" i="25"/>
  <c r="BF316" i="25"/>
  <c r="BJ316" i="25"/>
  <c r="BF292" i="25"/>
  <c r="BJ292" i="25"/>
  <c r="BJ284" i="25"/>
  <c r="BF284" i="25"/>
  <c r="BF252" i="25"/>
  <c r="BJ252" i="25"/>
  <c r="BJ249" i="25"/>
  <c r="BF249" i="25"/>
  <c r="AU328" i="25"/>
  <c r="AY328" i="25" s="1"/>
  <c r="AZ328" i="25" s="1"/>
  <c r="BC328" i="25" s="1"/>
  <c r="AX328" i="25"/>
  <c r="BA328" i="25" s="1"/>
  <c r="BB328" i="25" s="1"/>
  <c r="AU309" i="25"/>
  <c r="AY309" i="25" s="1"/>
  <c r="AZ309" i="25" s="1"/>
  <c r="BC309" i="25" s="1"/>
  <c r="AX309" i="25"/>
  <c r="BA309" i="25" s="1"/>
  <c r="BB309" i="25" s="1"/>
  <c r="AX277" i="25"/>
  <c r="BA277" i="25" s="1"/>
  <c r="BB277" i="25" s="1"/>
  <c r="AU277" i="25"/>
  <c r="AY277" i="25" s="1"/>
  <c r="AZ277" i="25" s="1"/>
  <c r="BC277" i="25" s="1"/>
  <c r="AU261" i="25"/>
  <c r="AY261" i="25" s="1"/>
  <c r="AZ261" i="25" s="1"/>
  <c r="BC261" i="25" s="1"/>
  <c r="AX261" i="25"/>
  <c r="BA261" i="25" s="1"/>
  <c r="BB261" i="25" s="1"/>
  <c r="AU253" i="25"/>
  <c r="AY253" i="25" s="1"/>
  <c r="AZ253" i="25" s="1"/>
  <c r="BC253" i="25" s="1"/>
  <c r="AX253" i="25"/>
  <c r="BA253" i="25" s="1"/>
  <c r="BB253" i="25" s="1"/>
  <c r="BS347" i="25"/>
  <c r="BM347" i="25" s="1"/>
  <c r="BN347" i="25" s="1"/>
  <c r="BO347" i="25" s="1"/>
  <c r="BS339" i="25"/>
  <c r="BM339" i="25" s="1"/>
  <c r="BN339" i="25" s="1"/>
  <c r="BO339" i="25" s="1"/>
  <c r="BS330" i="25"/>
  <c r="BM330" i="25" s="1"/>
  <c r="BN330" i="25" s="1"/>
  <c r="BO330" i="25" s="1"/>
  <c r="BS323" i="25"/>
  <c r="BM323" i="25" s="1"/>
  <c r="BN323" i="25" s="1"/>
  <c r="BO323" i="25" s="1"/>
  <c r="BS320" i="25"/>
  <c r="BM320" i="25" s="1"/>
  <c r="BN320" i="25" s="1"/>
  <c r="BO320" i="25" s="1"/>
  <c r="BS312" i="25"/>
  <c r="BM312" i="25" s="1"/>
  <c r="BN312" i="25" s="1"/>
  <c r="BO312" i="25" s="1"/>
  <c r="BS304" i="25"/>
  <c r="BM304" i="25" s="1"/>
  <c r="BN304" i="25" s="1"/>
  <c r="BO304" i="25" s="1"/>
  <c r="BS288" i="25"/>
  <c r="BM288" i="25" s="1"/>
  <c r="BN288" i="25" s="1"/>
  <c r="BO288" i="25" s="1"/>
  <c r="BS280" i="25"/>
  <c r="BM280" i="25" s="1"/>
  <c r="BN280" i="25" s="1"/>
  <c r="BO280" i="25" s="1"/>
  <c r="BS272" i="25"/>
  <c r="BM272" i="25" s="1"/>
  <c r="BN272" i="25" s="1"/>
  <c r="BO272" i="25" s="1"/>
  <c r="BS264" i="25"/>
  <c r="BM264" i="25" s="1"/>
  <c r="BN264" i="25" s="1"/>
  <c r="BO264" i="25" s="1"/>
  <c r="BS256" i="25"/>
  <c r="BM256" i="25" s="1"/>
  <c r="BN256" i="25" s="1"/>
  <c r="BO256" i="25" s="1"/>
  <c r="BS245" i="25"/>
  <c r="BM245" i="25" s="1"/>
  <c r="BN245" i="25" s="1"/>
  <c r="BO245" i="25" s="1"/>
  <c r="BS346" i="25"/>
  <c r="BM346" i="25" s="1"/>
  <c r="BN346" i="25" s="1"/>
  <c r="BO346" i="25" s="1"/>
  <c r="BS338" i="25"/>
  <c r="BM338" i="25" s="1"/>
  <c r="BN338" i="25" s="1"/>
  <c r="BO338" i="25" s="1"/>
  <c r="BS331" i="25"/>
  <c r="BM331" i="25" s="1"/>
  <c r="BN331" i="25" s="1"/>
  <c r="BO331" i="25" s="1"/>
  <c r="BS322" i="25"/>
  <c r="BM322" i="25" s="1"/>
  <c r="BN322" i="25" s="1"/>
  <c r="BO322" i="25" s="1"/>
  <c r="BS319" i="25"/>
  <c r="BM319" i="25" s="1"/>
  <c r="BN319" i="25" s="1"/>
  <c r="BO319" i="25" s="1"/>
  <c r="BS311" i="25"/>
  <c r="BM311" i="25" s="1"/>
  <c r="BN311" i="25" s="1"/>
  <c r="BO311" i="25" s="1"/>
  <c r="BS303" i="25"/>
  <c r="BM303" i="25" s="1"/>
  <c r="BN303" i="25" s="1"/>
  <c r="BO303" i="25" s="1"/>
  <c r="AX293" i="25"/>
  <c r="BA293" i="25" s="1"/>
  <c r="BB293" i="25" s="1"/>
  <c r="AX269" i="25"/>
  <c r="BA269" i="25" s="1"/>
  <c r="BB269" i="25" s="1"/>
  <c r="AW341" i="25"/>
  <c r="AY341" i="25" s="1"/>
  <c r="AZ341" i="25" s="1"/>
  <c r="BC341" i="25" s="1"/>
  <c r="AX341" i="25"/>
  <c r="BA341" i="25" s="1"/>
  <c r="BB341" i="25" s="1"/>
  <c r="AW325" i="25"/>
  <c r="AY325" i="25" s="1"/>
  <c r="AZ325" i="25" s="1"/>
  <c r="BC325" i="25" s="1"/>
  <c r="AX325" i="25"/>
  <c r="BA325" i="25" s="1"/>
  <c r="BB325" i="25" s="1"/>
  <c r="AX314" i="25"/>
  <c r="BA314" i="25" s="1"/>
  <c r="BB314" i="25" s="1"/>
  <c r="AW314" i="25"/>
  <c r="AY314" i="25" s="1"/>
  <c r="AZ314" i="25" s="1"/>
  <c r="BC314" i="25" s="1"/>
  <c r="AX290" i="25"/>
  <c r="BA290" i="25" s="1"/>
  <c r="BB290" i="25" s="1"/>
  <c r="AW290" i="25"/>
  <c r="AY290" i="25" s="1"/>
  <c r="AZ290" i="25" s="1"/>
  <c r="BC290" i="25" s="1"/>
  <c r="AW282" i="25"/>
  <c r="AY282" i="25" s="1"/>
  <c r="AZ282" i="25" s="1"/>
  <c r="BC282" i="25" s="1"/>
  <c r="AX282" i="25"/>
  <c r="BA282" i="25" s="1"/>
  <c r="BB282" i="25" s="1"/>
  <c r="AW258" i="25"/>
  <c r="AY258" i="25" s="1"/>
  <c r="AZ258" i="25" s="1"/>
  <c r="BC258" i="25" s="1"/>
  <c r="AX258" i="25"/>
  <c r="BA258" i="25" s="1"/>
  <c r="BB258" i="25" s="1"/>
  <c r="AX247" i="25"/>
  <c r="BA247" i="25" s="1"/>
  <c r="BB247" i="25" s="1"/>
  <c r="AW247" i="25"/>
  <c r="AY247" i="25" s="1"/>
  <c r="AZ247" i="25" s="1"/>
  <c r="BC247" i="25" s="1"/>
  <c r="BF308" i="25"/>
  <c r="BF276" i="25"/>
  <c r="BJ349" i="25"/>
  <c r="BF349" i="25"/>
  <c r="BJ341" i="25"/>
  <c r="BF341" i="25"/>
  <c r="BJ325" i="25"/>
  <c r="BF325" i="25"/>
  <c r="BF314" i="25"/>
  <c r="BJ314" i="25"/>
  <c r="BJ306" i="25"/>
  <c r="BF306" i="25"/>
  <c r="BF298" i="25"/>
  <c r="BJ298" i="25"/>
  <c r="BF290" i="25"/>
  <c r="BJ290" i="25"/>
  <c r="BJ274" i="25"/>
  <c r="BF274" i="25"/>
  <c r="BJ247" i="25"/>
  <c r="BF247" i="25"/>
  <c r="AW336" i="25"/>
  <c r="AY336" i="25" s="1"/>
  <c r="AZ336" i="25" s="1"/>
  <c r="BC336" i="25" s="1"/>
  <c r="AW306" i="25"/>
  <c r="AY306" i="25" s="1"/>
  <c r="AZ306" i="25" s="1"/>
  <c r="BC306" i="25" s="1"/>
  <c r="AX324" i="25"/>
  <c r="BA324" i="25" s="1"/>
  <c r="BB324" i="25" s="1"/>
  <c r="AU285" i="25"/>
  <c r="AY285" i="25" s="1"/>
  <c r="AZ285" i="25" s="1"/>
  <c r="BC285" i="25" s="1"/>
  <c r="BF260" i="25"/>
  <c r="AY324" i="25"/>
  <c r="AZ324" i="25" s="1"/>
  <c r="BC324" i="25" s="1"/>
  <c r="AU297" i="25"/>
  <c r="AY297" i="25" s="1"/>
  <c r="AZ297" i="25" s="1"/>
  <c r="BC297" i="25" s="1"/>
  <c r="AX297" i="25"/>
  <c r="BA297" i="25" s="1"/>
  <c r="BB297" i="25" s="1"/>
  <c r="AU273" i="25"/>
  <c r="AY273" i="25" s="1"/>
  <c r="AZ273" i="25" s="1"/>
  <c r="BC273" i="25" s="1"/>
  <c r="AX273" i="25"/>
  <c r="BA273" i="25" s="1"/>
  <c r="BB273" i="25" s="1"/>
  <c r="AX265" i="25"/>
  <c r="BA265" i="25" s="1"/>
  <c r="BB265" i="25" s="1"/>
  <c r="AU265" i="25"/>
  <c r="AY265" i="25" s="1"/>
  <c r="AZ265" i="25" s="1"/>
  <c r="BC265" i="25" s="1"/>
  <c r="AX246" i="25"/>
  <c r="BA246" i="25" s="1"/>
  <c r="BB246" i="25" s="1"/>
  <c r="AU246" i="25"/>
  <c r="AY246" i="25" s="1"/>
  <c r="AZ246" i="25" s="1"/>
  <c r="BC246" i="25" s="1"/>
  <c r="BF336" i="25"/>
  <c r="BF286" i="25"/>
  <c r="AX349" i="25"/>
  <c r="BA349" i="25" s="1"/>
  <c r="BB349" i="25" s="1"/>
  <c r="AY296" i="25"/>
  <c r="AZ296" i="25" s="1"/>
  <c r="BC296" i="25" s="1"/>
  <c r="BF345" i="25"/>
  <c r="BJ345" i="25"/>
  <c r="BF329" i="25"/>
  <c r="BJ329" i="25"/>
  <c r="BF337" i="25"/>
  <c r="BJ337" i="25"/>
  <c r="BF318" i="25"/>
  <c r="BJ318" i="25"/>
  <c r="BF310" i="25"/>
  <c r="BJ310" i="25"/>
  <c r="BF302" i="25"/>
  <c r="BJ302" i="25"/>
  <c r="BF294" i="25"/>
  <c r="BJ294" i="25"/>
  <c r="BF270" i="25"/>
  <c r="BJ270" i="25"/>
  <c r="BF262" i="25"/>
  <c r="BJ262" i="25"/>
  <c r="BF254" i="25"/>
  <c r="BJ254" i="25"/>
  <c r="BF243" i="25"/>
  <c r="BJ243" i="25"/>
  <c r="AX301" i="25"/>
  <c r="BA301" i="25" s="1"/>
  <c r="BB301" i="25" s="1"/>
  <c r="AY349" i="25"/>
  <c r="AZ349" i="25" s="1"/>
  <c r="BC349" i="25" s="1"/>
  <c r="BM343" i="25"/>
  <c r="BN343" i="25" s="1"/>
  <c r="BO343" i="25" s="1"/>
  <c r="BS340" i="25"/>
  <c r="BM340" i="25" s="1"/>
  <c r="BN340" i="25" s="1"/>
  <c r="BO340" i="25" s="1"/>
  <c r="BS305" i="25"/>
  <c r="BM305" i="25" s="1"/>
  <c r="BN305" i="25" s="1"/>
  <c r="BO305" i="25" s="1"/>
  <c r="BF300" i="25"/>
  <c r="BF282" i="25"/>
  <c r="BF268" i="25"/>
  <c r="AX298" i="25"/>
  <c r="BA298" i="25" s="1"/>
  <c r="BB298" i="25" s="1"/>
  <c r="AX274" i="25"/>
  <c r="BA274" i="25" s="1"/>
  <c r="BB274" i="25" s="1"/>
  <c r="AY245" i="25"/>
  <c r="AZ245" i="25" s="1"/>
  <c r="BC245" i="25" s="1"/>
  <c r="AX331" i="25"/>
  <c r="BA331" i="25" s="1"/>
  <c r="BB331" i="25" s="1"/>
  <c r="AY295" i="25"/>
  <c r="AZ295" i="25" s="1"/>
  <c r="BC295" i="25" s="1"/>
  <c r="AX348" i="25"/>
  <c r="BA348" i="25" s="1"/>
  <c r="BB348" i="25" s="1"/>
  <c r="AX321" i="25"/>
  <c r="BA321" i="25" s="1"/>
  <c r="BB321" i="25" s="1"/>
  <c r="AX289" i="25"/>
  <c r="BA289" i="25" s="1"/>
  <c r="BB289" i="25" s="1"/>
  <c r="AX257" i="25"/>
  <c r="BA257" i="25" s="1"/>
  <c r="BB257" i="25" s="1"/>
  <c r="AU319" i="25"/>
  <c r="AY319" i="25" s="1"/>
  <c r="AZ319" i="25" s="1"/>
  <c r="BC319" i="25" s="1"/>
  <c r="BS344" i="25"/>
  <c r="BM344" i="25" s="1"/>
  <c r="BN344" i="25" s="1"/>
  <c r="BO344" i="25" s="1"/>
  <c r="BS335" i="25"/>
  <c r="BM335" i="25" s="1"/>
  <c r="BN335" i="25" s="1"/>
  <c r="BO335" i="25" s="1"/>
  <c r="BS328" i="25"/>
  <c r="BM328" i="25" s="1"/>
  <c r="BN328" i="25" s="1"/>
  <c r="BO328" i="25" s="1"/>
  <c r="BS317" i="25"/>
  <c r="BM317" i="25" s="1"/>
  <c r="BN317" i="25" s="1"/>
  <c r="BO317" i="25" s="1"/>
  <c r="BS309" i="25"/>
  <c r="BM309" i="25" s="1"/>
  <c r="BN309" i="25" s="1"/>
  <c r="BO309" i="25" s="1"/>
  <c r="BS253" i="25"/>
  <c r="BM253" i="25" s="1"/>
  <c r="BN253" i="25" s="1"/>
  <c r="BO253" i="25" s="1"/>
  <c r="BC287" i="25"/>
  <c r="AX340" i="25"/>
  <c r="BA340" i="25" s="1"/>
  <c r="BB340" i="25" s="1"/>
  <c r="AY331" i="25"/>
  <c r="AZ331" i="25" s="1"/>
  <c r="BC331" i="25" s="1"/>
  <c r="AY263" i="25"/>
  <c r="AZ263" i="25" s="1"/>
  <c r="BC263" i="25" s="1"/>
  <c r="AX350" i="25"/>
  <c r="BA350" i="25" s="1"/>
  <c r="BB350" i="25" s="1"/>
  <c r="AX339" i="25"/>
  <c r="BA339" i="25" s="1"/>
  <c r="BB339" i="25" s="1"/>
  <c r="AX271" i="25"/>
  <c r="BA271" i="25" s="1"/>
  <c r="BB271" i="25" s="1"/>
  <c r="AW313" i="25"/>
  <c r="AY313" i="25" s="1"/>
  <c r="AZ313" i="25" s="1"/>
  <c r="BC313" i="25" s="1"/>
  <c r="AX338" i="25"/>
  <c r="BA338" i="25" s="1"/>
  <c r="BB338" i="25" s="1"/>
  <c r="AX311" i="25"/>
  <c r="BA311" i="25" s="1"/>
  <c r="BB311" i="25" s="1"/>
  <c r="AX279" i="25"/>
  <c r="BA279" i="25" s="1"/>
  <c r="BB279" i="25" s="1"/>
  <c r="AU275" i="25"/>
  <c r="AY275" i="25" s="1"/>
  <c r="AZ275" i="25" s="1"/>
  <c r="BC275" i="25" s="1"/>
  <c r="AU255" i="25"/>
  <c r="AY255" i="25" s="1"/>
  <c r="AZ255" i="25" s="1"/>
  <c r="BC255" i="25" s="1"/>
  <c r="AX347" i="25"/>
  <c r="BA347" i="25" s="1"/>
  <c r="BB347" i="25" s="1"/>
  <c r="AW321" i="25"/>
  <c r="AY321" i="25" s="1"/>
  <c r="AZ321" i="25" s="1"/>
  <c r="BC321" i="25" s="1"/>
  <c r="AY311" i="25"/>
  <c r="AZ311" i="25" s="1"/>
  <c r="BC311" i="25" s="1"/>
  <c r="AY244" i="25"/>
  <c r="AZ244" i="25" s="1"/>
  <c r="BC244" i="25" s="1"/>
  <c r="BC307" i="25"/>
  <c r="BC259" i="25"/>
  <c r="AY279" i="25"/>
  <c r="AZ279" i="25" s="1"/>
  <c r="BC279" i="25" s="1"/>
  <c r="BS295" i="25"/>
  <c r="BM295" i="25" s="1"/>
  <c r="BN295" i="25" s="1"/>
  <c r="BO295" i="25" s="1"/>
  <c r="BS279" i="25"/>
  <c r="BM279" i="25" s="1"/>
  <c r="BN279" i="25" s="1"/>
  <c r="BO279" i="25" s="1"/>
  <c r="BS271" i="25"/>
  <c r="BM271" i="25" s="1"/>
  <c r="BN271" i="25" s="1"/>
  <c r="BO271" i="25" s="1"/>
  <c r="BS263" i="25"/>
  <c r="BM263" i="25" s="1"/>
  <c r="BN263" i="25" s="1"/>
  <c r="BO263" i="25" s="1"/>
  <c r="BS255" i="25"/>
  <c r="BM255" i="25" s="1"/>
  <c r="BN255" i="25" s="1"/>
  <c r="BO255" i="25" s="1"/>
  <c r="BS244" i="25"/>
  <c r="BM244" i="25" s="1"/>
  <c r="BN244" i="25" s="1"/>
  <c r="BO244" i="25" s="1"/>
  <c r="AX344" i="25"/>
  <c r="BA344" i="25" s="1"/>
  <c r="BB344" i="25" s="1"/>
  <c r="AX334" i="25"/>
  <c r="BA334" i="25" s="1"/>
  <c r="BB334" i="25" s="1"/>
  <c r="AX288" i="25"/>
  <c r="BA288" i="25" s="1"/>
  <c r="BB288" i="25" s="1"/>
  <c r="AX264" i="25"/>
  <c r="BA264" i="25" s="1"/>
  <c r="BB264" i="25" s="1"/>
  <c r="AW257" i="25"/>
  <c r="AY257" i="25" s="1"/>
  <c r="AZ257" i="25" s="1"/>
  <c r="BC257" i="25" s="1"/>
  <c r="AU326" i="25"/>
  <c r="AY326" i="25" s="1"/>
  <c r="AZ326" i="25" s="1"/>
  <c r="BC326" i="25" s="1"/>
  <c r="BP348" i="25"/>
  <c r="BP334" i="25"/>
  <c r="BM334" i="25"/>
  <c r="BN334" i="25" s="1"/>
  <c r="BO334" i="25" s="1"/>
  <c r="BP321" i="25"/>
  <c r="BP305" i="25"/>
  <c r="BP289" i="25"/>
  <c r="BP273" i="25"/>
  <c r="BP257" i="25"/>
  <c r="AX343" i="25"/>
  <c r="BA343" i="25" s="1"/>
  <c r="BB343" i="25" s="1"/>
  <c r="AU343" i="25"/>
  <c r="AY343" i="25" s="1"/>
  <c r="AZ343" i="25" s="1"/>
  <c r="BC343" i="25" s="1"/>
  <c r="AX252" i="25"/>
  <c r="BA252" i="25" s="1"/>
  <c r="BB252" i="25" s="1"/>
  <c r="AU252" i="25"/>
  <c r="AY252" i="25" s="1"/>
  <c r="AZ252" i="25" s="1"/>
  <c r="BC252" i="25" s="1"/>
  <c r="BP340" i="25"/>
  <c r="BP324" i="25"/>
  <c r="BP313" i="25"/>
  <c r="BP297" i="25"/>
  <c r="BP281" i="25"/>
  <c r="BP265" i="25"/>
  <c r="BP246" i="25"/>
  <c r="BM246" i="25"/>
  <c r="BN246" i="25" s="1"/>
  <c r="BO246" i="25" s="1"/>
  <c r="AX351" i="25"/>
  <c r="BA351" i="25" s="1"/>
  <c r="BB351" i="25" s="1"/>
  <c r="AU351" i="25"/>
  <c r="AY351" i="25" s="1"/>
  <c r="AZ351" i="25" s="1"/>
  <c r="BC351" i="25" s="1"/>
  <c r="AX332" i="25"/>
  <c r="BA332" i="25" s="1"/>
  <c r="BB332" i="25" s="1"/>
  <c r="AU332" i="25"/>
  <c r="AY332" i="25" s="1"/>
  <c r="AZ332" i="25" s="1"/>
  <c r="BC332" i="25" s="1"/>
  <c r="AX327" i="25"/>
  <c r="BA327" i="25" s="1"/>
  <c r="BB327" i="25" s="1"/>
  <c r="AU327" i="25"/>
  <c r="AY327" i="25" s="1"/>
  <c r="AZ327" i="25" s="1"/>
  <c r="BC327" i="25" s="1"/>
  <c r="AX316" i="25"/>
  <c r="BA316" i="25" s="1"/>
  <c r="BB316" i="25" s="1"/>
  <c r="AU316" i="25"/>
  <c r="AY316" i="25" s="1"/>
  <c r="AZ316" i="25" s="1"/>
  <c r="BC316" i="25" s="1"/>
  <c r="AX308" i="25"/>
  <c r="BA308" i="25" s="1"/>
  <c r="BB308" i="25" s="1"/>
  <c r="AU308" i="25"/>
  <c r="AY308" i="25" s="1"/>
  <c r="AZ308" i="25" s="1"/>
  <c r="BC308" i="25" s="1"/>
  <c r="AX300" i="25"/>
  <c r="BA300" i="25" s="1"/>
  <c r="BB300" i="25" s="1"/>
  <c r="AU300" i="25"/>
  <c r="AY300" i="25" s="1"/>
  <c r="AZ300" i="25" s="1"/>
  <c r="BC300" i="25" s="1"/>
  <c r="AX292" i="25"/>
  <c r="BA292" i="25" s="1"/>
  <c r="BB292" i="25" s="1"/>
  <c r="AU292" i="25"/>
  <c r="AY292" i="25" s="1"/>
  <c r="AZ292" i="25" s="1"/>
  <c r="BC292" i="25" s="1"/>
  <c r="AX284" i="25"/>
  <c r="BA284" i="25" s="1"/>
  <c r="BB284" i="25" s="1"/>
  <c r="AU284" i="25"/>
  <c r="AY284" i="25" s="1"/>
  <c r="AZ284" i="25" s="1"/>
  <c r="BC284" i="25" s="1"/>
  <c r="AX276" i="25"/>
  <c r="BA276" i="25" s="1"/>
  <c r="BB276" i="25" s="1"/>
  <c r="AU276" i="25"/>
  <c r="AY276" i="25" s="1"/>
  <c r="AZ276" i="25" s="1"/>
  <c r="BC276" i="25" s="1"/>
  <c r="AX268" i="25"/>
  <c r="BA268" i="25" s="1"/>
  <c r="BB268" i="25" s="1"/>
  <c r="AU268" i="25"/>
  <c r="AY268" i="25" s="1"/>
  <c r="AZ268" i="25" s="1"/>
  <c r="BC268" i="25" s="1"/>
  <c r="AX260" i="25"/>
  <c r="BA260" i="25" s="1"/>
  <c r="BB260" i="25" s="1"/>
  <c r="AU260" i="25"/>
  <c r="AY260" i="25" s="1"/>
  <c r="AZ260" i="25" s="1"/>
  <c r="BC260" i="25" s="1"/>
  <c r="AX249" i="25"/>
  <c r="BA249" i="25" s="1"/>
  <c r="BB249" i="25" s="1"/>
  <c r="AU249" i="25"/>
  <c r="AY249" i="25" s="1"/>
  <c r="AZ249" i="25" s="1"/>
  <c r="BC249" i="25" s="1"/>
  <c r="BS300" i="25"/>
  <c r="BM300" i="25" s="1"/>
  <c r="BN300" i="25" s="1"/>
  <c r="BO300" i="25" s="1"/>
  <c r="BS292" i="25"/>
  <c r="BM292" i="25" s="1"/>
  <c r="BN292" i="25" s="1"/>
  <c r="BO292" i="25" s="1"/>
  <c r="BS284" i="25"/>
  <c r="BM284" i="25" s="1"/>
  <c r="BN284" i="25" s="1"/>
  <c r="BO284" i="25" s="1"/>
  <c r="BS276" i="25"/>
  <c r="BM276" i="25" s="1"/>
  <c r="BN276" i="25" s="1"/>
  <c r="BO276" i="25" s="1"/>
  <c r="BS268" i="25"/>
  <c r="BM268" i="25" s="1"/>
  <c r="BN268" i="25" s="1"/>
  <c r="BO268" i="25" s="1"/>
  <c r="BS260" i="25"/>
  <c r="BM260" i="25" s="1"/>
  <c r="BN260" i="25" s="1"/>
  <c r="BO260" i="25" s="1"/>
  <c r="BS252" i="25"/>
  <c r="BM252" i="25" s="1"/>
  <c r="BN252" i="25" s="1"/>
  <c r="BO252" i="25" s="1"/>
  <c r="BS249" i="25"/>
  <c r="BM249" i="25" s="1"/>
  <c r="BN249" i="25" s="1"/>
  <c r="BO249" i="25" s="1"/>
  <c r="BM337" i="25"/>
  <c r="BN337" i="25" s="1"/>
  <c r="BO337" i="25" s="1"/>
  <c r="AX345" i="25"/>
  <c r="BA345" i="25" s="1"/>
  <c r="BB345" i="25" s="1"/>
  <c r="AW345" i="25"/>
  <c r="AY345" i="25" s="1"/>
  <c r="AZ345" i="25" s="1"/>
  <c r="BC345" i="25" s="1"/>
  <c r="AX329" i="25"/>
  <c r="BA329" i="25" s="1"/>
  <c r="BB329" i="25" s="1"/>
  <c r="AW329" i="25"/>
  <c r="AY329" i="25" s="1"/>
  <c r="AZ329" i="25" s="1"/>
  <c r="BC329" i="25" s="1"/>
  <c r="AX337" i="25"/>
  <c r="BA337" i="25" s="1"/>
  <c r="BB337" i="25" s="1"/>
  <c r="AW337" i="25"/>
  <c r="AY337" i="25" s="1"/>
  <c r="AZ337" i="25" s="1"/>
  <c r="BC337" i="25" s="1"/>
  <c r="AX318" i="25"/>
  <c r="BA318" i="25" s="1"/>
  <c r="BB318" i="25" s="1"/>
  <c r="AW318" i="25"/>
  <c r="AY318" i="25" s="1"/>
  <c r="AZ318" i="25" s="1"/>
  <c r="BC318" i="25" s="1"/>
  <c r="AX310" i="25"/>
  <c r="BA310" i="25" s="1"/>
  <c r="BB310" i="25" s="1"/>
  <c r="AW310" i="25"/>
  <c r="AY310" i="25" s="1"/>
  <c r="AZ310" i="25" s="1"/>
  <c r="BC310" i="25" s="1"/>
  <c r="AX302" i="25"/>
  <c r="BA302" i="25" s="1"/>
  <c r="BB302" i="25" s="1"/>
  <c r="AW302" i="25"/>
  <c r="AY302" i="25" s="1"/>
  <c r="AZ302" i="25" s="1"/>
  <c r="BC302" i="25" s="1"/>
  <c r="AX294" i="25"/>
  <c r="BA294" i="25" s="1"/>
  <c r="BB294" i="25" s="1"/>
  <c r="AW294" i="25"/>
  <c r="AY294" i="25" s="1"/>
  <c r="AZ294" i="25" s="1"/>
  <c r="BC294" i="25" s="1"/>
  <c r="AX286" i="25"/>
  <c r="BA286" i="25" s="1"/>
  <c r="BB286" i="25" s="1"/>
  <c r="AW286" i="25"/>
  <c r="AY286" i="25" s="1"/>
  <c r="AZ286" i="25" s="1"/>
  <c r="BC286" i="25" s="1"/>
  <c r="AX278" i="25"/>
  <c r="BA278" i="25" s="1"/>
  <c r="BB278" i="25" s="1"/>
  <c r="AW278" i="25"/>
  <c r="AY278" i="25" s="1"/>
  <c r="AZ278" i="25" s="1"/>
  <c r="BC278" i="25" s="1"/>
  <c r="AX270" i="25"/>
  <c r="BA270" i="25" s="1"/>
  <c r="BB270" i="25" s="1"/>
  <c r="AW270" i="25"/>
  <c r="AY270" i="25" s="1"/>
  <c r="AZ270" i="25" s="1"/>
  <c r="BC270" i="25" s="1"/>
  <c r="AX262" i="25"/>
  <c r="BA262" i="25" s="1"/>
  <c r="BB262" i="25" s="1"/>
  <c r="AW262" i="25"/>
  <c r="AY262" i="25" s="1"/>
  <c r="AZ262" i="25" s="1"/>
  <c r="BC262" i="25" s="1"/>
  <c r="AX254" i="25"/>
  <c r="BA254" i="25" s="1"/>
  <c r="BB254" i="25" s="1"/>
  <c r="AW254" i="25"/>
  <c r="AY254" i="25" s="1"/>
  <c r="AZ254" i="25" s="1"/>
  <c r="BC254" i="25" s="1"/>
  <c r="AX243" i="25"/>
  <c r="BA243" i="25" s="1"/>
  <c r="BB243" i="25" s="1"/>
  <c r="AW243" i="25"/>
  <c r="AY243" i="25" s="1"/>
  <c r="AZ243" i="25" s="1"/>
  <c r="BC243" i="25" s="1"/>
  <c r="H42" i="89" l="1"/>
  <c r="I42" i="89" s="1"/>
  <c r="J42" i="89"/>
  <c r="K42" i="89"/>
  <c r="L42" i="89"/>
  <c r="M42" i="89"/>
  <c r="N42" i="89"/>
  <c r="O42" i="89"/>
  <c r="H35" i="89"/>
  <c r="I35" i="89" s="1"/>
  <c r="J35" i="89"/>
  <c r="K35" i="89"/>
  <c r="L35" i="89"/>
  <c r="M35" i="89"/>
  <c r="N35" i="89"/>
  <c r="O35" i="89"/>
  <c r="H28" i="89"/>
  <c r="I28" i="89" s="1"/>
  <c r="J28" i="89"/>
  <c r="K28" i="89"/>
  <c r="L28" i="89"/>
  <c r="M28" i="89"/>
  <c r="N28" i="89"/>
  <c r="O28" i="89"/>
  <c r="H21" i="89"/>
  <c r="I21" i="89" s="1"/>
  <c r="J21" i="89"/>
  <c r="K21" i="89"/>
  <c r="L21" i="89"/>
  <c r="M21" i="89"/>
  <c r="N21" i="89"/>
  <c r="O21" i="89"/>
  <c r="CA242" i="25" l="1"/>
  <c r="BZ242" i="25"/>
  <c r="BY242" i="25"/>
  <c r="BX242" i="25"/>
  <c r="BW242" i="25"/>
  <c r="BV242" i="25"/>
  <c r="BU242" i="25"/>
  <c r="BT242" i="25"/>
  <c r="BR242" i="25"/>
  <c r="BQ242" i="25"/>
  <c r="BL242" i="25"/>
  <c r="BK242" i="25"/>
  <c r="BP242" i="25" s="1"/>
  <c r="BH242" i="25"/>
  <c r="BI242" i="25" s="1"/>
  <c r="BG242" i="25"/>
  <c r="BE242" i="25"/>
  <c r="BJ242" i="25" s="1"/>
  <c r="BD242" i="25"/>
  <c r="CA241" i="25"/>
  <c r="BZ241" i="25"/>
  <c r="BY241" i="25"/>
  <c r="BX241" i="25"/>
  <c r="BW241" i="25"/>
  <c r="BV241" i="25"/>
  <c r="BU241" i="25"/>
  <c r="BT241" i="25"/>
  <c r="BR241" i="25"/>
  <c r="BQ241" i="25"/>
  <c r="BL241" i="25"/>
  <c r="BK241" i="25"/>
  <c r="BP241" i="25" s="1"/>
  <c r="BH241" i="25"/>
  <c r="BI241" i="25" s="1"/>
  <c r="BG241" i="25"/>
  <c r="BE241" i="25"/>
  <c r="BF241" i="25" s="1"/>
  <c r="BD241" i="25"/>
  <c r="CA240" i="25"/>
  <c r="BZ240" i="25"/>
  <c r="BY240" i="25"/>
  <c r="BX240" i="25"/>
  <c r="BW240" i="25"/>
  <c r="BV240" i="25"/>
  <c r="BU240" i="25"/>
  <c r="BT240" i="25"/>
  <c r="BR240" i="25"/>
  <c r="BQ240" i="25"/>
  <c r="BL240" i="25"/>
  <c r="BK240" i="25"/>
  <c r="BP240" i="25" s="1"/>
  <c r="BH240" i="25"/>
  <c r="BI240" i="25" s="1"/>
  <c r="BG240" i="25"/>
  <c r="BE240" i="25"/>
  <c r="BJ240" i="25" s="1"/>
  <c r="BD240" i="25"/>
  <c r="CA239" i="25"/>
  <c r="BZ239" i="25"/>
  <c r="BY239" i="25"/>
  <c r="BX239" i="25"/>
  <c r="BW239" i="25"/>
  <c r="BV239" i="25"/>
  <c r="BU239" i="25"/>
  <c r="BT239" i="25"/>
  <c r="BR239" i="25"/>
  <c r="BQ239" i="25"/>
  <c r="BL239" i="25"/>
  <c r="BK239" i="25"/>
  <c r="BP239" i="25" s="1"/>
  <c r="BH239" i="25"/>
  <c r="BI239" i="25" s="1"/>
  <c r="BG239" i="25"/>
  <c r="BE239" i="25"/>
  <c r="BF239" i="25" s="1"/>
  <c r="BD239" i="25"/>
  <c r="G34" i="89"/>
  <c r="G27" i="89"/>
  <c r="G20" i="89"/>
  <c r="G41" i="89"/>
  <c r="H41" i="89" l="1"/>
  <c r="I41" i="89" s="1"/>
  <c r="K41" i="89"/>
  <c r="N41" i="89"/>
  <c r="J41" i="89"/>
  <c r="L41" i="89"/>
  <c r="M41" i="89"/>
  <c r="O41" i="89"/>
  <c r="J20" i="89"/>
  <c r="O20" i="89"/>
  <c r="K20" i="89"/>
  <c r="N20" i="89"/>
  <c r="M20" i="89"/>
  <c r="L20" i="89"/>
  <c r="H20" i="89"/>
  <c r="I20" i="89" s="1"/>
  <c r="J27" i="89"/>
  <c r="N27" i="89"/>
  <c r="K27" i="89"/>
  <c r="L27" i="89"/>
  <c r="M27" i="89"/>
  <c r="O27" i="89"/>
  <c r="H27" i="89"/>
  <c r="I27" i="89" s="1"/>
  <c r="L34" i="89"/>
  <c r="J34" i="89"/>
  <c r="M34" i="89"/>
  <c r="N34" i="89"/>
  <c r="O34" i="89"/>
  <c r="K34" i="89"/>
  <c r="H34" i="89"/>
  <c r="I34" i="89" s="1"/>
  <c r="BS239" i="25"/>
  <c r="BM239" i="25" s="1"/>
  <c r="BN239" i="25" s="1"/>
  <c r="BO239" i="25" s="1"/>
  <c r="BS240" i="25"/>
  <c r="BM240" i="25" s="1"/>
  <c r="BN240" i="25" s="1"/>
  <c r="BO240" i="25" s="1"/>
  <c r="BS241" i="25"/>
  <c r="BM241" i="25" s="1"/>
  <c r="BN241" i="25" s="1"/>
  <c r="BO241" i="25" s="1"/>
  <c r="BS242" i="25"/>
  <c r="BM242" i="25" s="1"/>
  <c r="BN242" i="25" s="1"/>
  <c r="BO242" i="25" s="1"/>
  <c r="BJ241" i="25"/>
  <c r="BF242" i="25"/>
  <c r="BJ239" i="25"/>
  <c r="BF240" i="25"/>
  <c r="G239" i="25" l="1"/>
  <c r="G240" i="25"/>
  <c r="G241" i="25"/>
  <c r="G242" i="25"/>
  <c r="AT239" i="25"/>
  <c r="AU239" i="25" s="1"/>
  <c r="AT240" i="25"/>
  <c r="AU240" i="25" s="1"/>
  <c r="AT241" i="25"/>
  <c r="AU241" i="25" s="1"/>
  <c r="AT242" i="25"/>
  <c r="AU242" i="25" s="1"/>
  <c r="AV239" i="25"/>
  <c r="AV240" i="25"/>
  <c r="AV241" i="25"/>
  <c r="AV242" i="25"/>
  <c r="AW242" i="25" l="1"/>
  <c r="AY242" i="25" s="1"/>
  <c r="AZ242" i="25" s="1"/>
  <c r="BC242" i="25" s="1"/>
  <c r="AX242" i="25"/>
  <c r="BA242" i="25" s="1"/>
  <c r="BB242" i="25" s="1"/>
  <c r="AX240" i="25"/>
  <c r="BA240" i="25" s="1"/>
  <c r="BB240" i="25" s="1"/>
  <c r="AW240" i="25"/>
  <c r="AY240" i="25" s="1"/>
  <c r="AZ240" i="25" s="1"/>
  <c r="BC240" i="25" s="1"/>
  <c r="AX239" i="25"/>
  <c r="BA239" i="25" s="1"/>
  <c r="BB239" i="25" s="1"/>
  <c r="AW239" i="25"/>
  <c r="AY239" i="25" s="1"/>
  <c r="AZ239" i="25" s="1"/>
  <c r="BC239" i="25" s="1"/>
  <c r="AW241" i="25"/>
  <c r="AY241" i="25" s="1"/>
  <c r="AZ241" i="25" s="1"/>
  <c r="BC241" i="25" s="1"/>
  <c r="AX241" i="25"/>
  <c r="BA241" i="25" s="1"/>
  <c r="BB241" i="25" s="1"/>
  <c r="AT235" i="25" l="1"/>
  <c r="AU235" i="25" s="1"/>
  <c r="AT236" i="25"/>
  <c r="AU236" i="25" s="1"/>
  <c r="AT237" i="25"/>
  <c r="AU237" i="25" s="1"/>
  <c r="AT238" i="25"/>
  <c r="AU238" i="25" s="1"/>
  <c r="AV235" i="25"/>
  <c r="AW235" i="25" s="1"/>
  <c r="AV236" i="25"/>
  <c r="AW236" i="25" s="1"/>
  <c r="AV237" i="25"/>
  <c r="AW237" i="25" s="1"/>
  <c r="AV238" i="25"/>
  <c r="AW238" i="25" s="1"/>
  <c r="BD235" i="25"/>
  <c r="BD236" i="25"/>
  <c r="BD237" i="25"/>
  <c r="BD238" i="25"/>
  <c r="BE235" i="25"/>
  <c r="BF235" i="25" s="1"/>
  <c r="BE236" i="25"/>
  <c r="BJ236" i="25" s="1"/>
  <c r="BE237" i="25"/>
  <c r="BF237" i="25" s="1"/>
  <c r="BE238" i="25"/>
  <c r="BF238" i="25" s="1"/>
  <c r="BG235" i="25"/>
  <c r="BG236" i="25"/>
  <c r="BG237" i="25"/>
  <c r="BG238" i="25"/>
  <c r="BH235" i="25"/>
  <c r="BI235" i="25" s="1"/>
  <c r="BH236" i="25"/>
  <c r="BI236" i="25" s="1"/>
  <c r="BH237" i="25"/>
  <c r="BI237" i="25" s="1"/>
  <c r="BH238" i="25"/>
  <c r="BI238" i="25" s="1"/>
  <c r="BK235" i="25"/>
  <c r="BK236" i="25"/>
  <c r="BP236" i="25" s="1"/>
  <c r="BK237" i="25"/>
  <c r="BP237" i="25" s="1"/>
  <c r="BK238" i="25"/>
  <c r="BP238" i="25" s="1"/>
  <c r="BL235" i="25"/>
  <c r="BL236" i="25"/>
  <c r="BL237" i="25"/>
  <c r="BL238" i="25"/>
  <c r="BP235" i="25"/>
  <c r="BQ235" i="25"/>
  <c r="BQ236" i="25"/>
  <c r="BQ237" i="25"/>
  <c r="BQ238" i="25"/>
  <c r="BR235" i="25"/>
  <c r="BR236" i="25"/>
  <c r="BR237" i="25"/>
  <c r="BR238" i="25"/>
  <c r="BT235" i="25"/>
  <c r="BT236" i="25"/>
  <c r="BT237" i="25"/>
  <c r="BT238" i="25"/>
  <c r="BU235" i="25"/>
  <c r="BU236" i="25"/>
  <c r="BU237" i="25"/>
  <c r="BU238" i="25"/>
  <c r="BV235" i="25"/>
  <c r="BV236" i="25"/>
  <c r="BV237" i="25"/>
  <c r="BV238" i="25"/>
  <c r="BW235" i="25"/>
  <c r="BW236" i="25"/>
  <c r="BW237" i="25"/>
  <c r="BW238" i="25"/>
  <c r="BX235" i="25"/>
  <c r="BX236" i="25"/>
  <c r="BX237" i="25"/>
  <c r="BX238" i="25"/>
  <c r="BY235" i="25"/>
  <c r="BY236" i="25"/>
  <c r="BY237" i="25"/>
  <c r="BY238" i="25"/>
  <c r="BZ235" i="25"/>
  <c r="BZ236" i="25"/>
  <c r="BZ237" i="25"/>
  <c r="BZ238" i="25"/>
  <c r="CA235" i="25"/>
  <c r="CA236" i="25"/>
  <c r="CA237" i="25"/>
  <c r="CA238" i="25"/>
  <c r="BS238" i="25" l="1"/>
  <c r="BM238" i="25" s="1"/>
  <c r="BN238" i="25" s="1"/>
  <c r="BO238" i="25" s="1"/>
  <c r="BS237" i="25"/>
  <c r="BM237" i="25" s="1"/>
  <c r="BN237" i="25" s="1"/>
  <c r="BO237" i="25" s="1"/>
  <c r="BJ238" i="25"/>
  <c r="BJ235" i="25"/>
  <c r="BS236" i="25"/>
  <c r="BM236" i="25" s="1"/>
  <c r="BN236" i="25" s="1"/>
  <c r="BO236" i="25" s="1"/>
  <c r="BF236" i="25"/>
  <c r="AY235" i="25"/>
  <c r="AZ235" i="25" s="1"/>
  <c r="BC235" i="25" s="1"/>
  <c r="BS235" i="25"/>
  <c r="BM235" i="25" s="1"/>
  <c r="BN235" i="25" s="1"/>
  <c r="BO235" i="25" s="1"/>
  <c r="AY237" i="25"/>
  <c r="AZ237" i="25" s="1"/>
  <c r="BC237" i="25" s="1"/>
  <c r="AX238" i="25"/>
  <c r="BA238" i="25" s="1"/>
  <c r="BB238" i="25" s="1"/>
  <c r="AX237" i="25"/>
  <c r="BA237" i="25" s="1"/>
  <c r="BB237" i="25" s="1"/>
  <c r="AX236" i="25"/>
  <c r="BA236" i="25" s="1"/>
  <c r="BB236" i="25" s="1"/>
  <c r="AX235" i="25"/>
  <c r="BA235" i="25" s="1"/>
  <c r="BB235" i="25" s="1"/>
  <c r="AY238" i="25"/>
  <c r="AZ238" i="25" s="1"/>
  <c r="BC238" i="25" s="1"/>
  <c r="AY236" i="25"/>
  <c r="AZ236" i="25" s="1"/>
  <c r="BC236" i="25" s="1"/>
  <c r="BJ237" i="25"/>
  <c r="AT230" i="25"/>
  <c r="AT231" i="25"/>
  <c r="AU231" i="25" s="1"/>
  <c r="AT232" i="25"/>
  <c r="AU232" i="25" s="1"/>
  <c r="AT233" i="25"/>
  <c r="AU233" i="25" s="1"/>
  <c r="AT234" i="25"/>
  <c r="AU234" i="25" s="1"/>
  <c r="AV230" i="25"/>
  <c r="AW230" i="25" s="1"/>
  <c r="AV231" i="25"/>
  <c r="AW231" i="25" s="1"/>
  <c r="AV232" i="25"/>
  <c r="AW232" i="25" s="1"/>
  <c r="AV233" i="25"/>
  <c r="AW233" i="25" s="1"/>
  <c r="AV234" i="25"/>
  <c r="AW234" i="25" s="1"/>
  <c r="BD230" i="25"/>
  <c r="BD231" i="25"/>
  <c r="BD232" i="25"/>
  <c r="BD233" i="25"/>
  <c r="BD234" i="25"/>
  <c r="BE230" i="25"/>
  <c r="BF230" i="25" s="1"/>
  <c r="BE231" i="25"/>
  <c r="BF231" i="25" s="1"/>
  <c r="BE232" i="25"/>
  <c r="BF232" i="25" s="1"/>
  <c r="BE233" i="25"/>
  <c r="BF233" i="25" s="1"/>
  <c r="BE234" i="25"/>
  <c r="BF234" i="25" s="1"/>
  <c r="BG230" i="25"/>
  <c r="BG231" i="25"/>
  <c r="BG232" i="25"/>
  <c r="BG233" i="25"/>
  <c r="BG234" i="25"/>
  <c r="BH230" i="25"/>
  <c r="BI230" i="25" s="1"/>
  <c r="BH231" i="25"/>
  <c r="BI231" i="25" s="1"/>
  <c r="BH232" i="25"/>
  <c r="BI232" i="25" s="1"/>
  <c r="BH233" i="25"/>
  <c r="BI233" i="25" s="1"/>
  <c r="BH234" i="25"/>
  <c r="BI234" i="25" s="1"/>
  <c r="BK230" i="25"/>
  <c r="BP230" i="25" s="1"/>
  <c r="BK231" i="25"/>
  <c r="BP231" i="25" s="1"/>
  <c r="BK232" i="25"/>
  <c r="BP232" i="25" s="1"/>
  <c r="BK233" i="25"/>
  <c r="BP233" i="25" s="1"/>
  <c r="BK234" i="25"/>
  <c r="BP234" i="25" s="1"/>
  <c r="BL230" i="25"/>
  <c r="BL231" i="25"/>
  <c r="BL232" i="25"/>
  <c r="BL233" i="25"/>
  <c r="BL234" i="25"/>
  <c r="BQ230" i="25"/>
  <c r="BQ231" i="25"/>
  <c r="BQ232" i="25"/>
  <c r="BQ233" i="25"/>
  <c r="BQ234" i="25"/>
  <c r="BR230" i="25"/>
  <c r="BR231" i="25"/>
  <c r="BR232" i="25"/>
  <c r="BR233" i="25"/>
  <c r="BR234" i="25"/>
  <c r="BT230" i="25"/>
  <c r="BT231" i="25"/>
  <c r="BT232" i="25"/>
  <c r="BT233" i="25"/>
  <c r="BT234" i="25"/>
  <c r="BU230" i="25"/>
  <c r="BU231" i="25"/>
  <c r="BU232" i="25"/>
  <c r="BU233" i="25"/>
  <c r="BU234" i="25"/>
  <c r="BV230" i="25"/>
  <c r="BV231" i="25"/>
  <c r="BV232" i="25"/>
  <c r="BV233" i="25"/>
  <c r="BV234" i="25"/>
  <c r="BW230" i="25"/>
  <c r="BW231" i="25"/>
  <c r="BW232" i="25"/>
  <c r="BW233" i="25"/>
  <c r="BW234" i="25"/>
  <c r="BX230" i="25"/>
  <c r="BX231" i="25"/>
  <c r="BX232" i="25"/>
  <c r="BX233" i="25"/>
  <c r="BX234" i="25"/>
  <c r="BY230" i="25"/>
  <c r="BY231" i="25"/>
  <c r="BY232" i="25"/>
  <c r="BY233" i="25"/>
  <c r="BY234" i="25"/>
  <c r="BZ230" i="25"/>
  <c r="BZ231" i="25"/>
  <c r="BZ232" i="25"/>
  <c r="BZ233" i="25"/>
  <c r="BZ234" i="25"/>
  <c r="CA230" i="25"/>
  <c r="CA231" i="25"/>
  <c r="CA232" i="25"/>
  <c r="CA233" i="25"/>
  <c r="CA234" i="25"/>
  <c r="CA229" i="25"/>
  <c r="BZ229" i="25"/>
  <c r="BY229" i="25"/>
  <c r="BX229" i="25"/>
  <c r="BW229" i="25"/>
  <c r="BV229" i="25"/>
  <c r="BU229" i="25"/>
  <c r="BT229" i="25"/>
  <c r="BR229" i="25"/>
  <c r="BQ229" i="25"/>
  <c r="BL229" i="25"/>
  <c r="BK229" i="25"/>
  <c r="BP229" i="25" s="1"/>
  <c r="BH229" i="25"/>
  <c r="BI229" i="25" s="1"/>
  <c r="BG229" i="25"/>
  <c r="BE229" i="25"/>
  <c r="BJ229" i="25" s="1"/>
  <c r="BD229" i="25"/>
  <c r="AV229" i="25"/>
  <c r="AW229" i="25" s="1"/>
  <c r="AT229" i="25"/>
  <c r="AU229" i="25" s="1"/>
  <c r="CA228" i="25"/>
  <c r="BZ228" i="25"/>
  <c r="BY228" i="25"/>
  <c r="BX228" i="25"/>
  <c r="BW228" i="25"/>
  <c r="BV228" i="25"/>
  <c r="BU228" i="25"/>
  <c r="BT228" i="25"/>
  <c r="BR228" i="25"/>
  <c r="BQ228" i="25"/>
  <c r="BL228" i="25"/>
  <c r="BK228" i="25"/>
  <c r="BP228" i="25" s="1"/>
  <c r="BH228" i="25"/>
  <c r="BI228" i="25" s="1"/>
  <c r="BG228" i="25"/>
  <c r="BE228" i="25"/>
  <c r="BJ228" i="25" s="1"/>
  <c r="BD228" i="25"/>
  <c r="AV228" i="25"/>
  <c r="AW228" i="25" s="1"/>
  <c r="AT228" i="25"/>
  <c r="AU228" i="25" s="1"/>
  <c r="CA227" i="25"/>
  <c r="BZ227" i="25"/>
  <c r="BY227" i="25"/>
  <c r="BX227" i="25"/>
  <c r="BW227" i="25"/>
  <c r="BV227" i="25"/>
  <c r="BU227" i="25"/>
  <c r="BT227" i="25"/>
  <c r="BR227" i="25"/>
  <c r="BQ227" i="25"/>
  <c r="BL227" i="25"/>
  <c r="BK227" i="25"/>
  <c r="BP227" i="25" s="1"/>
  <c r="BH227" i="25"/>
  <c r="BI227" i="25" s="1"/>
  <c r="BG227" i="25"/>
  <c r="BE227" i="25"/>
  <c r="BF227" i="25" s="1"/>
  <c r="BD227" i="25"/>
  <c r="AV227" i="25"/>
  <c r="AT227" i="25"/>
  <c r="AU227" i="25" s="1"/>
  <c r="CA226" i="25"/>
  <c r="BZ226" i="25"/>
  <c r="BY226" i="25"/>
  <c r="BX226" i="25"/>
  <c r="BW226" i="25"/>
  <c r="BV226" i="25"/>
  <c r="BU226" i="25"/>
  <c r="BT226" i="25"/>
  <c r="BR226" i="25"/>
  <c r="BQ226" i="25"/>
  <c r="BL226" i="25"/>
  <c r="BK226" i="25"/>
  <c r="BP226" i="25" s="1"/>
  <c r="BH226" i="25"/>
  <c r="BI226" i="25" s="1"/>
  <c r="BG226" i="25"/>
  <c r="BE226" i="25"/>
  <c r="BF226" i="25" s="1"/>
  <c r="BD226" i="25"/>
  <c r="AV226" i="25"/>
  <c r="AW226" i="25" s="1"/>
  <c r="AT226" i="25"/>
  <c r="AU226" i="25" s="1"/>
  <c r="CA225" i="25"/>
  <c r="BZ225" i="25"/>
  <c r="BY225" i="25"/>
  <c r="BX225" i="25"/>
  <c r="BW225" i="25"/>
  <c r="BV225" i="25"/>
  <c r="BU225" i="25"/>
  <c r="BT225" i="25"/>
  <c r="BR225" i="25"/>
  <c r="BQ225" i="25"/>
  <c r="BL225" i="25"/>
  <c r="BK225" i="25"/>
  <c r="BP225" i="25" s="1"/>
  <c r="BH225" i="25"/>
  <c r="BI225" i="25" s="1"/>
  <c r="BG225" i="25"/>
  <c r="BE225" i="25"/>
  <c r="BF225" i="25" s="1"/>
  <c r="BD225" i="25"/>
  <c r="AV225" i="25"/>
  <c r="AW225" i="25" s="1"/>
  <c r="AT225" i="25"/>
  <c r="CA224" i="25"/>
  <c r="BZ224" i="25"/>
  <c r="BY224" i="25"/>
  <c r="BX224" i="25"/>
  <c r="BW224" i="25"/>
  <c r="BV224" i="25"/>
  <c r="BU224" i="25"/>
  <c r="BT224" i="25"/>
  <c r="BR224" i="25"/>
  <c r="BQ224" i="25"/>
  <c r="BL224" i="25"/>
  <c r="BK224" i="25"/>
  <c r="BP224" i="25" s="1"/>
  <c r="BH224" i="25"/>
  <c r="BI224" i="25" s="1"/>
  <c r="BG224" i="25"/>
  <c r="BE224" i="25"/>
  <c r="BF224" i="25" s="1"/>
  <c r="BD224" i="25"/>
  <c r="AV224" i="25"/>
  <c r="AW224" i="25" s="1"/>
  <c r="AT224" i="25"/>
  <c r="AU224" i="25" s="1"/>
  <c r="CA223" i="25"/>
  <c r="BZ223" i="25"/>
  <c r="BY223" i="25"/>
  <c r="BX223" i="25"/>
  <c r="BW223" i="25"/>
  <c r="BV223" i="25"/>
  <c r="BU223" i="25"/>
  <c r="BT223" i="25"/>
  <c r="BR223" i="25"/>
  <c r="BQ223" i="25"/>
  <c r="BL223" i="25"/>
  <c r="BK223" i="25"/>
  <c r="BP223" i="25" s="1"/>
  <c r="BH223" i="25"/>
  <c r="BI223" i="25" s="1"/>
  <c r="BG223" i="25"/>
  <c r="BE223" i="25"/>
  <c r="BF223" i="25" s="1"/>
  <c r="BD223" i="25"/>
  <c r="AV223" i="25"/>
  <c r="AT223" i="25"/>
  <c r="AU223" i="25" s="1"/>
  <c r="CA222" i="25"/>
  <c r="BZ222" i="25"/>
  <c r="BY222" i="25"/>
  <c r="BX222" i="25"/>
  <c r="BW222" i="25"/>
  <c r="BV222" i="25"/>
  <c r="BU222" i="25"/>
  <c r="BT222" i="25"/>
  <c r="BR222" i="25"/>
  <c r="BQ222" i="25"/>
  <c r="BL222" i="25"/>
  <c r="BK222" i="25"/>
  <c r="BH222" i="25"/>
  <c r="BI222" i="25" s="1"/>
  <c r="BG222" i="25"/>
  <c r="BE222" i="25"/>
  <c r="BJ222" i="25" s="1"/>
  <c r="BD222" i="25"/>
  <c r="AV222" i="25"/>
  <c r="AW222" i="25" s="1"/>
  <c r="AT222" i="25"/>
  <c r="AU222" i="25" s="1"/>
  <c r="CA221" i="25"/>
  <c r="BZ221" i="25"/>
  <c r="BY221" i="25"/>
  <c r="BX221" i="25"/>
  <c r="BW221" i="25"/>
  <c r="BV221" i="25"/>
  <c r="BU221" i="25"/>
  <c r="BT221" i="25"/>
  <c r="BR221" i="25"/>
  <c r="BQ221" i="25"/>
  <c r="BL221" i="25"/>
  <c r="BK221" i="25"/>
  <c r="BP221" i="25" s="1"/>
  <c r="BH221" i="25"/>
  <c r="BI221" i="25" s="1"/>
  <c r="BG221" i="25"/>
  <c r="BE221" i="25"/>
  <c r="BF221" i="25" s="1"/>
  <c r="BD221" i="25"/>
  <c r="AV221" i="25"/>
  <c r="AT221" i="25"/>
  <c r="AU221" i="25" s="1"/>
  <c r="CA220" i="25"/>
  <c r="BZ220" i="25"/>
  <c r="BY220" i="25"/>
  <c r="BX220" i="25"/>
  <c r="BW220" i="25"/>
  <c r="BV220" i="25"/>
  <c r="BU220" i="25"/>
  <c r="BT220" i="25"/>
  <c r="BR220" i="25"/>
  <c r="BQ220" i="25"/>
  <c r="BL220" i="25"/>
  <c r="BK220" i="25"/>
  <c r="BP220" i="25" s="1"/>
  <c r="BH220" i="25"/>
  <c r="BI220" i="25" s="1"/>
  <c r="BG220" i="25"/>
  <c r="BE220" i="25"/>
  <c r="BJ220" i="25" s="1"/>
  <c r="BD220" i="25"/>
  <c r="AV220" i="25"/>
  <c r="AW220" i="25" s="1"/>
  <c r="AT220" i="25"/>
  <c r="AU220" i="25" s="1"/>
  <c r="CA219" i="25"/>
  <c r="BZ219" i="25"/>
  <c r="BY219" i="25"/>
  <c r="BX219" i="25"/>
  <c r="BW219" i="25"/>
  <c r="BV219" i="25"/>
  <c r="BU219" i="25"/>
  <c r="BT219" i="25"/>
  <c r="BR219" i="25"/>
  <c r="BQ219" i="25"/>
  <c r="BL219" i="25"/>
  <c r="BK219" i="25"/>
  <c r="BP219" i="25" s="1"/>
  <c r="BH219" i="25"/>
  <c r="BI219" i="25" s="1"/>
  <c r="BG219" i="25"/>
  <c r="BE219" i="25"/>
  <c r="BF219" i="25" s="1"/>
  <c r="BD219" i="25"/>
  <c r="AV219" i="25"/>
  <c r="AT219" i="25"/>
  <c r="AU219" i="25" s="1"/>
  <c r="CA218" i="25"/>
  <c r="BZ218" i="25"/>
  <c r="BY218" i="25"/>
  <c r="BX218" i="25"/>
  <c r="BW218" i="25"/>
  <c r="BV218" i="25"/>
  <c r="BU218" i="25"/>
  <c r="BT218" i="25"/>
  <c r="BR218" i="25"/>
  <c r="BQ218" i="25"/>
  <c r="BL218" i="25"/>
  <c r="BK218" i="25"/>
  <c r="BP218" i="25" s="1"/>
  <c r="BH218" i="25"/>
  <c r="BI218" i="25" s="1"/>
  <c r="BG218" i="25"/>
  <c r="BE218" i="25"/>
  <c r="BF218" i="25" s="1"/>
  <c r="BD218" i="25"/>
  <c r="AV218" i="25"/>
  <c r="AW218" i="25" s="1"/>
  <c r="AT218" i="25"/>
  <c r="AU218" i="25" s="1"/>
  <c r="CA217" i="25"/>
  <c r="BZ217" i="25"/>
  <c r="BY217" i="25"/>
  <c r="BX217" i="25"/>
  <c r="BW217" i="25"/>
  <c r="BV217" i="25"/>
  <c r="BU217" i="25"/>
  <c r="BT217" i="25"/>
  <c r="BR217" i="25"/>
  <c r="BQ217" i="25"/>
  <c r="BL217" i="25"/>
  <c r="BK217" i="25"/>
  <c r="BP217" i="25" s="1"/>
  <c r="BH217" i="25"/>
  <c r="BI217" i="25" s="1"/>
  <c r="BG217" i="25"/>
  <c r="BE217" i="25"/>
  <c r="BF217" i="25" s="1"/>
  <c r="BD217" i="25"/>
  <c r="AV217" i="25"/>
  <c r="AW217" i="25" s="1"/>
  <c r="AT217" i="25"/>
  <c r="AU217" i="25" s="1"/>
  <c r="CA216" i="25"/>
  <c r="BZ216" i="25"/>
  <c r="BY216" i="25"/>
  <c r="BX216" i="25"/>
  <c r="BW216" i="25"/>
  <c r="BV216" i="25"/>
  <c r="BU216" i="25"/>
  <c r="BT216" i="25"/>
  <c r="BR216" i="25"/>
  <c r="BQ216" i="25"/>
  <c r="BL216" i="25"/>
  <c r="BK216" i="25"/>
  <c r="BP216" i="25" s="1"/>
  <c r="BH216" i="25"/>
  <c r="BI216" i="25" s="1"/>
  <c r="BG216" i="25"/>
  <c r="BE216" i="25"/>
  <c r="BF216" i="25" s="1"/>
  <c r="BD216" i="25"/>
  <c r="AV216" i="25"/>
  <c r="AT216" i="25"/>
  <c r="AU216" i="25" s="1"/>
  <c r="AT205" i="25"/>
  <c r="AU205" i="25" s="1"/>
  <c r="AT206" i="25"/>
  <c r="AU206" i="25" s="1"/>
  <c r="AT207" i="25"/>
  <c r="AU207" i="25" s="1"/>
  <c r="AT208" i="25"/>
  <c r="AU208" i="25" s="1"/>
  <c r="AT209" i="25"/>
  <c r="AU209" i="25" s="1"/>
  <c r="AT210" i="25"/>
  <c r="AU210" i="25" s="1"/>
  <c r="AT211" i="25"/>
  <c r="AU211" i="25" s="1"/>
  <c r="AT212" i="25"/>
  <c r="AU212" i="25" s="1"/>
  <c r="AT213" i="25"/>
  <c r="AU213" i="25" s="1"/>
  <c r="AT214" i="25"/>
  <c r="AU214" i="25" s="1"/>
  <c r="AT215" i="25"/>
  <c r="AU215" i="25" s="1"/>
  <c r="AV205" i="25"/>
  <c r="AW205" i="25" s="1"/>
  <c r="AV206" i="25"/>
  <c r="AV207" i="25"/>
  <c r="AW207" i="25" s="1"/>
  <c r="AV208" i="25"/>
  <c r="AV209" i="25"/>
  <c r="AW209" i="25" s="1"/>
  <c r="AV210" i="25"/>
  <c r="AW210" i="25" s="1"/>
  <c r="AV211" i="25"/>
  <c r="AW211" i="25" s="1"/>
  <c r="AV212" i="25"/>
  <c r="AW212" i="25" s="1"/>
  <c r="AV213" i="25"/>
  <c r="AW213" i="25" s="1"/>
  <c r="AV214" i="25"/>
  <c r="AV215" i="25"/>
  <c r="BD205" i="25"/>
  <c r="BD206" i="25"/>
  <c r="BD207" i="25"/>
  <c r="BD208" i="25"/>
  <c r="BD209" i="25"/>
  <c r="BD210" i="25"/>
  <c r="BD211" i="25"/>
  <c r="BD212" i="25"/>
  <c r="BD213" i="25"/>
  <c r="BD214" i="25"/>
  <c r="BD215" i="25"/>
  <c r="BE205" i="25"/>
  <c r="BF205" i="25" s="1"/>
  <c r="BE206" i="25"/>
  <c r="BF206" i="25" s="1"/>
  <c r="BE207" i="25"/>
  <c r="BJ207" i="25" s="1"/>
  <c r="BE208" i="25"/>
  <c r="BF208" i="25" s="1"/>
  <c r="BE209" i="25"/>
  <c r="BF209" i="25" s="1"/>
  <c r="BE210" i="25"/>
  <c r="BF210" i="25" s="1"/>
  <c r="BE211" i="25"/>
  <c r="BJ211" i="25" s="1"/>
  <c r="BE212" i="25"/>
  <c r="BF212" i="25" s="1"/>
  <c r="BE213" i="25"/>
  <c r="BJ213" i="25" s="1"/>
  <c r="BE214" i="25"/>
  <c r="BF214" i="25" s="1"/>
  <c r="BE215" i="25"/>
  <c r="BJ215" i="25" s="1"/>
  <c r="BG205" i="25"/>
  <c r="BG206" i="25"/>
  <c r="BG207" i="25"/>
  <c r="BG208" i="25"/>
  <c r="BG209" i="25"/>
  <c r="BG210" i="25"/>
  <c r="BG211" i="25"/>
  <c r="BG212" i="25"/>
  <c r="BG213" i="25"/>
  <c r="BG214" i="25"/>
  <c r="BG215" i="25"/>
  <c r="BH205" i="25"/>
  <c r="BI205" i="25" s="1"/>
  <c r="BH206" i="25"/>
  <c r="BI206" i="25" s="1"/>
  <c r="BH207" i="25"/>
  <c r="BI207" i="25" s="1"/>
  <c r="BH208" i="25"/>
  <c r="BI208" i="25" s="1"/>
  <c r="BH209" i="25"/>
  <c r="BI209" i="25" s="1"/>
  <c r="BH210" i="25"/>
  <c r="BI210" i="25" s="1"/>
  <c r="BH211" i="25"/>
  <c r="BI211" i="25" s="1"/>
  <c r="BH212" i="25"/>
  <c r="BI212" i="25" s="1"/>
  <c r="BH213" i="25"/>
  <c r="BI213" i="25" s="1"/>
  <c r="BH214" i="25"/>
  <c r="BI214" i="25" s="1"/>
  <c r="BH215" i="25"/>
  <c r="BI215" i="25" s="1"/>
  <c r="BK205" i="25"/>
  <c r="BK206" i="25"/>
  <c r="BK207" i="25"/>
  <c r="BP207" i="25" s="1"/>
  <c r="BK208" i="25"/>
  <c r="BK209" i="25"/>
  <c r="BK210" i="25"/>
  <c r="BP210" i="25" s="1"/>
  <c r="BK211" i="25"/>
  <c r="BP211" i="25" s="1"/>
  <c r="BK212" i="25"/>
  <c r="BP212" i="25" s="1"/>
  <c r="BK213" i="25"/>
  <c r="BK214" i="25"/>
  <c r="BK215" i="25"/>
  <c r="BP215" i="25" s="1"/>
  <c r="BL205" i="25"/>
  <c r="BL206" i="25"/>
  <c r="BL207" i="25"/>
  <c r="BL208" i="25"/>
  <c r="BL209" i="25"/>
  <c r="BL210" i="25"/>
  <c r="BL211" i="25"/>
  <c r="BL212" i="25"/>
  <c r="BL213" i="25"/>
  <c r="BL214" i="25"/>
  <c r="BL215" i="25"/>
  <c r="BQ205" i="25"/>
  <c r="BQ206" i="25"/>
  <c r="BQ207" i="25"/>
  <c r="BQ208" i="25"/>
  <c r="BQ209" i="25"/>
  <c r="BQ210" i="25"/>
  <c r="BQ211" i="25"/>
  <c r="BQ212" i="25"/>
  <c r="BQ213" i="25"/>
  <c r="BQ214" i="25"/>
  <c r="BQ215" i="25"/>
  <c r="BR205" i="25"/>
  <c r="BR206" i="25"/>
  <c r="BR207" i="25"/>
  <c r="BR208" i="25"/>
  <c r="BR209" i="25"/>
  <c r="BR210" i="25"/>
  <c r="BR211" i="25"/>
  <c r="BR212" i="25"/>
  <c r="BR213" i="25"/>
  <c r="BR214" i="25"/>
  <c r="BR215" i="25"/>
  <c r="BT205" i="25"/>
  <c r="BT206" i="25"/>
  <c r="BT207" i="25"/>
  <c r="BT208" i="25"/>
  <c r="BT209" i="25"/>
  <c r="BT210" i="25"/>
  <c r="BT211" i="25"/>
  <c r="BT212" i="25"/>
  <c r="BT213" i="25"/>
  <c r="BT214" i="25"/>
  <c r="BT215" i="25"/>
  <c r="BU205" i="25"/>
  <c r="BU206" i="25"/>
  <c r="BU207" i="25"/>
  <c r="BU208" i="25"/>
  <c r="BU209" i="25"/>
  <c r="BU210" i="25"/>
  <c r="BU211" i="25"/>
  <c r="BU212" i="25"/>
  <c r="BU213" i="25"/>
  <c r="BU214" i="25"/>
  <c r="BU215" i="25"/>
  <c r="BV205" i="25"/>
  <c r="BV206" i="25"/>
  <c r="BV207" i="25"/>
  <c r="BV208" i="25"/>
  <c r="BV209" i="25"/>
  <c r="BV210" i="25"/>
  <c r="BV211" i="25"/>
  <c r="BV212" i="25"/>
  <c r="BV213" i="25"/>
  <c r="BV214" i="25"/>
  <c r="BV215" i="25"/>
  <c r="BW205" i="25"/>
  <c r="BW206" i="25"/>
  <c r="BW207" i="25"/>
  <c r="BW208" i="25"/>
  <c r="BW209" i="25"/>
  <c r="BW210" i="25"/>
  <c r="BW211" i="25"/>
  <c r="BW212" i="25"/>
  <c r="BW213" i="25"/>
  <c r="BW214" i="25"/>
  <c r="BW215" i="25"/>
  <c r="BX205" i="25"/>
  <c r="BX206" i="25"/>
  <c r="BX207" i="25"/>
  <c r="BX208" i="25"/>
  <c r="BX209" i="25"/>
  <c r="BX210" i="25"/>
  <c r="BX211" i="25"/>
  <c r="BX212" i="25"/>
  <c r="BX213" i="25"/>
  <c r="BX214" i="25"/>
  <c r="BX215" i="25"/>
  <c r="BY205" i="25"/>
  <c r="BY206" i="25"/>
  <c r="BY207" i="25"/>
  <c r="BY208" i="25"/>
  <c r="BY209" i="25"/>
  <c r="BY210" i="25"/>
  <c r="BY211" i="25"/>
  <c r="BY212" i="25"/>
  <c r="BY213" i="25"/>
  <c r="BY214" i="25"/>
  <c r="BY215" i="25"/>
  <c r="BZ205" i="25"/>
  <c r="BZ206" i="25"/>
  <c r="BZ207" i="25"/>
  <c r="BZ208" i="25"/>
  <c r="BZ209" i="25"/>
  <c r="BZ210" i="25"/>
  <c r="BZ211" i="25"/>
  <c r="BZ212" i="25"/>
  <c r="BZ213" i="25"/>
  <c r="BZ214" i="25"/>
  <c r="BZ215" i="25"/>
  <c r="CA205" i="25"/>
  <c r="CA206" i="25"/>
  <c r="CA207" i="25"/>
  <c r="CA208" i="25"/>
  <c r="CA209" i="25"/>
  <c r="CA210" i="25"/>
  <c r="CA211" i="25"/>
  <c r="CA212" i="25"/>
  <c r="CA213" i="25"/>
  <c r="CA214" i="25"/>
  <c r="CA215" i="25"/>
  <c r="AT203" i="25"/>
  <c r="AU203" i="25" s="1"/>
  <c r="AT204" i="25"/>
  <c r="AU204" i="25" s="1"/>
  <c r="AV203" i="25"/>
  <c r="AW203" i="25" s="1"/>
  <c r="AV204" i="25"/>
  <c r="AW204" i="25" s="1"/>
  <c r="BD203" i="25"/>
  <c r="BD204" i="25"/>
  <c r="BE203" i="25"/>
  <c r="BF203" i="25" s="1"/>
  <c r="BE204" i="25"/>
  <c r="BF204" i="25" s="1"/>
  <c r="BG203" i="25"/>
  <c r="BG204" i="25"/>
  <c r="BH203" i="25"/>
  <c r="BI203" i="25" s="1"/>
  <c r="BH204" i="25"/>
  <c r="BI204" i="25" s="1"/>
  <c r="BK203" i="25"/>
  <c r="BP203" i="25" s="1"/>
  <c r="BK204" i="25"/>
  <c r="BL203" i="25"/>
  <c r="BL204" i="25"/>
  <c r="BQ203" i="25"/>
  <c r="BQ204" i="25"/>
  <c r="BR203" i="25"/>
  <c r="BR204" i="25"/>
  <c r="BT203" i="25"/>
  <c r="BT204" i="25"/>
  <c r="BU203" i="25"/>
  <c r="BU204" i="25"/>
  <c r="BV203" i="25"/>
  <c r="BV204" i="25"/>
  <c r="BW203" i="25"/>
  <c r="BW204" i="25"/>
  <c r="BX203" i="25"/>
  <c r="BX204" i="25"/>
  <c r="BY203" i="25"/>
  <c r="BY204" i="25"/>
  <c r="BZ203" i="25"/>
  <c r="BZ204" i="25"/>
  <c r="CA203" i="25"/>
  <c r="CA204" i="25"/>
  <c r="AT202" i="25"/>
  <c r="AU202" i="25" s="1"/>
  <c r="AV202" i="25"/>
  <c r="AW202" i="25" s="1"/>
  <c r="BD202" i="25"/>
  <c r="BE202" i="25"/>
  <c r="BJ202" i="25" s="1"/>
  <c r="BG202" i="25"/>
  <c r="BH202" i="25"/>
  <c r="BI202" i="25" s="1"/>
  <c r="BK202" i="25"/>
  <c r="BP202" i="25" s="1"/>
  <c r="BL202" i="25"/>
  <c r="BQ202" i="25"/>
  <c r="BR202" i="25"/>
  <c r="BT202" i="25"/>
  <c r="BU202" i="25"/>
  <c r="BV202" i="25"/>
  <c r="BW202" i="25"/>
  <c r="BX202" i="25"/>
  <c r="BY202" i="25"/>
  <c r="BZ202" i="25"/>
  <c r="CA202" i="25"/>
  <c r="BS223" i="25" l="1"/>
  <c r="BM223" i="25" s="1"/>
  <c r="BN223" i="25" s="1"/>
  <c r="BO223" i="25" s="1"/>
  <c r="BF229" i="25"/>
  <c r="BS209" i="25"/>
  <c r="BM209" i="25" s="1"/>
  <c r="BN209" i="25" s="1"/>
  <c r="BO209" i="25" s="1"/>
  <c r="AX230" i="25"/>
  <c r="BA230" i="25" s="1"/>
  <c r="BB230" i="25" s="1"/>
  <c r="BS221" i="25"/>
  <c r="BM221" i="25" s="1"/>
  <c r="BN221" i="25" s="1"/>
  <c r="BO221" i="25" s="1"/>
  <c r="AU230" i="25"/>
  <c r="AY230" i="25" s="1"/>
  <c r="AZ230" i="25" s="1"/>
  <c r="BC230" i="25" s="1"/>
  <c r="BS226" i="25"/>
  <c r="BM226" i="25" s="1"/>
  <c r="BN226" i="25" s="1"/>
  <c r="BO226" i="25" s="1"/>
  <c r="BS217" i="25"/>
  <c r="BM217" i="25" s="1"/>
  <c r="BN217" i="25" s="1"/>
  <c r="BO217" i="25" s="1"/>
  <c r="BS216" i="25"/>
  <c r="BM216" i="25" s="1"/>
  <c r="BN216" i="25" s="1"/>
  <c r="BO216" i="25" s="1"/>
  <c r="BJ234" i="25"/>
  <c r="BS214" i="25"/>
  <c r="BM214" i="25" s="1"/>
  <c r="BN214" i="25" s="1"/>
  <c r="BO214" i="25" s="1"/>
  <c r="BJ225" i="25"/>
  <c r="AY231" i="25"/>
  <c r="AZ231" i="25" s="1"/>
  <c r="BC231" i="25" s="1"/>
  <c r="BJ212" i="25"/>
  <c r="BS210" i="25"/>
  <c r="BM210" i="25" s="1"/>
  <c r="BN210" i="25" s="1"/>
  <c r="BO210" i="25" s="1"/>
  <c r="BS213" i="25"/>
  <c r="BM213" i="25" s="1"/>
  <c r="BN213" i="25" s="1"/>
  <c r="BO213" i="25" s="1"/>
  <c r="BS205" i="25"/>
  <c r="BM205" i="25" s="1"/>
  <c r="BN205" i="25" s="1"/>
  <c r="BO205" i="25" s="1"/>
  <c r="BS231" i="25"/>
  <c r="BM231" i="25" s="1"/>
  <c r="BN231" i="25" s="1"/>
  <c r="BO231" i="25" s="1"/>
  <c r="AY217" i="25"/>
  <c r="AZ217" i="25" s="1"/>
  <c r="BC217" i="25" s="1"/>
  <c r="AY222" i="25"/>
  <c r="AZ222" i="25" s="1"/>
  <c r="BC222" i="25" s="1"/>
  <c r="BS222" i="25"/>
  <c r="BM222" i="25" s="1"/>
  <c r="BN222" i="25" s="1"/>
  <c r="BO222" i="25" s="1"/>
  <c r="BS225" i="25"/>
  <c r="BM225" i="25" s="1"/>
  <c r="BN225" i="25" s="1"/>
  <c r="BO225" i="25" s="1"/>
  <c r="AX222" i="25"/>
  <c r="BA222" i="25" s="1"/>
  <c r="BB222" i="25" s="1"/>
  <c r="BS232" i="25"/>
  <c r="BM232" i="25" s="1"/>
  <c r="BN232" i="25" s="1"/>
  <c r="BO232" i="25" s="1"/>
  <c r="AX216" i="25"/>
  <c r="BA216" i="25" s="1"/>
  <c r="BB216" i="25" s="1"/>
  <c r="AX231" i="25"/>
  <c r="BA231" i="25" s="1"/>
  <c r="BB231" i="25" s="1"/>
  <c r="BS212" i="25"/>
  <c r="BM212" i="25" s="1"/>
  <c r="BN212" i="25" s="1"/>
  <c r="BO212" i="25" s="1"/>
  <c r="BJ209" i="25"/>
  <c r="BS208" i="25"/>
  <c r="BM208" i="25" s="1"/>
  <c r="BN208" i="25" s="1"/>
  <c r="BO208" i="25" s="1"/>
  <c r="BS219" i="25"/>
  <c r="BM219" i="25" s="1"/>
  <c r="BN219" i="25" s="1"/>
  <c r="BO219" i="25" s="1"/>
  <c r="AX223" i="25"/>
  <c r="BA223" i="25" s="1"/>
  <c r="BB223" i="25" s="1"/>
  <c r="AX208" i="25"/>
  <c r="BA208" i="25" s="1"/>
  <c r="BB208" i="25" s="1"/>
  <c r="AX221" i="25"/>
  <c r="BA221" i="25" s="1"/>
  <c r="BB221" i="25" s="1"/>
  <c r="BS206" i="25"/>
  <c r="BM206" i="25" s="1"/>
  <c r="BN206" i="25" s="1"/>
  <c r="BO206" i="25" s="1"/>
  <c r="AX217" i="25"/>
  <c r="BA217" i="25" s="1"/>
  <c r="BB217" i="25" s="1"/>
  <c r="BJ223" i="25"/>
  <c r="AY224" i="25"/>
  <c r="AZ224" i="25" s="1"/>
  <c r="BC224" i="25" s="1"/>
  <c r="BJ226" i="25"/>
  <c r="AX227" i="25"/>
  <c r="BA227" i="25" s="1"/>
  <c r="BB227" i="25" s="1"/>
  <c r="BS227" i="25"/>
  <c r="BM227" i="25" s="1"/>
  <c r="BN227" i="25" s="1"/>
  <c r="BO227" i="25" s="1"/>
  <c r="AX229" i="25"/>
  <c r="BA229" i="25" s="1"/>
  <c r="BB229" i="25" s="1"/>
  <c r="BF222" i="25"/>
  <c r="BS230" i="25"/>
  <c r="BM230" i="25" s="1"/>
  <c r="BN230" i="25" s="1"/>
  <c r="BO230" i="25" s="1"/>
  <c r="BS215" i="25"/>
  <c r="BM215" i="25" s="1"/>
  <c r="BN215" i="25" s="1"/>
  <c r="BO215" i="25" s="1"/>
  <c r="BS207" i="25"/>
  <c r="BM207" i="25" s="1"/>
  <c r="BN207" i="25" s="1"/>
  <c r="BO207" i="25" s="1"/>
  <c r="BS229" i="25"/>
  <c r="BM229" i="25" s="1"/>
  <c r="BN229" i="25" s="1"/>
  <c r="BO229" i="25" s="1"/>
  <c r="AY218" i="25"/>
  <c r="AZ218" i="25" s="1"/>
  <c r="BC218" i="25" s="1"/>
  <c r="AX220" i="25"/>
  <c r="BA220" i="25" s="1"/>
  <c r="BB220" i="25" s="1"/>
  <c r="BS220" i="25"/>
  <c r="BM220" i="25" s="1"/>
  <c r="BN220" i="25" s="1"/>
  <c r="BO220" i="25" s="1"/>
  <c r="BS233" i="25"/>
  <c r="BM233" i="25" s="1"/>
  <c r="BN233" i="25" s="1"/>
  <c r="BO233" i="25" s="1"/>
  <c r="BS218" i="25"/>
  <c r="BM218" i="25" s="1"/>
  <c r="BN218" i="25" s="1"/>
  <c r="BO218" i="25" s="1"/>
  <c r="BS211" i="25"/>
  <c r="BM211" i="25" s="1"/>
  <c r="BN211" i="25" s="1"/>
  <c r="BO211" i="25" s="1"/>
  <c r="BJ210" i="25"/>
  <c r="AY228" i="25"/>
  <c r="AZ228" i="25" s="1"/>
  <c r="BC228" i="25" s="1"/>
  <c r="BJ233" i="25"/>
  <c r="AX233" i="25"/>
  <c r="BA233" i="25" s="1"/>
  <c r="BB233" i="25" s="1"/>
  <c r="BS204" i="25"/>
  <c r="BM204" i="25" s="1"/>
  <c r="BN204" i="25" s="1"/>
  <c r="BO204" i="25" s="1"/>
  <c r="BF215" i="25"/>
  <c r="AX213" i="25"/>
  <c r="BA213" i="25" s="1"/>
  <c r="BB213" i="25" s="1"/>
  <c r="AY210" i="25"/>
  <c r="AZ210" i="25" s="1"/>
  <c r="BC210" i="25" s="1"/>
  <c r="BJ221" i="25"/>
  <c r="BS228" i="25"/>
  <c r="BM228" i="25" s="1"/>
  <c r="BN228" i="25" s="1"/>
  <c r="BO228" i="25" s="1"/>
  <c r="BJ232" i="25"/>
  <c r="AX232" i="25"/>
  <c r="BA232" i="25" s="1"/>
  <c r="BB232" i="25" s="1"/>
  <c r="AX203" i="25"/>
  <c r="BA203" i="25" s="1"/>
  <c r="BB203" i="25" s="1"/>
  <c r="AX205" i="25"/>
  <c r="BA205" i="25" s="1"/>
  <c r="BB205" i="25" s="1"/>
  <c r="AW221" i="25"/>
  <c r="AY221" i="25" s="1"/>
  <c r="AZ221" i="25" s="1"/>
  <c r="BC221" i="25" s="1"/>
  <c r="AX224" i="25"/>
  <c r="BA224" i="25" s="1"/>
  <c r="BB224" i="25" s="1"/>
  <c r="BJ231" i="25"/>
  <c r="AY220" i="25"/>
  <c r="AZ220" i="25" s="1"/>
  <c r="BC220" i="25" s="1"/>
  <c r="BS224" i="25"/>
  <c r="BM224" i="25" s="1"/>
  <c r="BN224" i="25" s="1"/>
  <c r="BO224" i="25" s="1"/>
  <c r="AY229" i="25"/>
  <c r="AZ229" i="25" s="1"/>
  <c r="BC229" i="25" s="1"/>
  <c r="BS234" i="25"/>
  <c r="BM234" i="25" s="1"/>
  <c r="BN234" i="25" s="1"/>
  <c r="BO234" i="25" s="1"/>
  <c r="AX215" i="25"/>
  <c r="BA215" i="25" s="1"/>
  <c r="BB215" i="25" s="1"/>
  <c r="AX207" i="25"/>
  <c r="BA207" i="25" s="1"/>
  <c r="BB207" i="25" s="1"/>
  <c r="AW216" i="25"/>
  <c r="AY216" i="25" s="1"/>
  <c r="AZ216" i="25" s="1"/>
  <c r="BC216" i="25" s="1"/>
  <c r="AY226" i="25"/>
  <c r="AZ226" i="25" s="1"/>
  <c r="BC226" i="25" s="1"/>
  <c r="BJ205" i="25"/>
  <c r="AX214" i="25"/>
  <c r="BA214" i="25" s="1"/>
  <c r="BB214" i="25" s="1"/>
  <c r="AX206" i="25"/>
  <c r="BA206" i="25" s="1"/>
  <c r="BB206" i="25" s="1"/>
  <c r="BJ218" i="25"/>
  <c r="AX219" i="25"/>
  <c r="BA219" i="25" s="1"/>
  <c r="BB219" i="25" s="1"/>
  <c r="AX225" i="25"/>
  <c r="BA225" i="25" s="1"/>
  <c r="BB225" i="25" s="1"/>
  <c r="AX226" i="25"/>
  <c r="BA226" i="25" s="1"/>
  <c r="BB226" i="25" s="1"/>
  <c r="AY232" i="25"/>
  <c r="AZ232" i="25" s="1"/>
  <c r="BC232" i="25" s="1"/>
  <c r="AY234" i="25"/>
  <c r="AZ234" i="25" s="1"/>
  <c r="BC234" i="25" s="1"/>
  <c r="AY233" i="25"/>
  <c r="AZ233" i="25" s="1"/>
  <c r="BC233" i="25" s="1"/>
  <c r="BJ206" i="25"/>
  <c r="BF213" i="25"/>
  <c r="BJ216" i="25"/>
  <c r="BF220" i="25"/>
  <c r="BP222" i="25"/>
  <c r="AW223" i="25"/>
  <c r="AY223" i="25" s="1"/>
  <c r="AZ223" i="25" s="1"/>
  <c r="BC223" i="25" s="1"/>
  <c r="BJ224" i="25"/>
  <c r="AX228" i="25"/>
  <c r="BA228" i="25" s="1"/>
  <c r="BB228" i="25" s="1"/>
  <c r="BF228" i="25"/>
  <c r="AY213" i="25"/>
  <c r="AZ213" i="25" s="1"/>
  <c r="BC213" i="25" s="1"/>
  <c r="AY205" i="25"/>
  <c r="AZ205" i="25" s="1"/>
  <c r="BC205" i="25" s="1"/>
  <c r="BJ219" i="25"/>
  <c r="BJ227" i="25"/>
  <c r="AY204" i="25"/>
  <c r="AZ204" i="25" s="1"/>
  <c r="BC204" i="25" s="1"/>
  <c r="BP208" i="25"/>
  <c r="BF207" i="25"/>
  <c r="AW215" i="25"/>
  <c r="AY215" i="25" s="1"/>
  <c r="AZ215" i="25" s="1"/>
  <c r="BC215" i="25" s="1"/>
  <c r="AX218" i="25"/>
  <c r="BA218" i="25" s="1"/>
  <c r="BB218" i="25" s="1"/>
  <c r="BJ230" i="25"/>
  <c r="AX234" i="25"/>
  <c r="BA234" i="25" s="1"/>
  <c r="BB234" i="25" s="1"/>
  <c r="BJ214" i="25"/>
  <c r="BJ217" i="25"/>
  <c r="AX210" i="25"/>
  <c r="BA210" i="25" s="1"/>
  <c r="BB210" i="25" s="1"/>
  <c r="AW219" i="25"/>
  <c r="AY219" i="25" s="1"/>
  <c r="AZ219" i="25" s="1"/>
  <c r="BC219" i="25" s="1"/>
  <c r="AU225" i="25"/>
  <c r="AY225" i="25" s="1"/>
  <c r="AZ225" i="25" s="1"/>
  <c r="BC225" i="25" s="1"/>
  <c r="AW227" i="25"/>
  <c r="AY227" i="25" s="1"/>
  <c r="AZ227" i="25" s="1"/>
  <c r="BC227" i="25" s="1"/>
  <c r="AW208" i="25"/>
  <c r="AY208" i="25" s="1"/>
  <c r="AZ208" i="25" s="1"/>
  <c r="BC208" i="25" s="1"/>
  <c r="AY207" i="25"/>
  <c r="AZ207" i="25" s="1"/>
  <c r="BC207" i="25" s="1"/>
  <c r="AY209" i="25"/>
  <c r="AZ209" i="25" s="1"/>
  <c r="BC209" i="25" s="1"/>
  <c r="AY212" i="25"/>
  <c r="AZ212" i="25" s="1"/>
  <c r="BC212" i="25" s="1"/>
  <c r="AY211" i="25"/>
  <c r="AZ211" i="25" s="1"/>
  <c r="BC211" i="25" s="1"/>
  <c r="BP214" i="25"/>
  <c r="BP206" i="25"/>
  <c r="BJ208" i="25"/>
  <c r="AX212" i="25"/>
  <c r="BA212" i="25" s="1"/>
  <c r="BB212" i="25" s="1"/>
  <c r="BS202" i="25"/>
  <c r="BM202" i="25" s="1"/>
  <c r="BN202" i="25" s="1"/>
  <c r="BO202" i="25" s="1"/>
  <c r="BP213" i="25"/>
  <c r="BP205" i="25"/>
  <c r="BF211" i="25"/>
  <c r="AX211" i="25"/>
  <c r="BA211" i="25" s="1"/>
  <c r="BB211" i="25" s="1"/>
  <c r="AW214" i="25"/>
  <c r="AY214" i="25" s="1"/>
  <c r="AZ214" i="25" s="1"/>
  <c r="BC214" i="25" s="1"/>
  <c r="AW206" i="25"/>
  <c r="AY206" i="25" s="1"/>
  <c r="AZ206" i="25" s="1"/>
  <c r="BC206" i="25" s="1"/>
  <c r="AX209" i="25"/>
  <c r="BA209" i="25" s="1"/>
  <c r="BB209" i="25" s="1"/>
  <c r="BP209" i="25"/>
  <c r="AX204" i="25"/>
  <c r="BA204" i="25" s="1"/>
  <c r="BB204" i="25" s="1"/>
  <c r="AY203" i="25"/>
  <c r="AZ203" i="25" s="1"/>
  <c r="BC203" i="25" s="1"/>
  <c r="AX202" i="25"/>
  <c r="BA202" i="25" s="1"/>
  <c r="BB202" i="25" s="1"/>
  <c r="BS203" i="25"/>
  <c r="BM203" i="25" s="1"/>
  <c r="BN203" i="25" s="1"/>
  <c r="BO203" i="25" s="1"/>
  <c r="AY202" i="25"/>
  <c r="AZ202" i="25" s="1"/>
  <c r="BC202" i="25" s="1"/>
  <c r="BP204" i="25"/>
  <c r="BF202" i="25"/>
  <c r="BJ204" i="25"/>
  <c r="BJ203" i="25"/>
  <c r="AV62" i="25"/>
  <c r="D39" i="92" l="1"/>
  <c r="N37" i="92"/>
  <c r="D40" i="92"/>
  <c r="G133" i="25" l="1"/>
  <c r="AT133" i="25"/>
  <c r="AU133" i="25" s="1"/>
  <c r="AV133" i="25"/>
  <c r="AW133" i="25" s="1"/>
  <c r="BD133" i="25"/>
  <c r="BE133" i="25"/>
  <c r="BJ133" i="25" s="1"/>
  <c r="BG133" i="25"/>
  <c r="BH133" i="25"/>
  <c r="BI133" i="25" s="1"/>
  <c r="BK133" i="25"/>
  <c r="BP133" i="25" s="1"/>
  <c r="BL133" i="25"/>
  <c r="BQ133" i="25"/>
  <c r="BR133" i="25"/>
  <c r="BT133" i="25"/>
  <c r="BU133" i="25"/>
  <c r="BV133" i="25"/>
  <c r="BW133" i="25"/>
  <c r="BX133" i="25"/>
  <c r="BY133" i="25"/>
  <c r="BZ133" i="25"/>
  <c r="CA133" i="25"/>
  <c r="O143" i="92"/>
  <c r="Q123" i="92"/>
  <c r="O147" i="92"/>
  <c r="O146" i="92"/>
  <c r="U78" i="92"/>
  <c r="P143" i="92" l="1"/>
  <c r="P147" i="92" s="1"/>
  <c r="P146" i="92"/>
  <c r="BS133" i="25"/>
  <c r="BM133" i="25" s="1"/>
  <c r="BN133" i="25" s="1"/>
  <c r="BO133" i="25" s="1"/>
  <c r="AY133" i="25"/>
  <c r="AZ133" i="25" s="1"/>
  <c r="BC133" i="25" s="1"/>
  <c r="BF133" i="25"/>
  <c r="AX133" i="25"/>
  <c r="BA133" i="25" s="1"/>
  <c r="BB133" i="25" s="1"/>
  <c r="G39" i="89"/>
  <c r="R123" i="92"/>
  <c r="V78" i="92"/>
  <c r="O38" i="89" l="1"/>
  <c r="N38" i="89"/>
  <c r="M38" i="89"/>
  <c r="L38" i="89"/>
  <c r="K38" i="89"/>
  <c r="J38" i="89"/>
  <c r="H38" i="89"/>
  <c r="I38" i="89" s="1"/>
  <c r="G181" i="25"/>
  <c r="G182" i="25"/>
  <c r="G183" i="25"/>
  <c r="G184" i="25"/>
  <c r="G185" i="25"/>
  <c r="G186" i="25"/>
  <c r="G187" i="25"/>
  <c r="G188" i="25"/>
  <c r="G189" i="25"/>
  <c r="G190" i="25"/>
  <c r="G191" i="25"/>
  <c r="G192" i="25"/>
  <c r="G193" i="25"/>
  <c r="G194" i="25"/>
  <c r="G195" i="25"/>
  <c r="G196" i="25"/>
  <c r="G197" i="25"/>
  <c r="G198" i="25"/>
  <c r="G199" i="25"/>
  <c r="G200" i="25"/>
  <c r="G201" i="25"/>
  <c r="AT181" i="25"/>
  <c r="AU181" i="25" s="1"/>
  <c r="AT182" i="25"/>
  <c r="AT183" i="25"/>
  <c r="AT184" i="25"/>
  <c r="AU184" i="25" s="1"/>
  <c r="AT185" i="25"/>
  <c r="AU185" i="25" s="1"/>
  <c r="AT186" i="25"/>
  <c r="AT187" i="25"/>
  <c r="AU187" i="25" s="1"/>
  <c r="AT188" i="25"/>
  <c r="AU188" i="25" s="1"/>
  <c r="AT189" i="25"/>
  <c r="AU189" i="25" s="1"/>
  <c r="AT190" i="25"/>
  <c r="AT191" i="25"/>
  <c r="AT192" i="25"/>
  <c r="AU192" i="25" s="1"/>
  <c r="AT193" i="25"/>
  <c r="AU193" i="25" s="1"/>
  <c r="AT194" i="25"/>
  <c r="AU194" i="25" s="1"/>
  <c r="AT195" i="25"/>
  <c r="AU195" i="25" s="1"/>
  <c r="AT196" i="25"/>
  <c r="AU196" i="25" s="1"/>
  <c r="AT197" i="25"/>
  <c r="AU197" i="25" s="1"/>
  <c r="AT198" i="25"/>
  <c r="AT199" i="25"/>
  <c r="AT200" i="25"/>
  <c r="AU200" i="25" s="1"/>
  <c r="AT201" i="25"/>
  <c r="AU201" i="25" s="1"/>
  <c r="AU186" i="25"/>
  <c r="AV181" i="25"/>
  <c r="AV182" i="25"/>
  <c r="AW182" i="25" s="1"/>
  <c r="AV183" i="25"/>
  <c r="AW183" i="25" s="1"/>
  <c r="AV184" i="25"/>
  <c r="AW184" i="25" s="1"/>
  <c r="AV185" i="25"/>
  <c r="AW185" i="25" s="1"/>
  <c r="AV186" i="25"/>
  <c r="AV187" i="25"/>
  <c r="AV188" i="25"/>
  <c r="AW188" i="25" s="1"/>
  <c r="AV189" i="25"/>
  <c r="AV190" i="25"/>
  <c r="AW190" i="25" s="1"/>
  <c r="AV191" i="25"/>
  <c r="AW191" i="25" s="1"/>
  <c r="AV192" i="25"/>
  <c r="AW192" i="25" s="1"/>
  <c r="AV193" i="25"/>
  <c r="AW193" i="25" s="1"/>
  <c r="AV194" i="25"/>
  <c r="AV195" i="25"/>
  <c r="AW195" i="25" s="1"/>
  <c r="AV196" i="25"/>
  <c r="AW196" i="25" s="1"/>
  <c r="AV197" i="25"/>
  <c r="AV198" i="25"/>
  <c r="AW198" i="25" s="1"/>
  <c r="AV199" i="25"/>
  <c r="AW199" i="25" s="1"/>
  <c r="AV200" i="25"/>
  <c r="AW200" i="25" s="1"/>
  <c r="AV201" i="25"/>
  <c r="AW201" i="25" s="1"/>
  <c r="BD181" i="25"/>
  <c r="BD182" i="25"/>
  <c r="BD183" i="25"/>
  <c r="BD184" i="25"/>
  <c r="BD185" i="25"/>
  <c r="BD186" i="25"/>
  <c r="BD187" i="25"/>
  <c r="BD188" i="25"/>
  <c r="BD189" i="25"/>
  <c r="BD190" i="25"/>
  <c r="BD191" i="25"/>
  <c r="BD192" i="25"/>
  <c r="BD193" i="25"/>
  <c r="BD194" i="25"/>
  <c r="BD195" i="25"/>
  <c r="BD196" i="25"/>
  <c r="BD197" i="25"/>
  <c r="BD198" i="25"/>
  <c r="BD199" i="25"/>
  <c r="BD200" i="25"/>
  <c r="BD201" i="25"/>
  <c r="BE181" i="25"/>
  <c r="BJ181" i="25" s="1"/>
  <c r="BE182" i="25"/>
  <c r="BF182" i="25" s="1"/>
  <c r="BE183" i="25"/>
  <c r="BF183" i="25" s="1"/>
  <c r="BE184" i="25"/>
  <c r="BJ184" i="25" s="1"/>
  <c r="BE185" i="25"/>
  <c r="BF185" i="25" s="1"/>
  <c r="BE186" i="25"/>
  <c r="BF186" i="25" s="1"/>
  <c r="BE187" i="25"/>
  <c r="BJ187" i="25" s="1"/>
  <c r="BE188" i="25"/>
  <c r="BF188" i="25" s="1"/>
  <c r="BE189" i="25"/>
  <c r="BJ189" i="25" s="1"/>
  <c r="BE190" i="25"/>
  <c r="BF190" i="25" s="1"/>
  <c r="BE191" i="25"/>
  <c r="BF191" i="25" s="1"/>
  <c r="BE192" i="25"/>
  <c r="BJ192" i="25" s="1"/>
  <c r="BE193" i="25"/>
  <c r="BF193" i="25" s="1"/>
  <c r="BE194" i="25"/>
  <c r="BF194" i="25" s="1"/>
  <c r="BE195" i="25"/>
  <c r="BJ195" i="25" s="1"/>
  <c r="BE196" i="25"/>
  <c r="BF196" i="25" s="1"/>
  <c r="BE197" i="25"/>
  <c r="BJ197" i="25" s="1"/>
  <c r="BE198" i="25"/>
  <c r="BF198" i="25" s="1"/>
  <c r="BE199" i="25"/>
  <c r="BF199" i="25" s="1"/>
  <c r="BE200" i="25"/>
  <c r="BJ200" i="25" s="1"/>
  <c r="BE201" i="25"/>
  <c r="BF201" i="25" s="1"/>
  <c r="BG181" i="25"/>
  <c r="BG182" i="25"/>
  <c r="BG183" i="25"/>
  <c r="BG184" i="25"/>
  <c r="BG185" i="25"/>
  <c r="BG186" i="25"/>
  <c r="BG187" i="25"/>
  <c r="BG188" i="25"/>
  <c r="BG189" i="25"/>
  <c r="BG190" i="25"/>
  <c r="BG191" i="25"/>
  <c r="BG192" i="25"/>
  <c r="BG193" i="25"/>
  <c r="BG194" i="25"/>
  <c r="BG195" i="25"/>
  <c r="BG196" i="25"/>
  <c r="BG197" i="25"/>
  <c r="BG198" i="25"/>
  <c r="BG199" i="25"/>
  <c r="BG200" i="25"/>
  <c r="BG201" i="25"/>
  <c r="BH181" i="25"/>
  <c r="BI181" i="25" s="1"/>
  <c r="BH182" i="25"/>
  <c r="BI182" i="25" s="1"/>
  <c r="BH183" i="25"/>
  <c r="BI183" i="25" s="1"/>
  <c r="BH184" i="25"/>
  <c r="BI184" i="25" s="1"/>
  <c r="BH185" i="25"/>
  <c r="BI185" i="25" s="1"/>
  <c r="BH186" i="25"/>
  <c r="BI186" i="25" s="1"/>
  <c r="BH187" i="25"/>
  <c r="BI187" i="25" s="1"/>
  <c r="BH188" i="25"/>
  <c r="BI188" i="25" s="1"/>
  <c r="BH189" i="25"/>
  <c r="BI189" i="25" s="1"/>
  <c r="BH190" i="25"/>
  <c r="BI190" i="25" s="1"/>
  <c r="BH191" i="25"/>
  <c r="BI191" i="25" s="1"/>
  <c r="BH192" i="25"/>
  <c r="BI192" i="25" s="1"/>
  <c r="BH193" i="25"/>
  <c r="BI193" i="25" s="1"/>
  <c r="BH194" i="25"/>
  <c r="BI194" i="25" s="1"/>
  <c r="BH195" i="25"/>
  <c r="BI195" i="25" s="1"/>
  <c r="BH196" i="25"/>
  <c r="BI196" i="25" s="1"/>
  <c r="BH197" i="25"/>
  <c r="BI197" i="25" s="1"/>
  <c r="BH198" i="25"/>
  <c r="BI198" i="25" s="1"/>
  <c r="BH199" i="25"/>
  <c r="BI199" i="25" s="1"/>
  <c r="BH200" i="25"/>
  <c r="BI200" i="25" s="1"/>
  <c r="BH201" i="25"/>
  <c r="BI201" i="25" s="1"/>
  <c r="BK181" i="25"/>
  <c r="BP181" i="25" s="1"/>
  <c r="BK182" i="25"/>
  <c r="BP182" i="25" s="1"/>
  <c r="BK183" i="25"/>
  <c r="BP183" i="25" s="1"/>
  <c r="BK184" i="25"/>
  <c r="BP184" i="25" s="1"/>
  <c r="BK185" i="25"/>
  <c r="BP185" i="25" s="1"/>
  <c r="BK186" i="25"/>
  <c r="BP186" i="25" s="1"/>
  <c r="BK187" i="25"/>
  <c r="BP187" i="25" s="1"/>
  <c r="BK188" i="25"/>
  <c r="BP188" i="25" s="1"/>
  <c r="BK189" i="25"/>
  <c r="BP189" i="25" s="1"/>
  <c r="BK190" i="25"/>
  <c r="BP190" i="25" s="1"/>
  <c r="BK191" i="25"/>
  <c r="BP191" i="25" s="1"/>
  <c r="BK192" i="25"/>
  <c r="BP192" i="25" s="1"/>
  <c r="BK193" i="25"/>
  <c r="BP193" i="25" s="1"/>
  <c r="BK194" i="25"/>
  <c r="BP194" i="25" s="1"/>
  <c r="BK195" i="25"/>
  <c r="BP195" i="25" s="1"/>
  <c r="BK196" i="25"/>
  <c r="BP196" i="25" s="1"/>
  <c r="BK197" i="25"/>
  <c r="BP197" i="25" s="1"/>
  <c r="BK198" i="25"/>
  <c r="BP198" i="25" s="1"/>
  <c r="BK199" i="25"/>
  <c r="BP199" i="25" s="1"/>
  <c r="BK200" i="25"/>
  <c r="BP200" i="25" s="1"/>
  <c r="BK201" i="25"/>
  <c r="BP201" i="25" s="1"/>
  <c r="BL181" i="25"/>
  <c r="BL182" i="25"/>
  <c r="BL183" i="25"/>
  <c r="BL184" i="25"/>
  <c r="BL185" i="25"/>
  <c r="BL186" i="25"/>
  <c r="BL187" i="25"/>
  <c r="BL188" i="25"/>
  <c r="BL189" i="25"/>
  <c r="BL190" i="25"/>
  <c r="BL191" i="25"/>
  <c r="BL192" i="25"/>
  <c r="BL193" i="25"/>
  <c r="BL194" i="25"/>
  <c r="BL195" i="25"/>
  <c r="BL196" i="25"/>
  <c r="BL197" i="25"/>
  <c r="BL198" i="25"/>
  <c r="BL199" i="25"/>
  <c r="BL200" i="25"/>
  <c r="BL201" i="25"/>
  <c r="BQ181" i="25"/>
  <c r="BQ182" i="25"/>
  <c r="BQ183" i="25"/>
  <c r="BQ184" i="25"/>
  <c r="BQ185" i="25"/>
  <c r="BQ186" i="25"/>
  <c r="BQ187" i="25"/>
  <c r="BQ188" i="25"/>
  <c r="BQ189" i="25"/>
  <c r="BQ190" i="25"/>
  <c r="BQ191" i="25"/>
  <c r="BQ192" i="25"/>
  <c r="BQ193" i="25"/>
  <c r="BQ194" i="25"/>
  <c r="BQ195" i="25"/>
  <c r="BQ196" i="25"/>
  <c r="BQ197" i="25"/>
  <c r="BQ198" i="25"/>
  <c r="BQ199" i="25"/>
  <c r="BQ200" i="25"/>
  <c r="BQ201" i="25"/>
  <c r="BR181" i="25"/>
  <c r="BR182" i="25"/>
  <c r="BR183" i="25"/>
  <c r="BR184" i="25"/>
  <c r="BR185" i="25"/>
  <c r="BR186" i="25"/>
  <c r="BR187" i="25"/>
  <c r="BR188" i="25"/>
  <c r="BR189" i="25"/>
  <c r="BR190" i="25"/>
  <c r="BR191" i="25"/>
  <c r="BR192" i="25"/>
  <c r="BR193" i="25"/>
  <c r="BR194" i="25"/>
  <c r="BR195" i="25"/>
  <c r="BR196" i="25"/>
  <c r="BR197" i="25"/>
  <c r="BR198" i="25"/>
  <c r="BR199" i="25"/>
  <c r="BR200" i="25"/>
  <c r="BR201" i="25"/>
  <c r="BT181" i="25"/>
  <c r="BT182" i="25"/>
  <c r="BT183" i="25"/>
  <c r="BT184" i="25"/>
  <c r="BT185" i="25"/>
  <c r="BT186" i="25"/>
  <c r="BT187" i="25"/>
  <c r="BT188" i="25"/>
  <c r="BT189" i="25"/>
  <c r="BT190" i="25"/>
  <c r="BT191" i="25"/>
  <c r="BT192" i="25"/>
  <c r="BT193" i="25"/>
  <c r="BT194" i="25"/>
  <c r="BT195" i="25"/>
  <c r="BT196" i="25"/>
  <c r="BT197" i="25"/>
  <c r="BT198" i="25"/>
  <c r="BT199" i="25"/>
  <c r="BT200" i="25"/>
  <c r="BT201" i="25"/>
  <c r="BU181" i="25"/>
  <c r="BU182" i="25"/>
  <c r="BU183" i="25"/>
  <c r="BU184" i="25"/>
  <c r="BU185" i="25"/>
  <c r="BU186" i="25"/>
  <c r="BU187" i="25"/>
  <c r="BU188" i="25"/>
  <c r="BU189" i="25"/>
  <c r="BU190" i="25"/>
  <c r="BU191" i="25"/>
  <c r="BU192" i="25"/>
  <c r="BU193" i="25"/>
  <c r="BU194" i="25"/>
  <c r="BU195" i="25"/>
  <c r="BU196" i="25"/>
  <c r="BU197" i="25"/>
  <c r="BU198" i="25"/>
  <c r="BU199" i="25"/>
  <c r="BU200" i="25"/>
  <c r="BU201" i="25"/>
  <c r="BV181" i="25"/>
  <c r="BV182" i="25"/>
  <c r="BV183" i="25"/>
  <c r="BV184" i="25"/>
  <c r="BV185" i="25"/>
  <c r="BV186" i="25"/>
  <c r="BV187" i="25"/>
  <c r="BV188" i="25"/>
  <c r="BV189" i="25"/>
  <c r="BV190" i="25"/>
  <c r="BV191" i="25"/>
  <c r="BV192" i="25"/>
  <c r="BV193" i="25"/>
  <c r="BV194" i="25"/>
  <c r="BV195" i="25"/>
  <c r="BV196" i="25"/>
  <c r="BV197" i="25"/>
  <c r="BV198" i="25"/>
  <c r="BV199" i="25"/>
  <c r="BV200" i="25"/>
  <c r="BV201" i="25"/>
  <c r="BW181" i="25"/>
  <c r="BW182" i="25"/>
  <c r="BW183" i="25"/>
  <c r="BW184" i="25"/>
  <c r="BW185" i="25"/>
  <c r="BW186" i="25"/>
  <c r="BW187" i="25"/>
  <c r="BW188" i="25"/>
  <c r="BW189" i="25"/>
  <c r="BW190" i="25"/>
  <c r="BW191" i="25"/>
  <c r="BW192" i="25"/>
  <c r="BW193" i="25"/>
  <c r="BW194" i="25"/>
  <c r="BW195" i="25"/>
  <c r="BW196" i="25"/>
  <c r="BW197" i="25"/>
  <c r="BW198" i="25"/>
  <c r="BW199" i="25"/>
  <c r="BW200" i="25"/>
  <c r="BW201" i="25"/>
  <c r="BX181" i="25"/>
  <c r="BX182" i="25"/>
  <c r="BX183" i="25"/>
  <c r="BX184" i="25"/>
  <c r="BX185" i="25"/>
  <c r="BX186" i="25"/>
  <c r="BX187" i="25"/>
  <c r="BX188" i="25"/>
  <c r="BX189" i="25"/>
  <c r="BX190" i="25"/>
  <c r="BX191" i="25"/>
  <c r="BX192" i="25"/>
  <c r="BX193" i="25"/>
  <c r="BX194" i="25"/>
  <c r="BX195" i="25"/>
  <c r="BX196" i="25"/>
  <c r="BX197" i="25"/>
  <c r="BX198" i="25"/>
  <c r="BX199" i="25"/>
  <c r="BX200" i="25"/>
  <c r="BX201" i="25"/>
  <c r="BY181" i="25"/>
  <c r="BY182" i="25"/>
  <c r="BY183" i="25"/>
  <c r="BY184" i="25"/>
  <c r="BY185" i="25"/>
  <c r="BY186" i="25"/>
  <c r="BY187" i="25"/>
  <c r="BY188" i="25"/>
  <c r="BY189" i="25"/>
  <c r="BY190" i="25"/>
  <c r="BY191" i="25"/>
  <c r="BY192" i="25"/>
  <c r="BY193" i="25"/>
  <c r="BY194" i="25"/>
  <c r="BY195" i="25"/>
  <c r="BY196" i="25"/>
  <c r="BY197" i="25"/>
  <c r="BY198" i="25"/>
  <c r="BY199" i="25"/>
  <c r="BY200" i="25"/>
  <c r="BY201" i="25"/>
  <c r="BZ181" i="25"/>
  <c r="BZ182" i="25"/>
  <c r="BZ183" i="25"/>
  <c r="BZ184" i="25"/>
  <c r="BZ185" i="25"/>
  <c r="BZ186" i="25"/>
  <c r="BZ187" i="25"/>
  <c r="BZ188" i="25"/>
  <c r="BZ189" i="25"/>
  <c r="BZ190" i="25"/>
  <c r="BZ191" i="25"/>
  <c r="BZ192" i="25"/>
  <c r="BZ193" i="25"/>
  <c r="BZ194" i="25"/>
  <c r="BZ195" i="25"/>
  <c r="BZ196" i="25"/>
  <c r="BZ197" i="25"/>
  <c r="BZ198" i="25"/>
  <c r="BZ199" i="25"/>
  <c r="BZ200" i="25"/>
  <c r="BZ201" i="25"/>
  <c r="CA181" i="25"/>
  <c r="CA182" i="25"/>
  <c r="CA183" i="25"/>
  <c r="CA184" i="25"/>
  <c r="CA185" i="25"/>
  <c r="CA186" i="25"/>
  <c r="CA187" i="25"/>
  <c r="CA188" i="25"/>
  <c r="CA189" i="25"/>
  <c r="CA190" i="25"/>
  <c r="CA191" i="25"/>
  <c r="CA192" i="25"/>
  <c r="CA193" i="25"/>
  <c r="CA194" i="25"/>
  <c r="CA195" i="25"/>
  <c r="CA196" i="25"/>
  <c r="CA197" i="25"/>
  <c r="CA198" i="25"/>
  <c r="CA199" i="25"/>
  <c r="CA200" i="25"/>
  <c r="CA201" i="25"/>
  <c r="G25" i="89"/>
  <c r="G18" i="89"/>
  <c r="G32" i="89"/>
  <c r="AX194" i="25" l="1"/>
  <c r="BA194" i="25" s="1"/>
  <c r="BB194" i="25" s="1"/>
  <c r="AX186" i="25"/>
  <c r="BA186" i="25" s="1"/>
  <c r="BB186" i="25" s="1"/>
  <c r="AX197" i="25"/>
  <c r="BA197" i="25" s="1"/>
  <c r="BB197" i="25" s="1"/>
  <c r="AX189" i="25"/>
  <c r="BA189" i="25" s="1"/>
  <c r="BB189" i="25" s="1"/>
  <c r="AX181" i="25"/>
  <c r="BA181" i="25" s="1"/>
  <c r="BB181" i="25" s="1"/>
  <c r="AW194" i="25"/>
  <c r="AY194" i="25" s="1"/>
  <c r="AZ194" i="25" s="1"/>
  <c r="BC194" i="25" s="1"/>
  <c r="BJ182" i="25"/>
  <c r="BJ190" i="25"/>
  <c r="AX188" i="25"/>
  <c r="BA188" i="25" s="1"/>
  <c r="BB188" i="25" s="1"/>
  <c r="BS198" i="25"/>
  <c r="BM198" i="25" s="1"/>
  <c r="BN198" i="25" s="1"/>
  <c r="BO198" i="25" s="1"/>
  <c r="AX187" i="25"/>
  <c r="BA187" i="25" s="1"/>
  <c r="BB187" i="25" s="1"/>
  <c r="J18" i="89"/>
  <c r="H18" i="89"/>
  <c r="I18" i="89" s="1"/>
  <c r="O18" i="89"/>
  <c r="N18" i="89"/>
  <c r="M18" i="89"/>
  <c r="L18" i="89"/>
  <c r="K18" i="89"/>
  <c r="K25" i="89"/>
  <c r="J25" i="89"/>
  <c r="H25" i="89"/>
  <c r="I25" i="89" s="1"/>
  <c r="O25" i="89"/>
  <c r="N25" i="89"/>
  <c r="M25" i="89"/>
  <c r="L25" i="89"/>
  <c r="L32" i="89"/>
  <c r="J32" i="89"/>
  <c r="K32" i="89"/>
  <c r="H32" i="89"/>
  <c r="I32" i="89" s="1"/>
  <c r="O32" i="89"/>
  <c r="N32" i="89"/>
  <c r="M32" i="89"/>
  <c r="AW187" i="25"/>
  <c r="AY187" i="25" s="1"/>
  <c r="AZ187" i="25" s="1"/>
  <c r="BC187" i="25" s="1"/>
  <c r="BS181" i="25"/>
  <c r="BM181" i="25" s="1"/>
  <c r="BN181" i="25" s="1"/>
  <c r="BO181" i="25" s="1"/>
  <c r="BJ191" i="25"/>
  <c r="BF189" i="25"/>
  <c r="BF181" i="25"/>
  <c r="BS194" i="25"/>
  <c r="BM194" i="25" s="1"/>
  <c r="BN194" i="25" s="1"/>
  <c r="BO194" i="25" s="1"/>
  <c r="BS197" i="25"/>
  <c r="BM197" i="25" s="1"/>
  <c r="BN197" i="25" s="1"/>
  <c r="BO197" i="25" s="1"/>
  <c r="BS189" i="25"/>
  <c r="BM189" i="25" s="1"/>
  <c r="BN189" i="25" s="1"/>
  <c r="BO189" i="25" s="1"/>
  <c r="BS188" i="25"/>
  <c r="BM188" i="25" s="1"/>
  <c r="BN188" i="25" s="1"/>
  <c r="BO188" i="25" s="1"/>
  <c r="BS196" i="25"/>
  <c r="BM196" i="25" s="1"/>
  <c r="BN196" i="25" s="1"/>
  <c r="BO196" i="25" s="1"/>
  <c r="BJ199" i="25"/>
  <c r="BJ183" i="25"/>
  <c r="AY188" i="25"/>
  <c r="AZ188" i="25" s="1"/>
  <c r="BC188" i="25" s="1"/>
  <c r="AY200" i="25"/>
  <c r="AZ200" i="25" s="1"/>
  <c r="BC200" i="25" s="1"/>
  <c r="AY184" i="25"/>
  <c r="AZ184" i="25" s="1"/>
  <c r="BC184" i="25" s="1"/>
  <c r="BS186" i="25"/>
  <c r="BM186" i="25" s="1"/>
  <c r="BN186" i="25" s="1"/>
  <c r="BO186" i="25" s="1"/>
  <c r="BJ198" i="25"/>
  <c r="AX196" i="25"/>
  <c r="BA196" i="25" s="1"/>
  <c r="BB196" i="25" s="1"/>
  <c r="AX198" i="25"/>
  <c r="BA198" i="25" s="1"/>
  <c r="BB198" i="25" s="1"/>
  <c r="AX190" i="25"/>
  <c r="BA190" i="25" s="1"/>
  <c r="BB190" i="25" s="1"/>
  <c r="AX182" i="25"/>
  <c r="BA182" i="25" s="1"/>
  <c r="BB182" i="25" s="1"/>
  <c r="BS201" i="25"/>
  <c r="BM201" i="25" s="1"/>
  <c r="BN201" i="25" s="1"/>
  <c r="BO201" i="25" s="1"/>
  <c r="BS193" i="25"/>
  <c r="BM193" i="25" s="1"/>
  <c r="BN193" i="25" s="1"/>
  <c r="BO193" i="25" s="1"/>
  <c r="BS185" i="25"/>
  <c r="BM185" i="25" s="1"/>
  <c r="BN185" i="25" s="1"/>
  <c r="BO185" i="25" s="1"/>
  <c r="BJ193" i="25"/>
  <c r="BF197" i="25"/>
  <c r="AX195" i="25"/>
  <c r="BA195" i="25" s="1"/>
  <c r="BB195" i="25" s="1"/>
  <c r="BS195" i="25"/>
  <c r="BM195" i="25" s="1"/>
  <c r="BN195" i="25" s="1"/>
  <c r="BO195" i="25" s="1"/>
  <c r="BS187" i="25"/>
  <c r="BM187" i="25" s="1"/>
  <c r="BN187" i="25" s="1"/>
  <c r="BO187" i="25" s="1"/>
  <c r="BS200" i="25"/>
  <c r="BM200" i="25" s="1"/>
  <c r="BN200" i="25" s="1"/>
  <c r="BO200" i="25" s="1"/>
  <c r="BS192" i="25"/>
  <c r="BM192" i="25" s="1"/>
  <c r="BN192" i="25" s="1"/>
  <c r="BO192" i="25" s="1"/>
  <c r="BS184" i="25"/>
  <c r="BM184" i="25" s="1"/>
  <c r="BN184" i="25" s="1"/>
  <c r="BO184" i="25" s="1"/>
  <c r="AY196" i="25"/>
  <c r="AZ196" i="25" s="1"/>
  <c r="BC196" i="25" s="1"/>
  <c r="BS199" i="25"/>
  <c r="BM199" i="25" s="1"/>
  <c r="BN199" i="25" s="1"/>
  <c r="BO199" i="25" s="1"/>
  <c r="BS191" i="25"/>
  <c r="BM191" i="25" s="1"/>
  <c r="BN191" i="25" s="1"/>
  <c r="BO191" i="25" s="1"/>
  <c r="BS183" i="25"/>
  <c r="BM183" i="25" s="1"/>
  <c r="BN183" i="25" s="1"/>
  <c r="BO183" i="25" s="1"/>
  <c r="BS190" i="25"/>
  <c r="BM190" i="25" s="1"/>
  <c r="BN190" i="25" s="1"/>
  <c r="BO190" i="25" s="1"/>
  <c r="BS182" i="25"/>
  <c r="BM182" i="25" s="1"/>
  <c r="BN182" i="25" s="1"/>
  <c r="BO182" i="25" s="1"/>
  <c r="BJ185" i="25"/>
  <c r="BF187" i="25"/>
  <c r="BJ201" i="25"/>
  <c r="AY192" i="25"/>
  <c r="AZ192" i="25" s="1"/>
  <c r="BC192" i="25" s="1"/>
  <c r="BJ194" i="25"/>
  <c r="BF195" i="25"/>
  <c r="AX200" i="25"/>
  <c r="BA200" i="25" s="1"/>
  <c r="BB200" i="25" s="1"/>
  <c r="AX192" i="25"/>
  <c r="BA192" i="25" s="1"/>
  <c r="BB192" i="25" s="1"/>
  <c r="AX184" i="25"/>
  <c r="BA184" i="25" s="1"/>
  <c r="BB184" i="25" s="1"/>
  <c r="AU190" i="25"/>
  <c r="AY190" i="25" s="1"/>
  <c r="AZ190" i="25" s="1"/>
  <c r="BC190" i="25" s="1"/>
  <c r="AX199" i="25"/>
  <c r="BA199" i="25" s="1"/>
  <c r="BB199" i="25" s="1"/>
  <c r="AX191" i="25"/>
  <c r="BA191" i="25" s="1"/>
  <c r="BB191" i="25" s="1"/>
  <c r="AX183" i="25"/>
  <c r="BA183" i="25" s="1"/>
  <c r="BB183" i="25" s="1"/>
  <c r="BJ186" i="25"/>
  <c r="AU198" i="25"/>
  <c r="AY198" i="25" s="1"/>
  <c r="AZ198" i="25" s="1"/>
  <c r="BC198" i="25" s="1"/>
  <c r="AU182" i="25"/>
  <c r="AY182" i="25" s="1"/>
  <c r="AZ182" i="25" s="1"/>
  <c r="BC182" i="25" s="1"/>
  <c r="AY195" i="25"/>
  <c r="AZ195" i="25" s="1"/>
  <c r="BC195" i="25" s="1"/>
  <c r="AW186" i="25"/>
  <c r="AY186" i="25" s="1"/>
  <c r="AZ186" i="25" s="1"/>
  <c r="BC186" i="25" s="1"/>
  <c r="AY201" i="25"/>
  <c r="AZ201" i="25" s="1"/>
  <c r="BC201" i="25" s="1"/>
  <c r="AY193" i="25"/>
  <c r="AZ193" i="25" s="1"/>
  <c r="BC193" i="25" s="1"/>
  <c r="AY185" i="25"/>
  <c r="AZ185" i="25" s="1"/>
  <c r="BC185" i="25" s="1"/>
  <c r="AX201" i="25"/>
  <c r="BA201" i="25" s="1"/>
  <c r="BB201" i="25" s="1"/>
  <c r="AX193" i="25"/>
  <c r="BA193" i="25" s="1"/>
  <c r="BB193" i="25" s="1"/>
  <c r="AX185" i="25"/>
  <c r="BA185" i="25" s="1"/>
  <c r="BB185" i="25" s="1"/>
  <c r="BJ196" i="25"/>
  <c r="BJ188" i="25"/>
  <c r="BF200" i="25"/>
  <c r="BF192" i="25"/>
  <c r="BF184" i="25"/>
  <c r="AW197" i="25"/>
  <c r="AY197" i="25" s="1"/>
  <c r="AZ197" i="25" s="1"/>
  <c r="BC197" i="25" s="1"/>
  <c r="AW189" i="25"/>
  <c r="AY189" i="25" s="1"/>
  <c r="AZ189" i="25" s="1"/>
  <c r="BC189" i="25" s="1"/>
  <c r="AW181" i="25"/>
  <c r="AY181" i="25" s="1"/>
  <c r="AZ181" i="25" s="1"/>
  <c r="BC181" i="25" s="1"/>
  <c r="AU199" i="25"/>
  <c r="AY199" i="25" s="1"/>
  <c r="AZ199" i="25" s="1"/>
  <c r="BC199" i="25" s="1"/>
  <c r="AU191" i="25"/>
  <c r="AY191" i="25" s="1"/>
  <c r="AZ191" i="25" s="1"/>
  <c r="BC191" i="25" s="1"/>
  <c r="AU183" i="25"/>
  <c r="AY183" i="25" s="1"/>
  <c r="AZ183" i="25" s="1"/>
  <c r="BC183" i="25" s="1"/>
  <c r="BQ7" i="25"/>
  <c r="BQ8" i="25"/>
  <c r="BQ9" i="25"/>
  <c r="BQ10" i="25"/>
  <c r="BQ11" i="25"/>
  <c r="BQ12" i="25"/>
  <c r="BQ13" i="25"/>
  <c r="BQ14" i="25"/>
  <c r="BQ15" i="25"/>
  <c r="BQ16" i="25"/>
  <c r="BQ17" i="25"/>
  <c r="BQ18" i="25"/>
  <c r="BQ19" i="25"/>
  <c r="BQ20" i="25"/>
  <c r="BQ21" i="25"/>
  <c r="BQ22" i="25"/>
  <c r="BQ23" i="25"/>
  <c r="BQ24" i="25"/>
  <c r="BQ25" i="25"/>
  <c r="BQ26" i="25"/>
  <c r="BQ27" i="25"/>
  <c r="BQ28" i="25"/>
  <c r="BQ29" i="25"/>
  <c r="BQ30" i="25"/>
  <c r="BQ31" i="25"/>
  <c r="BQ32" i="25"/>
  <c r="BQ33" i="25"/>
  <c r="BQ34" i="25"/>
  <c r="BQ35" i="25"/>
  <c r="BQ36" i="25"/>
  <c r="BQ37" i="25"/>
  <c r="BQ38" i="25"/>
  <c r="BQ39" i="25"/>
  <c r="BQ40" i="25"/>
  <c r="BQ41" i="25"/>
  <c r="BQ42" i="25"/>
  <c r="BQ43" i="25"/>
  <c r="BQ44" i="25"/>
  <c r="BQ45" i="25"/>
  <c r="BQ46" i="25"/>
  <c r="BQ47" i="25"/>
  <c r="BQ48" i="25"/>
  <c r="BQ49" i="25"/>
  <c r="BQ50" i="25"/>
  <c r="BQ51" i="25"/>
  <c r="BQ52" i="25"/>
  <c r="BQ53" i="25"/>
  <c r="BQ54" i="25"/>
  <c r="BQ55" i="25"/>
  <c r="BQ56" i="25"/>
  <c r="BQ57" i="25"/>
  <c r="BQ58" i="25"/>
  <c r="BQ59" i="25"/>
  <c r="BQ60" i="25"/>
  <c r="BQ61" i="25"/>
  <c r="BQ62" i="25"/>
  <c r="BQ63" i="25"/>
  <c r="BQ64" i="25"/>
  <c r="BQ65" i="25"/>
  <c r="BQ66" i="25"/>
  <c r="BQ67" i="25"/>
  <c r="BQ68" i="25"/>
  <c r="BQ69" i="25"/>
  <c r="BQ70" i="25"/>
  <c r="BQ71" i="25"/>
  <c r="BQ72" i="25"/>
  <c r="BQ73" i="25"/>
  <c r="BQ74" i="25"/>
  <c r="BQ75" i="25"/>
  <c r="BQ76" i="25"/>
  <c r="BQ77" i="25"/>
  <c r="BQ78" i="25"/>
  <c r="BQ79" i="25"/>
  <c r="BQ80" i="25"/>
  <c r="BQ81" i="25"/>
  <c r="BQ82" i="25"/>
  <c r="BQ83" i="25"/>
  <c r="BQ84" i="25"/>
  <c r="BQ85" i="25"/>
  <c r="BQ86" i="25"/>
  <c r="BQ87" i="25"/>
  <c r="BQ88" i="25"/>
  <c r="BQ89" i="25"/>
  <c r="BQ90" i="25"/>
  <c r="BQ91" i="25"/>
  <c r="BQ92" i="25"/>
  <c r="BQ93" i="25"/>
  <c r="BQ94" i="25"/>
  <c r="BQ95" i="25"/>
  <c r="BQ96" i="25"/>
  <c r="BQ97" i="25"/>
  <c r="BQ98" i="25"/>
  <c r="BQ99" i="25"/>
  <c r="BQ100" i="25"/>
  <c r="BQ101" i="25"/>
  <c r="BQ102" i="25"/>
  <c r="BQ103" i="25"/>
  <c r="BQ104" i="25"/>
  <c r="BQ105" i="25"/>
  <c r="BQ106" i="25"/>
  <c r="BQ107" i="25"/>
  <c r="BQ108" i="25"/>
  <c r="BQ109" i="25"/>
  <c r="BQ110" i="25"/>
  <c r="BQ111" i="25"/>
  <c r="BQ112" i="25"/>
  <c r="BQ113" i="25"/>
  <c r="BQ114" i="25"/>
  <c r="BQ115" i="25"/>
  <c r="BQ116" i="25"/>
  <c r="BQ117" i="25"/>
  <c r="BQ118" i="25"/>
  <c r="BQ119" i="25"/>
  <c r="BQ120" i="25"/>
  <c r="BQ121" i="25"/>
  <c r="BQ122" i="25"/>
  <c r="BQ123" i="25"/>
  <c r="BQ124" i="25"/>
  <c r="BQ125" i="25"/>
  <c r="BQ126" i="25"/>
  <c r="BQ127" i="25"/>
  <c r="BQ128" i="25"/>
  <c r="BQ129" i="25"/>
  <c r="BQ130" i="25"/>
  <c r="BQ131" i="25"/>
  <c r="BQ132" i="25"/>
  <c r="BQ134" i="25"/>
  <c r="BQ135" i="25"/>
  <c r="BQ136" i="25"/>
  <c r="BQ137" i="25"/>
  <c r="BQ138" i="25"/>
  <c r="BQ139" i="25"/>
  <c r="BQ140" i="25"/>
  <c r="BQ141" i="25"/>
  <c r="BQ142" i="25"/>
  <c r="BQ143" i="25"/>
  <c r="BQ144" i="25"/>
  <c r="BQ145" i="25"/>
  <c r="BQ146" i="25"/>
  <c r="BQ147" i="25"/>
  <c r="BQ148" i="25"/>
  <c r="BQ149" i="25"/>
  <c r="BQ150" i="25"/>
  <c r="BQ151" i="25"/>
  <c r="BQ152" i="25"/>
  <c r="BQ153" i="25"/>
  <c r="BQ154" i="25"/>
  <c r="BQ155" i="25"/>
  <c r="BQ156" i="25"/>
  <c r="BQ157" i="25"/>
  <c r="BQ158" i="25"/>
  <c r="BQ159" i="25"/>
  <c r="BQ160" i="25"/>
  <c r="BQ161" i="25"/>
  <c r="BQ162" i="25"/>
  <c r="BQ163" i="25"/>
  <c r="BQ164" i="25"/>
  <c r="BQ165" i="25"/>
  <c r="BQ166" i="25"/>
  <c r="BQ167" i="25"/>
  <c r="BQ168" i="25"/>
  <c r="BQ169" i="25"/>
  <c r="BQ170" i="25"/>
  <c r="BQ171" i="25"/>
  <c r="BQ172" i="25"/>
  <c r="BQ173" i="25"/>
  <c r="BQ174" i="25"/>
  <c r="BQ175" i="25"/>
  <c r="BQ176" i="25"/>
  <c r="BQ177" i="25"/>
  <c r="BQ178" i="25"/>
  <c r="BQ179" i="25"/>
  <c r="BQ180" i="25"/>
  <c r="BE7" i="25"/>
  <c r="BE8" i="25"/>
  <c r="BE9" i="25"/>
  <c r="BE10" i="25"/>
  <c r="BE11" i="25"/>
  <c r="BE12" i="25"/>
  <c r="BE13" i="25"/>
  <c r="BE14" i="25"/>
  <c r="BE15" i="25"/>
  <c r="BE16" i="25"/>
  <c r="BE17" i="25"/>
  <c r="BE18" i="25"/>
  <c r="BE19" i="25"/>
  <c r="BE20" i="25"/>
  <c r="BE21" i="25"/>
  <c r="BE22" i="25"/>
  <c r="BE23" i="25"/>
  <c r="BE24" i="25"/>
  <c r="BE25" i="25"/>
  <c r="BE26" i="25"/>
  <c r="BE27" i="25"/>
  <c r="BE28" i="25"/>
  <c r="BE29" i="25"/>
  <c r="BE30" i="25"/>
  <c r="BE31" i="25"/>
  <c r="BE32" i="25"/>
  <c r="BE33" i="25"/>
  <c r="BE34" i="25"/>
  <c r="BE35" i="25"/>
  <c r="BE36" i="25"/>
  <c r="BE37" i="25"/>
  <c r="BE38" i="25"/>
  <c r="BE39" i="25"/>
  <c r="BE40" i="25"/>
  <c r="BE41" i="25"/>
  <c r="BE42" i="25"/>
  <c r="BE43" i="25"/>
  <c r="BE44" i="25"/>
  <c r="BE45" i="25"/>
  <c r="BE46" i="25"/>
  <c r="BE47" i="25"/>
  <c r="BE48" i="25"/>
  <c r="BE49" i="25"/>
  <c r="BE50" i="25"/>
  <c r="BE51" i="25"/>
  <c r="BE52" i="25"/>
  <c r="BE53" i="25"/>
  <c r="BE54" i="25"/>
  <c r="BE55" i="25"/>
  <c r="BE56" i="25"/>
  <c r="BE57" i="25"/>
  <c r="BE58" i="25"/>
  <c r="BE59" i="25"/>
  <c r="BE60" i="25"/>
  <c r="BE61" i="25"/>
  <c r="BE62" i="25"/>
  <c r="BE63" i="25"/>
  <c r="BE64" i="25"/>
  <c r="BE65" i="25"/>
  <c r="BE66" i="25"/>
  <c r="BE67" i="25"/>
  <c r="BE68" i="25"/>
  <c r="BE69" i="25"/>
  <c r="BE70" i="25"/>
  <c r="BE71" i="25"/>
  <c r="BE72" i="25"/>
  <c r="BE73" i="25"/>
  <c r="BE74" i="25"/>
  <c r="BE75" i="25"/>
  <c r="BE76" i="25"/>
  <c r="BE77" i="25"/>
  <c r="BE78" i="25"/>
  <c r="BE79" i="25"/>
  <c r="BE80" i="25"/>
  <c r="BE81" i="25"/>
  <c r="BE82" i="25"/>
  <c r="BE83" i="25"/>
  <c r="BE84" i="25"/>
  <c r="BE85" i="25"/>
  <c r="BE86" i="25"/>
  <c r="BE87" i="25"/>
  <c r="BE88" i="25"/>
  <c r="BE89" i="25"/>
  <c r="BE90" i="25"/>
  <c r="BE91" i="25"/>
  <c r="BE92" i="25"/>
  <c r="BE93" i="25"/>
  <c r="BE94" i="25"/>
  <c r="BE95" i="25"/>
  <c r="BE96" i="25"/>
  <c r="BE97" i="25"/>
  <c r="BE98" i="25"/>
  <c r="BE99" i="25"/>
  <c r="BE100" i="25"/>
  <c r="BE101" i="25"/>
  <c r="BE102" i="25"/>
  <c r="BE103" i="25"/>
  <c r="BE104" i="25"/>
  <c r="BE105" i="25"/>
  <c r="BE106" i="25"/>
  <c r="BE107" i="25"/>
  <c r="BE108" i="25"/>
  <c r="BE109" i="25"/>
  <c r="BE110" i="25"/>
  <c r="BE111" i="25"/>
  <c r="BE112" i="25"/>
  <c r="BE113" i="25"/>
  <c r="BE114" i="25"/>
  <c r="BE115" i="25"/>
  <c r="BE116" i="25"/>
  <c r="BE117" i="25"/>
  <c r="BE118" i="25"/>
  <c r="BE119" i="25"/>
  <c r="BE120" i="25"/>
  <c r="BE121" i="25"/>
  <c r="BE122" i="25"/>
  <c r="BE123" i="25"/>
  <c r="BE124" i="25"/>
  <c r="BE125" i="25"/>
  <c r="BE126" i="25"/>
  <c r="BE127" i="25"/>
  <c r="BE128" i="25"/>
  <c r="BE129" i="25"/>
  <c r="BE130" i="25"/>
  <c r="BE131" i="25"/>
  <c r="BE132" i="25"/>
  <c r="BE134" i="25"/>
  <c r="BE135" i="25"/>
  <c r="BE136" i="25"/>
  <c r="BE137" i="25"/>
  <c r="BE138" i="25"/>
  <c r="BE139" i="25"/>
  <c r="BE140" i="25"/>
  <c r="BE141" i="25"/>
  <c r="BE142" i="25"/>
  <c r="BE143" i="25"/>
  <c r="BE144" i="25"/>
  <c r="BE145" i="25"/>
  <c r="BE146" i="25"/>
  <c r="BE147" i="25"/>
  <c r="BE148" i="25"/>
  <c r="BE149" i="25"/>
  <c r="BE150" i="25"/>
  <c r="BE151" i="25"/>
  <c r="BE152" i="25"/>
  <c r="BE153" i="25"/>
  <c r="BE154" i="25"/>
  <c r="BE155" i="25"/>
  <c r="BE156" i="25"/>
  <c r="BE157" i="25"/>
  <c r="BE158" i="25"/>
  <c r="BE159" i="25"/>
  <c r="BE160" i="25"/>
  <c r="BE161" i="25"/>
  <c r="BE162" i="25"/>
  <c r="BE163" i="25"/>
  <c r="BE164" i="25"/>
  <c r="BE165" i="25"/>
  <c r="BE166" i="25"/>
  <c r="BE167" i="25"/>
  <c r="BE168" i="25"/>
  <c r="BE169" i="25"/>
  <c r="BE170" i="25"/>
  <c r="BE171" i="25"/>
  <c r="BE172" i="25"/>
  <c r="BE173" i="25"/>
  <c r="BE174" i="25"/>
  <c r="BE175" i="25"/>
  <c r="BE176" i="25"/>
  <c r="BE177" i="25"/>
  <c r="BE178" i="25"/>
  <c r="BE179" i="25"/>
  <c r="BE180" i="25"/>
  <c r="G7" i="25" l="1"/>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AT176" i="25"/>
  <c r="AU176" i="25" s="1"/>
  <c r="AT177" i="25"/>
  <c r="AU177" i="25" s="1"/>
  <c r="AT178" i="25"/>
  <c r="AT179" i="25"/>
  <c r="AU179" i="25" s="1"/>
  <c r="AT180" i="25"/>
  <c r="AU180" i="25" s="1"/>
  <c r="AV176" i="25"/>
  <c r="AV177" i="25"/>
  <c r="AW177" i="25" s="1"/>
  <c r="AV178" i="25"/>
  <c r="AW178" i="25" s="1"/>
  <c r="AV179" i="25"/>
  <c r="AV180" i="25"/>
  <c r="AW180" i="25" s="1"/>
  <c r="BD176" i="25"/>
  <c r="BD177" i="25"/>
  <c r="BD178" i="25"/>
  <c r="BD179" i="25"/>
  <c r="BD180" i="25"/>
  <c r="BJ176" i="25"/>
  <c r="BJ177" i="25"/>
  <c r="BF178" i="25"/>
  <c r="BJ179" i="25"/>
  <c r="BF180" i="25"/>
  <c r="BG176" i="25"/>
  <c r="BG177" i="25"/>
  <c r="BG178" i="25"/>
  <c r="BG179" i="25"/>
  <c r="BG180" i="25"/>
  <c r="BH176" i="25"/>
  <c r="BI176" i="25" s="1"/>
  <c r="BH177" i="25"/>
  <c r="BI177" i="25" s="1"/>
  <c r="BH178" i="25"/>
  <c r="BI178" i="25" s="1"/>
  <c r="BH179" i="25"/>
  <c r="BI179" i="25" s="1"/>
  <c r="BH180" i="25"/>
  <c r="BI180" i="25" s="1"/>
  <c r="BK176" i="25"/>
  <c r="BP176" i="25" s="1"/>
  <c r="BK177" i="25"/>
  <c r="BP177" i="25" s="1"/>
  <c r="BK178" i="25"/>
  <c r="BP178" i="25" s="1"/>
  <c r="BK179" i="25"/>
  <c r="BP179" i="25" s="1"/>
  <c r="BK180" i="25"/>
  <c r="BP180" i="25" s="1"/>
  <c r="BL176" i="25"/>
  <c r="BL177" i="25"/>
  <c r="BL178" i="25"/>
  <c r="BL179" i="25"/>
  <c r="BL180" i="25"/>
  <c r="BR176" i="25"/>
  <c r="BR177" i="25"/>
  <c r="BR178" i="25"/>
  <c r="BR179" i="25"/>
  <c r="BR180" i="25"/>
  <c r="BT176" i="25"/>
  <c r="BT177" i="25"/>
  <c r="BT178" i="25"/>
  <c r="BT179" i="25"/>
  <c r="BT180" i="25"/>
  <c r="BU176" i="25"/>
  <c r="BU177" i="25"/>
  <c r="BU178" i="25"/>
  <c r="BU179" i="25"/>
  <c r="BU180" i="25"/>
  <c r="BV176" i="25"/>
  <c r="BV177" i="25"/>
  <c r="BV178" i="25"/>
  <c r="BV179" i="25"/>
  <c r="BV180" i="25"/>
  <c r="BW176" i="25"/>
  <c r="BW177" i="25"/>
  <c r="BW179" i="25"/>
  <c r="BW180" i="25"/>
  <c r="BX176" i="25"/>
  <c r="BX177" i="25"/>
  <c r="BX179" i="25"/>
  <c r="BX180" i="25"/>
  <c r="BY176" i="25"/>
  <c r="BY177" i="25"/>
  <c r="BY179" i="25"/>
  <c r="BY180" i="25"/>
  <c r="BZ176" i="25"/>
  <c r="BZ177" i="25"/>
  <c r="BZ179" i="25"/>
  <c r="BZ180" i="25"/>
  <c r="CA176" i="25"/>
  <c r="CA177" i="25"/>
  <c r="CA178" i="25"/>
  <c r="CA179" i="25"/>
  <c r="CA180" i="25"/>
  <c r="AT151" i="25"/>
  <c r="AU151" i="25" s="1"/>
  <c r="AT152" i="25"/>
  <c r="AU152" i="25" s="1"/>
  <c r="AT153" i="25"/>
  <c r="AU153" i="25" s="1"/>
  <c r="AT154" i="25"/>
  <c r="AT155" i="25"/>
  <c r="AU155" i="25" s="1"/>
  <c r="AT156" i="25"/>
  <c r="AU156" i="25" s="1"/>
  <c r="AT157" i="25"/>
  <c r="AU157" i="25" s="1"/>
  <c r="AT158" i="25"/>
  <c r="AU158" i="25" s="1"/>
  <c r="AT159" i="25"/>
  <c r="AU159" i="25" s="1"/>
  <c r="AT160" i="25"/>
  <c r="AU160" i="25" s="1"/>
  <c r="AT161" i="25"/>
  <c r="AU161" i="25" s="1"/>
  <c r="AT162" i="25"/>
  <c r="AT163" i="25"/>
  <c r="AU163" i="25" s="1"/>
  <c r="AT164" i="25"/>
  <c r="AU164" i="25" s="1"/>
  <c r="AT165" i="25"/>
  <c r="AU165" i="25" s="1"/>
  <c r="AT166" i="25"/>
  <c r="AU166" i="25" s="1"/>
  <c r="AT167" i="25"/>
  <c r="AU167" i="25" s="1"/>
  <c r="AT168" i="25"/>
  <c r="AU168" i="25" s="1"/>
  <c r="AT169" i="25"/>
  <c r="AU169" i="25" s="1"/>
  <c r="AT170" i="25"/>
  <c r="AT171" i="25"/>
  <c r="AU171" i="25" s="1"/>
  <c r="AT172" i="25"/>
  <c r="AU172" i="25" s="1"/>
  <c r="AT173" i="25"/>
  <c r="AU173" i="25" s="1"/>
  <c r="AT174" i="25"/>
  <c r="AU174" i="25" s="1"/>
  <c r="AT175" i="25"/>
  <c r="AU175" i="25" s="1"/>
  <c r="AV151" i="25"/>
  <c r="AW151" i="25" s="1"/>
  <c r="AV152" i="25"/>
  <c r="AW152" i="25" s="1"/>
  <c r="AV153" i="25"/>
  <c r="AV154" i="25"/>
  <c r="AW154" i="25" s="1"/>
  <c r="AV155" i="25"/>
  <c r="AW155" i="25" s="1"/>
  <c r="AV156" i="25"/>
  <c r="AW156" i="25" s="1"/>
  <c r="AV157" i="25"/>
  <c r="AW157" i="25" s="1"/>
  <c r="AV158" i="25"/>
  <c r="AW158" i="25" s="1"/>
  <c r="AV159" i="25"/>
  <c r="AW159" i="25" s="1"/>
  <c r="AV160" i="25"/>
  <c r="AW160" i="25" s="1"/>
  <c r="AV161" i="25"/>
  <c r="AW161" i="25" s="1"/>
  <c r="AV162" i="25"/>
  <c r="AW162" i="25" s="1"/>
  <c r="AV163" i="25"/>
  <c r="AW163" i="25" s="1"/>
  <c r="AV164" i="25"/>
  <c r="AW164" i="25" s="1"/>
  <c r="AV165" i="25"/>
  <c r="AW165" i="25" s="1"/>
  <c r="AV166" i="25"/>
  <c r="AV167" i="25"/>
  <c r="AW167" i="25" s="1"/>
  <c r="AV168" i="25"/>
  <c r="AW168" i="25" s="1"/>
  <c r="AV169" i="25"/>
  <c r="AW169" i="25" s="1"/>
  <c r="AV170" i="25"/>
  <c r="AW170" i="25" s="1"/>
  <c r="AV171" i="25"/>
  <c r="AW171" i="25" s="1"/>
  <c r="AV172" i="25"/>
  <c r="AW172" i="25" s="1"/>
  <c r="AV173" i="25"/>
  <c r="AW173" i="25" s="1"/>
  <c r="AV174" i="25"/>
  <c r="AW174" i="25" s="1"/>
  <c r="AV175" i="25"/>
  <c r="AW175" i="25" s="1"/>
  <c r="BD151" i="25"/>
  <c r="BD152" i="25"/>
  <c r="BD153" i="25"/>
  <c r="BD154" i="25"/>
  <c r="BD155" i="25"/>
  <c r="BD156" i="25"/>
  <c r="BD157" i="25"/>
  <c r="BD158" i="25"/>
  <c r="BD159" i="25"/>
  <c r="BD160" i="25"/>
  <c r="BD161" i="25"/>
  <c r="BD162" i="25"/>
  <c r="BD163" i="25"/>
  <c r="BD164" i="25"/>
  <c r="BD165" i="25"/>
  <c r="BD166" i="25"/>
  <c r="BD167" i="25"/>
  <c r="BD168" i="25"/>
  <c r="BD169" i="25"/>
  <c r="BD170" i="25"/>
  <c r="BD171" i="25"/>
  <c r="BD172" i="25"/>
  <c r="BD173" i="25"/>
  <c r="BD174" i="25"/>
  <c r="BD175" i="25"/>
  <c r="BJ151" i="25"/>
  <c r="BJ152" i="25"/>
  <c r="BJ153" i="25"/>
  <c r="BF154" i="25"/>
  <c r="BF155" i="25"/>
  <c r="BJ156" i="25"/>
  <c r="BJ157" i="25"/>
  <c r="BF158" i="25"/>
  <c r="BJ159" i="25"/>
  <c r="BF160" i="25"/>
  <c r="BF161" i="25"/>
  <c r="BF162" i="25"/>
  <c r="BF163" i="25"/>
  <c r="BF164" i="25"/>
  <c r="BF165" i="25"/>
  <c r="BF166" i="25"/>
  <c r="BJ167" i="25"/>
  <c r="BF168" i="25"/>
  <c r="BF169" i="25"/>
  <c r="BF170" i="25"/>
  <c r="BF171" i="25"/>
  <c r="BF172" i="25"/>
  <c r="BJ173" i="25"/>
  <c r="BF174" i="25"/>
  <c r="BJ175" i="25"/>
  <c r="BF152" i="25"/>
  <c r="BF153" i="25"/>
  <c r="BG151" i="25"/>
  <c r="BG152" i="25"/>
  <c r="BG153" i="25"/>
  <c r="BG154" i="25"/>
  <c r="BG155" i="25"/>
  <c r="BG156" i="25"/>
  <c r="BG157" i="25"/>
  <c r="BG158" i="25"/>
  <c r="BG159" i="25"/>
  <c r="BG160" i="25"/>
  <c r="BG161" i="25"/>
  <c r="BG162" i="25"/>
  <c r="BG163" i="25"/>
  <c r="BG164" i="25"/>
  <c r="BG165" i="25"/>
  <c r="BG166" i="25"/>
  <c r="BG167" i="25"/>
  <c r="BG168" i="25"/>
  <c r="BG169" i="25"/>
  <c r="BG170" i="25"/>
  <c r="BG171" i="25"/>
  <c r="BG172" i="25"/>
  <c r="BG173" i="25"/>
  <c r="BG174" i="25"/>
  <c r="BG175" i="25"/>
  <c r="BH151" i="25"/>
  <c r="BI151" i="25" s="1"/>
  <c r="BH152" i="25"/>
  <c r="BI152" i="25" s="1"/>
  <c r="BH153" i="25"/>
  <c r="BI153" i="25" s="1"/>
  <c r="BH154" i="25"/>
  <c r="BI154" i="25" s="1"/>
  <c r="BH155" i="25"/>
  <c r="BI155" i="25" s="1"/>
  <c r="BH156" i="25"/>
  <c r="BI156" i="25" s="1"/>
  <c r="BH157" i="25"/>
  <c r="BI157" i="25" s="1"/>
  <c r="BH158" i="25"/>
  <c r="BI158" i="25" s="1"/>
  <c r="BH159" i="25"/>
  <c r="BI159" i="25" s="1"/>
  <c r="BH160" i="25"/>
  <c r="BI160" i="25" s="1"/>
  <c r="BH161" i="25"/>
  <c r="BI161" i="25" s="1"/>
  <c r="BH162" i="25"/>
  <c r="BI162" i="25" s="1"/>
  <c r="BH163" i="25"/>
  <c r="BI163" i="25" s="1"/>
  <c r="BH164" i="25"/>
  <c r="BI164" i="25" s="1"/>
  <c r="BH165" i="25"/>
  <c r="BI165" i="25" s="1"/>
  <c r="BH166" i="25"/>
  <c r="BI166" i="25" s="1"/>
  <c r="BH167" i="25"/>
  <c r="BI167" i="25" s="1"/>
  <c r="BH168" i="25"/>
  <c r="BI168" i="25" s="1"/>
  <c r="BH169" i="25"/>
  <c r="BI169" i="25" s="1"/>
  <c r="BH170" i="25"/>
  <c r="BI170" i="25" s="1"/>
  <c r="BH171" i="25"/>
  <c r="BI171" i="25" s="1"/>
  <c r="BH172" i="25"/>
  <c r="BI172" i="25" s="1"/>
  <c r="BH173" i="25"/>
  <c r="BI173" i="25" s="1"/>
  <c r="BH174" i="25"/>
  <c r="BI174" i="25" s="1"/>
  <c r="BH175" i="25"/>
  <c r="BI175" i="25" s="1"/>
  <c r="BK151" i="25"/>
  <c r="BP151" i="25" s="1"/>
  <c r="BK152" i="25"/>
  <c r="BP152" i="25" s="1"/>
  <c r="BK153" i="25"/>
  <c r="BP153" i="25" s="1"/>
  <c r="BK154" i="25"/>
  <c r="BP154" i="25" s="1"/>
  <c r="BK155" i="25"/>
  <c r="BP155" i="25" s="1"/>
  <c r="BK156" i="25"/>
  <c r="BK157" i="25"/>
  <c r="BP157" i="25" s="1"/>
  <c r="BK158" i="25"/>
  <c r="BP158" i="25" s="1"/>
  <c r="BK159" i="25"/>
  <c r="BP159" i="25" s="1"/>
  <c r="BK160" i="25"/>
  <c r="BP160" i="25" s="1"/>
  <c r="BK161" i="25"/>
  <c r="BP161" i="25" s="1"/>
  <c r="BK162" i="25"/>
  <c r="BP162" i="25" s="1"/>
  <c r="BK163" i="25"/>
  <c r="BP163" i="25" s="1"/>
  <c r="BK164" i="25"/>
  <c r="BK165" i="25"/>
  <c r="BP165" i="25" s="1"/>
  <c r="BK166" i="25"/>
  <c r="BP166" i="25" s="1"/>
  <c r="BK167" i="25"/>
  <c r="BP167" i="25" s="1"/>
  <c r="BK168" i="25"/>
  <c r="BP168" i="25" s="1"/>
  <c r="BK169" i="25"/>
  <c r="BP169" i="25" s="1"/>
  <c r="BK170" i="25"/>
  <c r="BP170" i="25" s="1"/>
  <c r="BK171" i="25"/>
  <c r="BP171" i="25" s="1"/>
  <c r="BK172" i="25"/>
  <c r="BK173" i="25"/>
  <c r="BP173" i="25" s="1"/>
  <c r="BK174" i="25"/>
  <c r="BP174" i="25" s="1"/>
  <c r="BK175" i="25"/>
  <c r="BL151" i="25"/>
  <c r="BL152" i="25"/>
  <c r="BL153" i="25"/>
  <c r="BL154" i="25"/>
  <c r="BL155" i="25"/>
  <c r="BL156" i="25"/>
  <c r="BL157" i="25"/>
  <c r="BL158" i="25"/>
  <c r="BL159" i="25"/>
  <c r="BL160" i="25"/>
  <c r="BL161" i="25"/>
  <c r="BL162" i="25"/>
  <c r="BL163" i="25"/>
  <c r="BL164" i="25"/>
  <c r="BL165" i="25"/>
  <c r="BL166" i="25"/>
  <c r="BL167" i="25"/>
  <c r="BL168" i="25"/>
  <c r="BL169" i="25"/>
  <c r="BL170" i="25"/>
  <c r="BL171" i="25"/>
  <c r="BL172" i="25"/>
  <c r="BL173" i="25"/>
  <c r="BL174" i="25"/>
  <c r="BL175" i="25"/>
  <c r="BR151" i="25"/>
  <c r="BR152" i="25"/>
  <c r="BR153" i="25"/>
  <c r="BR154" i="25"/>
  <c r="BR155" i="25"/>
  <c r="BR156" i="25"/>
  <c r="BR157" i="25"/>
  <c r="BR158" i="25"/>
  <c r="BR159" i="25"/>
  <c r="BR160" i="25"/>
  <c r="BR161" i="25"/>
  <c r="BR162" i="25"/>
  <c r="BR163" i="25"/>
  <c r="BR164" i="25"/>
  <c r="BR165" i="25"/>
  <c r="BR166" i="25"/>
  <c r="BR167" i="25"/>
  <c r="BR168" i="25"/>
  <c r="BR169" i="25"/>
  <c r="BR170" i="25"/>
  <c r="BR171" i="25"/>
  <c r="BR172" i="25"/>
  <c r="BR173" i="25"/>
  <c r="BR174" i="25"/>
  <c r="BR175" i="25"/>
  <c r="BT151" i="25"/>
  <c r="BT152" i="25"/>
  <c r="BT153" i="25"/>
  <c r="BT154" i="25"/>
  <c r="BT155" i="25"/>
  <c r="BT156" i="25"/>
  <c r="BT157" i="25"/>
  <c r="BT158" i="25"/>
  <c r="BT159" i="25"/>
  <c r="BT160" i="25"/>
  <c r="BT161" i="25"/>
  <c r="BT162" i="25"/>
  <c r="BT163" i="25"/>
  <c r="BT164" i="25"/>
  <c r="BT165" i="25"/>
  <c r="BT166" i="25"/>
  <c r="BT167" i="25"/>
  <c r="BT168" i="25"/>
  <c r="BT169" i="25"/>
  <c r="BT170" i="25"/>
  <c r="BT171" i="25"/>
  <c r="BT172" i="25"/>
  <c r="BT173" i="25"/>
  <c r="BT174" i="25"/>
  <c r="BT175" i="25"/>
  <c r="BU151" i="25"/>
  <c r="BU152" i="25"/>
  <c r="BU153" i="25"/>
  <c r="BU154" i="25"/>
  <c r="BU155" i="25"/>
  <c r="BU156" i="25"/>
  <c r="BU157" i="25"/>
  <c r="BU158" i="25"/>
  <c r="BU159" i="25"/>
  <c r="BU160" i="25"/>
  <c r="BU161" i="25"/>
  <c r="BU162" i="25"/>
  <c r="BU163" i="25"/>
  <c r="BU164" i="25"/>
  <c r="BU165" i="25"/>
  <c r="BU166" i="25"/>
  <c r="BU167" i="25"/>
  <c r="BU168" i="25"/>
  <c r="BU169" i="25"/>
  <c r="BU170" i="25"/>
  <c r="BU171" i="25"/>
  <c r="BU172" i="25"/>
  <c r="BU173" i="25"/>
  <c r="BU174" i="25"/>
  <c r="BU175" i="25"/>
  <c r="BV151" i="25"/>
  <c r="BV152" i="25"/>
  <c r="BV153" i="25"/>
  <c r="BV154" i="25"/>
  <c r="BV155" i="25"/>
  <c r="BV156" i="25"/>
  <c r="BV157" i="25"/>
  <c r="BV158" i="25"/>
  <c r="BV159" i="25"/>
  <c r="BV160" i="25"/>
  <c r="BV161" i="25"/>
  <c r="BV162" i="25"/>
  <c r="BV163" i="25"/>
  <c r="BV164" i="25"/>
  <c r="BV165" i="25"/>
  <c r="BV166" i="25"/>
  <c r="BV167" i="25"/>
  <c r="BV168" i="25"/>
  <c r="BV169" i="25"/>
  <c r="BV170" i="25"/>
  <c r="BV171" i="25"/>
  <c r="BV172" i="25"/>
  <c r="BV173" i="25"/>
  <c r="BV174" i="25"/>
  <c r="BV175" i="25"/>
  <c r="BW151" i="25"/>
  <c r="BW152" i="25"/>
  <c r="BW153" i="25"/>
  <c r="BW154" i="25"/>
  <c r="BW155" i="25"/>
  <c r="BW156" i="25"/>
  <c r="BW157" i="25"/>
  <c r="BW158" i="25"/>
  <c r="BW159" i="25"/>
  <c r="BW160" i="25"/>
  <c r="BW161" i="25"/>
  <c r="BW162" i="25"/>
  <c r="BW163" i="25"/>
  <c r="BW164" i="25"/>
  <c r="BW165" i="25"/>
  <c r="BW166" i="25"/>
  <c r="BW167" i="25"/>
  <c r="BW168" i="25"/>
  <c r="BW169" i="25"/>
  <c r="BW170" i="25"/>
  <c r="BW171" i="25"/>
  <c r="BW172" i="25"/>
  <c r="BW173" i="25"/>
  <c r="BW174" i="25"/>
  <c r="BW175" i="25"/>
  <c r="BX151" i="25"/>
  <c r="BX152" i="25"/>
  <c r="BX153" i="25"/>
  <c r="BX154" i="25"/>
  <c r="BX155" i="25"/>
  <c r="BX156" i="25"/>
  <c r="BX157" i="25"/>
  <c r="BX158" i="25"/>
  <c r="BX159" i="25"/>
  <c r="BX160" i="25"/>
  <c r="BX161" i="25"/>
  <c r="BX162" i="25"/>
  <c r="BX163" i="25"/>
  <c r="BX164" i="25"/>
  <c r="BX165" i="25"/>
  <c r="BX166" i="25"/>
  <c r="BX167" i="25"/>
  <c r="BX168" i="25"/>
  <c r="BX169" i="25"/>
  <c r="BX170" i="25"/>
  <c r="BX171" i="25"/>
  <c r="BX172" i="25"/>
  <c r="BX173" i="25"/>
  <c r="BX174" i="25"/>
  <c r="BX175" i="25"/>
  <c r="BY151" i="25"/>
  <c r="BY152" i="25"/>
  <c r="BY153" i="25"/>
  <c r="BY154" i="25"/>
  <c r="BY155" i="25"/>
  <c r="BY156" i="25"/>
  <c r="BY157" i="25"/>
  <c r="BY158" i="25"/>
  <c r="BY159" i="25"/>
  <c r="BY160" i="25"/>
  <c r="BY161" i="25"/>
  <c r="BY162" i="25"/>
  <c r="BY163" i="25"/>
  <c r="BY164" i="25"/>
  <c r="BY165" i="25"/>
  <c r="BY166" i="25"/>
  <c r="BY167" i="25"/>
  <c r="BY168" i="25"/>
  <c r="BY169" i="25"/>
  <c r="BY170" i="25"/>
  <c r="BY171" i="25"/>
  <c r="BY172" i="25"/>
  <c r="BY173" i="25"/>
  <c r="BY174" i="25"/>
  <c r="BY175" i="25"/>
  <c r="BZ151" i="25"/>
  <c r="BZ152" i="25"/>
  <c r="BZ153" i="25"/>
  <c r="BZ154" i="25"/>
  <c r="BZ155" i="25"/>
  <c r="BZ156" i="25"/>
  <c r="BZ157" i="25"/>
  <c r="BZ158" i="25"/>
  <c r="BZ159" i="25"/>
  <c r="BZ160" i="25"/>
  <c r="BZ161" i="25"/>
  <c r="BZ162" i="25"/>
  <c r="BZ163" i="25"/>
  <c r="BZ164" i="25"/>
  <c r="BZ165" i="25"/>
  <c r="BZ166" i="25"/>
  <c r="BZ167" i="25"/>
  <c r="BZ168" i="25"/>
  <c r="BZ169" i="25"/>
  <c r="BZ170" i="25"/>
  <c r="BZ171" i="25"/>
  <c r="BZ172" i="25"/>
  <c r="BZ173" i="25"/>
  <c r="BZ174" i="25"/>
  <c r="BZ175" i="25"/>
  <c r="CA151" i="25"/>
  <c r="CA152" i="25"/>
  <c r="CA153" i="25"/>
  <c r="CA154" i="25"/>
  <c r="CA155" i="25"/>
  <c r="CA156" i="25"/>
  <c r="CA157" i="25"/>
  <c r="CA158" i="25"/>
  <c r="CA159" i="25"/>
  <c r="CA160" i="25"/>
  <c r="CA161" i="25"/>
  <c r="CA162" i="25"/>
  <c r="CA163" i="25"/>
  <c r="CA164" i="25"/>
  <c r="CA165" i="25"/>
  <c r="CA166" i="25"/>
  <c r="CA167" i="25"/>
  <c r="CA168" i="25"/>
  <c r="CA169" i="25"/>
  <c r="CA170" i="25"/>
  <c r="CA171" i="25"/>
  <c r="CA172" i="25"/>
  <c r="CA173" i="25"/>
  <c r="CA174" i="25"/>
  <c r="CA175" i="25"/>
  <c r="AT146" i="25"/>
  <c r="AU146" i="25" s="1"/>
  <c r="AT147" i="25"/>
  <c r="AT148" i="25"/>
  <c r="AT149" i="25"/>
  <c r="AU149" i="25" s="1"/>
  <c r="AT150" i="25"/>
  <c r="AU150" i="25" s="1"/>
  <c r="AV146" i="25"/>
  <c r="AV147" i="25"/>
  <c r="AW147" i="25" s="1"/>
  <c r="AV148" i="25"/>
  <c r="AW148" i="25" s="1"/>
  <c r="AV149" i="25"/>
  <c r="AW149" i="25" s="1"/>
  <c r="AV150" i="25"/>
  <c r="AW150" i="25" s="1"/>
  <c r="BD146" i="25"/>
  <c r="BD147" i="25"/>
  <c r="BD148" i="25"/>
  <c r="BD149" i="25"/>
  <c r="BD150" i="25"/>
  <c r="BF146" i="25"/>
  <c r="BF147" i="25"/>
  <c r="BF148" i="25"/>
  <c r="BJ149" i="25"/>
  <c r="BF150" i="25"/>
  <c r="BG146" i="25"/>
  <c r="BG147" i="25"/>
  <c r="BG148" i="25"/>
  <c r="BG149" i="25"/>
  <c r="BG150" i="25"/>
  <c r="BH146" i="25"/>
  <c r="BI146" i="25" s="1"/>
  <c r="BH147" i="25"/>
  <c r="BI147" i="25" s="1"/>
  <c r="BH148" i="25"/>
  <c r="BI148" i="25" s="1"/>
  <c r="BH149" i="25"/>
  <c r="BI149" i="25" s="1"/>
  <c r="BH150" i="25"/>
  <c r="BI150" i="25" s="1"/>
  <c r="BK146" i="25"/>
  <c r="BP146" i="25" s="1"/>
  <c r="BK147" i="25"/>
  <c r="BP147" i="25" s="1"/>
  <c r="BK148" i="25"/>
  <c r="BP148" i="25" s="1"/>
  <c r="BK149" i="25"/>
  <c r="BP149" i="25" s="1"/>
  <c r="BK150" i="25"/>
  <c r="BP150" i="25" s="1"/>
  <c r="BL146" i="25"/>
  <c r="BL147" i="25"/>
  <c r="BL148" i="25"/>
  <c r="BL149" i="25"/>
  <c r="BL150" i="25"/>
  <c r="BR146" i="25"/>
  <c r="BR147" i="25"/>
  <c r="BR148" i="25"/>
  <c r="BR149" i="25"/>
  <c r="BR150" i="25"/>
  <c r="BT146" i="25"/>
  <c r="BT147" i="25"/>
  <c r="BT148" i="25"/>
  <c r="BT149" i="25"/>
  <c r="BT150" i="25"/>
  <c r="BU146" i="25"/>
  <c r="BU147" i="25"/>
  <c r="BU148" i="25"/>
  <c r="BU149" i="25"/>
  <c r="BU150" i="25"/>
  <c r="BV146" i="25"/>
  <c r="BV147" i="25"/>
  <c r="BV148" i="25"/>
  <c r="BV149" i="25"/>
  <c r="BV150" i="25"/>
  <c r="BW146" i="25"/>
  <c r="BW147" i="25"/>
  <c r="BW148" i="25"/>
  <c r="BW149" i="25"/>
  <c r="BW150" i="25"/>
  <c r="BX146" i="25"/>
  <c r="BX147" i="25"/>
  <c r="BX148" i="25"/>
  <c r="BX149" i="25"/>
  <c r="BX150" i="25"/>
  <c r="BY146" i="25"/>
  <c r="BY147" i="25"/>
  <c r="BY148" i="25"/>
  <c r="BY149" i="25"/>
  <c r="BY150" i="25"/>
  <c r="BZ146" i="25"/>
  <c r="BZ147" i="25"/>
  <c r="BZ148" i="25"/>
  <c r="BZ149" i="25"/>
  <c r="BZ150" i="25"/>
  <c r="CA146" i="25"/>
  <c r="CA147" i="25"/>
  <c r="CA148" i="25"/>
  <c r="CA149" i="25"/>
  <c r="CA150" i="25"/>
  <c r="AT144" i="25"/>
  <c r="AU144" i="25" s="1"/>
  <c r="AT145" i="25"/>
  <c r="AU145" i="25" s="1"/>
  <c r="AV144" i="25"/>
  <c r="AW144" i="25" s="1"/>
  <c r="AV145" i="25"/>
  <c r="BD144" i="25"/>
  <c r="BD145" i="25"/>
  <c r="BF144" i="25"/>
  <c r="BF145" i="25"/>
  <c r="BG144" i="25"/>
  <c r="BG145" i="25"/>
  <c r="BH144" i="25"/>
  <c r="BI144" i="25" s="1"/>
  <c r="BH145" i="25"/>
  <c r="BI145" i="25" s="1"/>
  <c r="BK144" i="25"/>
  <c r="BP144" i="25" s="1"/>
  <c r="BK145" i="25"/>
  <c r="BP145" i="25" s="1"/>
  <c r="BL144" i="25"/>
  <c r="BL145" i="25"/>
  <c r="BR144" i="25"/>
  <c r="BR145" i="25"/>
  <c r="BT144" i="25"/>
  <c r="BT145" i="25"/>
  <c r="BU144" i="25"/>
  <c r="BU145" i="25"/>
  <c r="BV144" i="25"/>
  <c r="BV145" i="25"/>
  <c r="BW144" i="25"/>
  <c r="BW145" i="25"/>
  <c r="BX144" i="25"/>
  <c r="BX145" i="25"/>
  <c r="BY144" i="25"/>
  <c r="BY145" i="25"/>
  <c r="BZ144" i="25"/>
  <c r="BZ145" i="25"/>
  <c r="CA144" i="25"/>
  <c r="CA145" i="25"/>
  <c r="AT74" i="25"/>
  <c r="AU74" i="25" s="1"/>
  <c r="AT75" i="25"/>
  <c r="AT76" i="25"/>
  <c r="AU76" i="25" s="1"/>
  <c r="AT77" i="25"/>
  <c r="AU77" i="25" s="1"/>
  <c r="AT78" i="25"/>
  <c r="AU78" i="25" s="1"/>
  <c r="AT79" i="25"/>
  <c r="AU79" i="25" s="1"/>
  <c r="AT80" i="25"/>
  <c r="AU80" i="25" s="1"/>
  <c r="AT81" i="25"/>
  <c r="AU81" i="25" s="1"/>
  <c r="AT82" i="25"/>
  <c r="AU82" i="25" s="1"/>
  <c r="AT83" i="25"/>
  <c r="AT84" i="25"/>
  <c r="AU84" i="25" s="1"/>
  <c r="AT85" i="25"/>
  <c r="AU85" i="25" s="1"/>
  <c r="AT86" i="25"/>
  <c r="AU86" i="25" s="1"/>
  <c r="AT87" i="25"/>
  <c r="AU87" i="25" s="1"/>
  <c r="AT88" i="25"/>
  <c r="AU88" i="25" s="1"/>
  <c r="AT89" i="25"/>
  <c r="AU89" i="25" s="1"/>
  <c r="AT90" i="25"/>
  <c r="AU90" i="25" s="1"/>
  <c r="AT91" i="25"/>
  <c r="AT92" i="25"/>
  <c r="AU92" i="25" s="1"/>
  <c r="AT93" i="25"/>
  <c r="AU93" i="25" s="1"/>
  <c r="AT94" i="25"/>
  <c r="AU94" i="25" s="1"/>
  <c r="AT95" i="25"/>
  <c r="AU95" i="25" s="1"/>
  <c r="AT96" i="25"/>
  <c r="AU96" i="25" s="1"/>
  <c r="AT97" i="25"/>
  <c r="AU97" i="25" s="1"/>
  <c r="AT98" i="25"/>
  <c r="AU98" i="25" s="1"/>
  <c r="AT99" i="25"/>
  <c r="AT100" i="25"/>
  <c r="AU100" i="25" s="1"/>
  <c r="AT101" i="25"/>
  <c r="AU101" i="25" s="1"/>
  <c r="AT102" i="25"/>
  <c r="AU102" i="25" s="1"/>
  <c r="AT103" i="25"/>
  <c r="AU103" i="25" s="1"/>
  <c r="AT104" i="25"/>
  <c r="AU104" i="25" s="1"/>
  <c r="AT105" i="25"/>
  <c r="AU105" i="25" s="1"/>
  <c r="AT106" i="25"/>
  <c r="AU106" i="25" s="1"/>
  <c r="AT107" i="25"/>
  <c r="AT108" i="25"/>
  <c r="AU108" i="25" s="1"/>
  <c r="AT109" i="25"/>
  <c r="AU109" i="25" s="1"/>
  <c r="AT110" i="25"/>
  <c r="AU110" i="25" s="1"/>
  <c r="AT111" i="25"/>
  <c r="AU111" i="25" s="1"/>
  <c r="AT112" i="25"/>
  <c r="AU112" i="25" s="1"/>
  <c r="AT113" i="25"/>
  <c r="AU113" i="25" s="1"/>
  <c r="AT114" i="25"/>
  <c r="AU114" i="25" s="1"/>
  <c r="AT115" i="25"/>
  <c r="AT116" i="25"/>
  <c r="AU116" i="25" s="1"/>
  <c r="AT117" i="25"/>
  <c r="AU117" i="25" s="1"/>
  <c r="AT118" i="25"/>
  <c r="AU118" i="25" s="1"/>
  <c r="AT119" i="25"/>
  <c r="AU119" i="25" s="1"/>
  <c r="AT120" i="25"/>
  <c r="AU120" i="25" s="1"/>
  <c r="AT121" i="25"/>
  <c r="AU121" i="25" s="1"/>
  <c r="AT122" i="25"/>
  <c r="AU122" i="25" s="1"/>
  <c r="AT123" i="25"/>
  <c r="AT124" i="25"/>
  <c r="AU124" i="25" s="1"/>
  <c r="AT125" i="25"/>
  <c r="AU125" i="25" s="1"/>
  <c r="AT126" i="25"/>
  <c r="AU126" i="25" s="1"/>
  <c r="AT127" i="25"/>
  <c r="AU127" i="25" s="1"/>
  <c r="AT128" i="25"/>
  <c r="AU128" i="25" s="1"/>
  <c r="AT129" i="25"/>
  <c r="AU129" i="25" s="1"/>
  <c r="AT130" i="25"/>
  <c r="AU130" i="25" s="1"/>
  <c r="AT131" i="25"/>
  <c r="AT132" i="25"/>
  <c r="AU132" i="25" s="1"/>
  <c r="AT134" i="25"/>
  <c r="AU134" i="25" s="1"/>
  <c r="AT135" i="25"/>
  <c r="AU135" i="25" s="1"/>
  <c r="AT136" i="25"/>
  <c r="AU136" i="25" s="1"/>
  <c r="AT137" i="25"/>
  <c r="AU137" i="25" s="1"/>
  <c r="AT138" i="25"/>
  <c r="AU138" i="25" s="1"/>
  <c r="AT139" i="25"/>
  <c r="AU139" i="25" s="1"/>
  <c r="AT140" i="25"/>
  <c r="AT141" i="25"/>
  <c r="AU141" i="25" s="1"/>
  <c r="AT142" i="25"/>
  <c r="AU142" i="25" s="1"/>
  <c r="AT143" i="25"/>
  <c r="AU143" i="25" s="1"/>
  <c r="AV74" i="25"/>
  <c r="AW74" i="25" s="1"/>
  <c r="AV75" i="25"/>
  <c r="AW75" i="25" s="1"/>
  <c r="AV76" i="25"/>
  <c r="AW76" i="25" s="1"/>
  <c r="AV77" i="25"/>
  <c r="AW77" i="25" s="1"/>
  <c r="AV78" i="25"/>
  <c r="AV79" i="25"/>
  <c r="AW79" i="25" s="1"/>
  <c r="AV80" i="25"/>
  <c r="AW80" i="25" s="1"/>
  <c r="AV81" i="25"/>
  <c r="AV82" i="25"/>
  <c r="AW82" i="25" s="1"/>
  <c r="AV83" i="25"/>
  <c r="AW83" i="25" s="1"/>
  <c r="AV84" i="25"/>
  <c r="AW84" i="25" s="1"/>
  <c r="AV85" i="25"/>
  <c r="AW85" i="25" s="1"/>
  <c r="AV86" i="25"/>
  <c r="AW86" i="25" s="1"/>
  <c r="AV87" i="25"/>
  <c r="AW87" i="25" s="1"/>
  <c r="AV88" i="25"/>
  <c r="AV89" i="25"/>
  <c r="AV90" i="25"/>
  <c r="AV91" i="25"/>
  <c r="AW91" i="25" s="1"/>
  <c r="AV92" i="25"/>
  <c r="AV93" i="25"/>
  <c r="AW93" i="25" s="1"/>
  <c r="AV94" i="25"/>
  <c r="AV95" i="25"/>
  <c r="AW95" i="25" s="1"/>
  <c r="AV96" i="25"/>
  <c r="AW96" i="25" s="1"/>
  <c r="AV97" i="25"/>
  <c r="AV98" i="25"/>
  <c r="AV99" i="25"/>
  <c r="AW99" i="25" s="1"/>
  <c r="AV100" i="25"/>
  <c r="AW100" i="25" s="1"/>
  <c r="AV101" i="25"/>
  <c r="AW101" i="25" s="1"/>
  <c r="AV102" i="25"/>
  <c r="AW102" i="25" s="1"/>
  <c r="AV103" i="25"/>
  <c r="AW103" i="25" s="1"/>
  <c r="AV104" i="25"/>
  <c r="AV105" i="25"/>
  <c r="AV106" i="25"/>
  <c r="AW106" i="25" s="1"/>
  <c r="AV107" i="25"/>
  <c r="AW107" i="25" s="1"/>
  <c r="AV108" i="25"/>
  <c r="AW108" i="25" s="1"/>
  <c r="AV109" i="25"/>
  <c r="AW109" i="25" s="1"/>
  <c r="AV110" i="25"/>
  <c r="AV111" i="25"/>
  <c r="AW111" i="25" s="1"/>
  <c r="AV112" i="25"/>
  <c r="AW112" i="25" s="1"/>
  <c r="AV113" i="25"/>
  <c r="AV114" i="25"/>
  <c r="AW114" i="25" s="1"/>
  <c r="AV115" i="25"/>
  <c r="AW115" i="25" s="1"/>
  <c r="AV116" i="25"/>
  <c r="AW116" i="25" s="1"/>
  <c r="AV117" i="25"/>
  <c r="AW117" i="25" s="1"/>
  <c r="AV118" i="25"/>
  <c r="AW118" i="25" s="1"/>
  <c r="AV119" i="25"/>
  <c r="AW119" i="25" s="1"/>
  <c r="AV120" i="25"/>
  <c r="AW120" i="25" s="1"/>
  <c r="AV121" i="25"/>
  <c r="AV122" i="25"/>
  <c r="AW122" i="25" s="1"/>
  <c r="AV123" i="25"/>
  <c r="AW123" i="25" s="1"/>
  <c r="AV124" i="25"/>
  <c r="AW124" i="25" s="1"/>
  <c r="AV125" i="25"/>
  <c r="AW125" i="25" s="1"/>
  <c r="AV126" i="25"/>
  <c r="AV127" i="25"/>
  <c r="AW127" i="25" s="1"/>
  <c r="AV128" i="25"/>
  <c r="AW128" i="25" s="1"/>
  <c r="AV129" i="25"/>
  <c r="AV130" i="25"/>
  <c r="AW130" i="25" s="1"/>
  <c r="AV131" i="25"/>
  <c r="AW131" i="25" s="1"/>
  <c r="AV132" i="25"/>
  <c r="AW132" i="25" s="1"/>
  <c r="AV134" i="25"/>
  <c r="AW134" i="25" s="1"/>
  <c r="AV135" i="25"/>
  <c r="AW135" i="25" s="1"/>
  <c r="AV136" i="25"/>
  <c r="AW136" i="25" s="1"/>
  <c r="AV137" i="25"/>
  <c r="AV138" i="25"/>
  <c r="AV139" i="25"/>
  <c r="AW139" i="25" s="1"/>
  <c r="AV140" i="25"/>
  <c r="AW140" i="25" s="1"/>
  <c r="AV141" i="25"/>
  <c r="AW141" i="25" s="1"/>
  <c r="AV142" i="25"/>
  <c r="AW142" i="25" s="1"/>
  <c r="AV143" i="25"/>
  <c r="BD74" i="25"/>
  <c r="BD75" i="25"/>
  <c r="BD76" i="25"/>
  <c r="BD77" i="25"/>
  <c r="BD78" i="25"/>
  <c r="BD79" i="25"/>
  <c r="BD80" i="25"/>
  <c r="BD81" i="25"/>
  <c r="BD82" i="25"/>
  <c r="BD83" i="25"/>
  <c r="BD84" i="25"/>
  <c r="BD85" i="25"/>
  <c r="BD86" i="25"/>
  <c r="BD87" i="25"/>
  <c r="BD88" i="25"/>
  <c r="BD89" i="25"/>
  <c r="BD90" i="25"/>
  <c r="BD91" i="25"/>
  <c r="BD92" i="25"/>
  <c r="BD93" i="25"/>
  <c r="BD94" i="25"/>
  <c r="BD95" i="25"/>
  <c r="BD96" i="25"/>
  <c r="BD97" i="25"/>
  <c r="BD98" i="25"/>
  <c r="BD99" i="25"/>
  <c r="BD100" i="25"/>
  <c r="BD101" i="25"/>
  <c r="BD102" i="25"/>
  <c r="BD103" i="25"/>
  <c r="BD104" i="25"/>
  <c r="BD105" i="25"/>
  <c r="BD106" i="25"/>
  <c r="BD107" i="25"/>
  <c r="BD108" i="25"/>
  <c r="BD109" i="25"/>
  <c r="BD110" i="25"/>
  <c r="BD111" i="25"/>
  <c r="BD112" i="25"/>
  <c r="BD113" i="25"/>
  <c r="BD114" i="25"/>
  <c r="BD115" i="25"/>
  <c r="BD116" i="25"/>
  <c r="BD117" i="25"/>
  <c r="BD118" i="25"/>
  <c r="BD119" i="25"/>
  <c r="BD120" i="25"/>
  <c r="BD121" i="25"/>
  <c r="BD122" i="25"/>
  <c r="BD123" i="25"/>
  <c r="BD124" i="25"/>
  <c r="BD125" i="25"/>
  <c r="BD126" i="25"/>
  <c r="BD127" i="25"/>
  <c r="BD128" i="25"/>
  <c r="BD129" i="25"/>
  <c r="BD130" i="25"/>
  <c r="BD131" i="25"/>
  <c r="BD132" i="25"/>
  <c r="BD134" i="25"/>
  <c r="BD135" i="25"/>
  <c r="BD136" i="25"/>
  <c r="BD137" i="25"/>
  <c r="BD138" i="25"/>
  <c r="BD139" i="25"/>
  <c r="BD140" i="25"/>
  <c r="BD141" i="25"/>
  <c r="BD142" i="25"/>
  <c r="BD143" i="25"/>
  <c r="BF74" i="25"/>
  <c r="BF75" i="25"/>
  <c r="BJ76" i="25"/>
  <c r="BJ77" i="25"/>
  <c r="BF78" i="25"/>
  <c r="BF79" i="25"/>
  <c r="BF80" i="25"/>
  <c r="BF81" i="25"/>
  <c r="BF82" i="25"/>
  <c r="BJ83" i="25"/>
  <c r="BF84" i="25"/>
  <c r="BJ85" i="25"/>
  <c r="BF86" i="25"/>
  <c r="BF87" i="25"/>
  <c r="BF88" i="25"/>
  <c r="BJ89" i="25"/>
  <c r="BF90" i="25"/>
  <c r="BF91" i="25"/>
  <c r="BJ92" i="25"/>
  <c r="BF93" i="25"/>
  <c r="BF94" i="25"/>
  <c r="BJ95" i="25"/>
  <c r="BF96" i="25"/>
  <c r="BF97" i="25"/>
  <c r="BF98" i="25"/>
  <c r="BF99" i="25"/>
  <c r="BF100" i="25"/>
  <c r="BJ101" i="25"/>
  <c r="BF102" i="25"/>
  <c r="BF103" i="25"/>
  <c r="BF104" i="25"/>
  <c r="BJ105" i="25"/>
  <c r="BF106" i="25"/>
  <c r="BF107" i="25"/>
  <c r="BJ108" i="25"/>
  <c r="BF109" i="25"/>
  <c r="BF110" i="25"/>
  <c r="BF111" i="25"/>
  <c r="BF112" i="25"/>
  <c r="BF113" i="25"/>
  <c r="BF114" i="25"/>
  <c r="BF115" i="25"/>
  <c r="BF116" i="25"/>
  <c r="BF117" i="25"/>
  <c r="BF118" i="25"/>
  <c r="BF119" i="25"/>
  <c r="BF120" i="25"/>
  <c r="BJ121" i="25"/>
  <c r="BF122" i="25"/>
  <c r="BF123" i="25"/>
  <c r="BF124" i="25"/>
  <c r="BF125" i="25"/>
  <c r="BF126" i="25"/>
  <c r="BJ127" i="25"/>
  <c r="BF128" i="25"/>
  <c r="BF129" i="25"/>
  <c r="BJ130" i="25"/>
  <c r="BF131" i="25"/>
  <c r="BF132" i="25"/>
  <c r="BF134" i="25"/>
  <c r="BF135" i="25"/>
  <c r="BF136" i="25"/>
  <c r="BF137" i="25"/>
  <c r="BJ138" i="25"/>
  <c r="BJ139" i="25"/>
  <c r="BJ140" i="25"/>
  <c r="BJ141" i="25"/>
  <c r="BF142" i="25"/>
  <c r="BF143" i="25"/>
  <c r="BG74" i="25"/>
  <c r="BG75" i="25"/>
  <c r="BG76" i="25"/>
  <c r="BG77" i="25"/>
  <c r="BG78" i="25"/>
  <c r="BG79" i="25"/>
  <c r="BG80" i="25"/>
  <c r="BG81" i="25"/>
  <c r="BG82" i="25"/>
  <c r="BG83" i="25"/>
  <c r="BG84" i="25"/>
  <c r="BG85" i="25"/>
  <c r="BG86" i="25"/>
  <c r="BG87" i="25"/>
  <c r="BG88" i="25"/>
  <c r="BG89" i="25"/>
  <c r="BG90" i="25"/>
  <c r="BG91" i="25"/>
  <c r="BG92" i="25"/>
  <c r="BG93" i="25"/>
  <c r="BG94" i="25"/>
  <c r="BG95" i="25"/>
  <c r="BG96" i="25"/>
  <c r="BG97" i="25"/>
  <c r="BG98" i="25"/>
  <c r="BG99" i="25"/>
  <c r="BG100" i="25"/>
  <c r="BG101" i="25"/>
  <c r="BG102" i="25"/>
  <c r="BG103" i="25"/>
  <c r="BG104" i="25"/>
  <c r="BG105" i="25"/>
  <c r="BG106" i="25"/>
  <c r="BG107" i="25"/>
  <c r="BG108" i="25"/>
  <c r="BG109" i="25"/>
  <c r="BG110" i="25"/>
  <c r="BG111" i="25"/>
  <c r="BG112" i="25"/>
  <c r="BG113" i="25"/>
  <c r="BG114" i="25"/>
  <c r="BG115" i="25"/>
  <c r="BG116" i="25"/>
  <c r="BG117" i="25"/>
  <c r="BG118" i="25"/>
  <c r="BG119" i="25"/>
  <c r="BG120" i="25"/>
  <c r="BG121" i="25"/>
  <c r="BG122" i="25"/>
  <c r="BG123" i="25"/>
  <c r="BG124" i="25"/>
  <c r="BG125" i="25"/>
  <c r="BG126" i="25"/>
  <c r="BG127" i="25"/>
  <c r="BG128" i="25"/>
  <c r="BG129" i="25"/>
  <c r="BG130" i="25"/>
  <c r="BG131" i="25"/>
  <c r="BG132" i="25"/>
  <c r="BG134" i="25"/>
  <c r="BG135" i="25"/>
  <c r="BG136" i="25"/>
  <c r="BG137" i="25"/>
  <c r="BG138" i="25"/>
  <c r="BG139" i="25"/>
  <c r="BG140" i="25"/>
  <c r="BG141" i="25"/>
  <c r="BG142" i="25"/>
  <c r="BG143" i="25"/>
  <c r="BH74" i="25"/>
  <c r="BI74" i="25" s="1"/>
  <c r="BH75" i="25"/>
  <c r="BI75" i="25" s="1"/>
  <c r="BH76" i="25"/>
  <c r="BI76" i="25" s="1"/>
  <c r="BH77" i="25"/>
  <c r="BI77" i="25" s="1"/>
  <c r="BH78" i="25"/>
  <c r="BI78" i="25" s="1"/>
  <c r="BH79" i="25"/>
  <c r="BI79" i="25" s="1"/>
  <c r="BH80" i="25"/>
  <c r="BI80" i="25" s="1"/>
  <c r="BH81" i="25"/>
  <c r="BI81" i="25" s="1"/>
  <c r="BH82" i="25"/>
  <c r="BI82" i="25" s="1"/>
  <c r="BH83" i="25"/>
  <c r="BI83" i="25" s="1"/>
  <c r="BH84" i="25"/>
  <c r="BI84" i="25" s="1"/>
  <c r="BH85" i="25"/>
  <c r="BI85" i="25" s="1"/>
  <c r="BH86" i="25"/>
  <c r="BI86" i="25" s="1"/>
  <c r="BH87" i="25"/>
  <c r="BI87" i="25" s="1"/>
  <c r="BH88" i="25"/>
  <c r="BI88" i="25" s="1"/>
  <c r="BH89" i="25"/>
  <c r="BI89" i="25" s="1"/>
  <c r="BH90" i="25"/>
  <c r="BI90" i="25" s="1"/>
  <c r="BH91" i="25"/>
  <c r="BI91" i="25" s="1"/>
  <c r="BH92" i="25"/>
  <c r="BI92" i="25" s="1"/>
  <c r="BH93" i="25"/>
  <c r="BI93" i="25" s="1"/>
  <c r="BH94" i="25"/>
  <c r="BI94" i="25" s="1"/>
  <c r="BH95" i="25"/>
  <c r="BI95" i="25" s="1"/>
  <c r="BH96" i="25"/>
  <c r="BI96" i="25" s="1"/>
  <c r="BH97" i="25"/>
  <c r="BI97" i="25" s="1"/>
  <c r="BH98" i="25"/>
  <c r="BI98" i="25" s="1"/>
  <c r="BH99" i="25"/>
  <c r="BI99" i="25" s="1"/>
  <c r="BH100" i="25"/>
  <c r="BI100" i="25" s="1"/>
  <c r="BH101" i="25"/>
  <c r="BI101" i="25" s="1"/>
  <c r="BH102" i="25"/>
  <c r="BI102" i="25" s="1"/>
  <c r="BH103" i="25"/>
  <c r="BI103" i="25" s="1"/>
  <c r="BH104" i="25"/>
  <c r="BI104" i="25" s="1"/>
  <c r="BH105" i="25"/>
  <c r="BI105" i="25" s="1"/>
  <c r="BH106" i="25"/>
  <c r="BI106" i="25" s="1"/>
  <c r="BH107" i="25"/>
  <c r="BI107" i="25" s="1"/>
  <c r="BH108" i="25"/>
  <c r="BI108" i="25" s="1"/>
  <c r="BH109" i="25"/>
  <c r="BI109" i="25" s="1"/>
  <c r="BH110" i="25"/>
  <c r="BI110" i="25" s="1"/>
  <c r="BH111" i="25"/>
  <c r="BI111" i="25" s="1"/>
  <c r="BH112" i="25"/>
  <c r="BI112" i="25" s="1"/>
  <c r="BH113" i="25"/>
  <c r="BI113" i="25" s="1"/>
  <c r="BH114" i="25"/>
  <c r="BI114" i="25" s="1"/>
  <c r="BH115" i="25"/>
  <c r="BI115" i="25" s="1"/>
  <c r="BH116" i="25"/>
  <c r="BI116" i="25" s="1"/>
  <c r="BH117" i="25"/>
  <c r="BI117" i="25" s="1"/>
  <c r="BH118" i="25"/>
  <c r="BI118" i="25" s="1"/>
  <c r="BH119" i="25"/>
  <c r="BI119" i="25" s="1"/>
  <c r="BH120" i="25"/>
  <c r="BI120" i="25" s="1"/>
  <c r="BH121" i="25"/>
  <c r="BI121" i="25" s="1"/>
  <c r="BH122" i="25"/>
  <c r="BI122" i="25" s="1"/>
  <c r="BH123" i="25"/>
  <c r="BI123" i="25" s="1"/>
  <c r="BH124" i="25"/>
  <c r="BI124" i="25" s="1"/>
  <c r="BH125" i="25"/>
  <c r="BI125" i="25" s="1"/>
  <c r="BH126" i="25"/>
  <c r="BI126" i="25" s="1"/>
  <c r="BH127" i="25"/>
  <c r="BI127" i="25" s="1"/>
  <c r="BH128" i="25"/>
  <c r="BI128" i="25" s="1"/>
  <c r="BH129" i="25"/>
  <c r="BI129" i="25" s="1"/>
  <c r="BH130" i="25"/>
  <c r="BI130" i="25" s="1"/>
  <c r="BH131" i="25"/>
  <c r="BI131" i="25" s="1"/>
  <c r="BH132" i="25"/>
  <c r="BI132" i="25" s="1"/>
  <c r="BH134" i="25"/>
  <c r="BI134" i="25" s="1"/>
  <c r="BH135" i="25"/>
  <c r="BI135" i="25" s="1"/>
  <c r="BH136" i="25"/>
  <c r="BI136" i="25" s="1"/>
  <c r="BH137" i="25"/>
  <c r="BI137" i="25" s="1"/>
  <c r="BH138" i="25"/>
  <c r="BI138" i="25" s="1"/>
  <c r="BH139" i="25"/>
  <c r="BI139" i="25" s="1"/>
  <c r="BH140" i="25"/>
  <c r="BI140" i="25" s="1"/>
  <c r="BH141" i="25"/>
  <c r="BI141" i="25" s="1"/>
  <c r="BH142" i="25"/>
  <c r="BI142" i="25" s="1"/>
  <c r="BH143" i="25"/>
  <c r="BI143" i="25" s="1"/>
  <c r="BK74" i="25"/>
  <c r="BP74" i="25" s="1"/>
  <c r="BK75" i="25"/>
  <c r="BP75" i="25" s="1"/>
  <c r="BK76" i="25"/>
  <c r="BP76" i="25" s="1"/>
  <c r="BK77" i="25"/>
  <c r="BP77" i="25" s="1"/>
  <c r="BK78" i="25"/>
  <c r="BP78" i="25" s="1"/>
  <c r="BK79" i="25"/>
  <c r="BP79" i="25" s="1"/>
  <c r="BK80" i="25"/>
  <c r="BK81" i="25"/>
  <c r="BP81" i="25" s="1"/>
  <c r="BK82" i="25"/>
  <c r="BP82" i="25" s="1"/>
  <c r="BK83" i="25"/>
  <c r="BP83" i="25" s="1"/>
  <c r="BK84" i="25"/>
  <c r="BP84" i="25" s="1"/>
  <c r="BK85" i="25"/>
  <c r="BP85" i="25" s="1"/>
  <c r="BK86" i="25"/>
  <c r="BP86" i="25" s="1"/>
  <c r="BK87" i="25"/>
  <c r="BP87" i="25" s="1"/>
  <c r="BK88" i="25"/>
  <c r="BK89" i="25"/>
  <c r="BP89" i="25" s="1"/>
  <c r="BK90" i="25"/>
  <c r="BP90" i="25" s="1"/>
  <c r="BK91" i="25"/>
  <c r="BP91" i="25" s="1"/>
  <c r="BK92" i="25"/>
  <c r="BP92" i="25" s="1"/>
  <c r="BK93" i="25"/>
  <c r="BP93" i="25" s="1"/>
  <c r="BK94" i="25"/>
  <c r="BP94" i="25" s="1"/>
  <c r="BK95" i="25"/>
  <c r="BP95" i="25" s="1"/>
  <c r="BK96" i="25"/>
  <c r="BK97" i="25"/>
  <c r="BP97" i="25" s="1"/>
  <c r="BK98" i="25"/>
  <c r="BP98" i="25" s="1"/>
  <c r="BK99" i="25"/>
  <c r="BP99" i="25" s="1"/>
  <c r="BK100" i="25"/>
  <c r="BP100" i="25" s="1"/>
  <c r="BK101" i="25"/>
  <c r="BP101" i="25" s="1"/>
  <c r="BK102" i="25"/>
  <c r="BP102" i="25" s="1"/>
  <c r="BK103" i="25"/>
  <c r="BP103" i="25" s="1"/>
  <c r="BK104" i="25"/>
  <c r="BK105" i="25"/>
  <c r="BP105" i="25" s="1"/>
  <c r="BK106" i="25"/>
  <c r="BP106" i="25" s="1"/>
  <c r="BK107" i="25"/>
  <c r="BP107" i="25" s="1"/>
  <c r="BK108" i="25"/>
  <c r="BK109" i="25"/>
  <c r="BP109" i="25" s="1"/>
  <c r="BK110" i="25"/>
  <c r="BP110" i="25" s="1"/>
  <c r="BK111" i="25"/>
  <c r="BP111" i="25" s="1"/>
  <c r="BK112" i="25"/>
  <c r="BK113" i="25"/>
  <c r="BP113" i="25" s="1"/>
  <c r="BK114" i="25"/>
  <c r="BP114" i="25" s="1"/>
  <c r="BK115" i="25"/>
  <c r="BP115" i="25" s="1"/>
  <c r="BK116" i="25"/>
  <c r="BP116" i="25" s="1"/>
  <c r="BK117" i="25"/>
  <c r="BP117" i="25" s="1"/>
  <c r="BK118" i="25"/>
  <c r="BP118" i="25" s="1"/>
  <c r="BK119" i="25"/>
  <c r="BP119" i="25" s="1"/>
  <c r="BK120" i="25"/>
  <c r="BK121" i="25"/>
  <c r="BP121" i="25" s="1"/>
  <c r="BK122" i="25"/>
  <c r="BP122" i="25" s="1"/>
  <c r="BK123" i="25"/>
  <c r="BP123" i="25" s="1"/>
  <c r="BK124" i="25"/>
  <c r="BP124" i="25" s="1"/>
  <c r="BK125" i="25"/>
  <c r="BP125" i="25" s="1"/>
  <c r="BK126" i="25"/>
  <c r="BP126" i="25" s="1"/>
  <c r="BK127" i="25"/>
  <c r="BP127" i="25" s="1"/>
  <c r="BK128" i="25"/>
  <c r="BK129" i="25"/>
  <c r="BP129" i="25" s="1"/>
  <c r="BK130" i="25"/>
  <c r="BP130" i="25" s="1"/>
  <c r="BK131" i="25"/>
  <c r="BP131" i="25" s="1"/>
  <c r="BK132" i="25"/>
  <c r="BP132" i="25" s="1"/>
  <c r="BK134" i="25"/>
  <c r="BP134" i="25" s="1"/>
  <c r="BK135" i="25"/>
  <c r="BP135" i="25" s="1"/>
  <c r="BK136" i="25"/>
  <c r="BP136" i="25" s="1"/>
  <c r="BK137" i="25"/>
  <c r="BK138" i="25"/>
  <c r="BP138" i="25" s="1"/>
  <c r="BK139" i="25"/>
  <c r="BP139" i="25" s="1"/>
  <c r="BK140" i="25"/>
  <c r="BP140" i="25" s="1"/>
  <c r="BK141" i="25"/>
  <c r="BP141" i="25" s="1"/>
  <c r="BK142" i="25"/>
  <c r="BP142" i="25" s="1"/>
  <c r="BK143" i="25"/>
  <c r="BP143" i="25" s="1"/>
  <c r="BL74" i="25"/>
  <c r="BL75" i="25"/>
  <c r="BL76" i="25"/>
  <c r="BL77" i="25"/>
  <c r="BL78" i="25"/>
  <c r="BL79" i="25"/>
  <c r="BL80" i="25"/>
  <c r="BL81" i="25"/>
  <c r="BL82" i="25"/>
  <c r="BL83" i="25"/>
  <c r="BL84" i="25"/>
  <c r="BL85" i="25"/>
  <c r="BL86" i="25"/>
  <c r="BL87" i="25"/>
  <c r="BL88" i="25"/>
  <c r="BL89" i="25"/>
  <c r="BL90" i="25"/>
  <c r="BL91" i="25"/>
  <c r="BL92" i="25"/>
  <c r="BL93" i="25"/>
  <c r="BL94" i="25"/>
  <c r="BL95" i="25"/>
  <c r="BL96" i="25"/>
  <c r="BL97" i="25"/>
  <c r="BL98" i="25"/>
  <c r="BL99" i="25"/>
  <c r="BL100" i="25"/>
  <c r="BL101" i="25"/>
  <c r="BL102" i="25"/>
  <c r="BL103" i="25"/>
  <c r="BL104" i="25"/>
  <c r="BL105" i="25"/>
  <c r="BL106" i="25"/>
  <c r="BL107" i="25"/>
  <c r="BL108" i="25"/>
  <c r="BL109" i="25"/>
  <c r="BL110" i="25"/>
  <c r="BL111" i="25"/>
  <c r="BL112" i="25"/>
  <c r="BL113" i="25"/>
  <c r="BL114" i="25"/>
  <c r="BL115" i="25"/>
  <c r="BL116" i="25"/>
  <c r="BL117" i="25"/>
  <c r="BL118" i="25"/>
  <c r="BL119" i="25"/>
  <c r="BL120" i="25"/>
  <c r="BL121" i="25"/>
  <c r="BL122" i="25"/>
  <c r="BL123" i="25"/>
  <c r="BL124" i="25"/>
  <c r="BL125" i="25"/>
  <c r="BL126" i="25"/>
  <c r="BL127" i="25"/>
  <c r="BL128" i="25"/>
  <c r="BL129" i="25"/>
  <c r="BL130" i="25"/>
  <c r="BL131" i="25"/>
  <c r="BL132" i="25"/>
  <c r="BL134" i="25"/>
  <c r="BL135" i="25"/>
  <c r="BL136" i="25"/>
  <c r="BL137" i="25"/>
  <c r="BL138" i="25"/>
  <c r="BL139" i="25"/>
  <c r="BL140" i="25"/>
  <c r="BL141" i="25"/>
  <c r="BL142" i="25"/>
  <c r="BL143" i="25"/>
  <c r="BP108" i="25"/>
  <c r="BR74" i="25"/>
  <c r="BR75" i="25"/>
  <c r="BR76" i="25"/>
  <c r="BR77" i="25"/>
  <c r="BR78" i="25"/>
  <c r="BR79" i="25"/>
  <c r="BR80" i="25"/>
  <c r="BR81" i="25"/>
  <c r="BR82" i="25"/>
  <c r="BR83" i="25"/>
  <c r="BR84" i="25"/>
  <c r="BR85" i="25"/>
  <c r="BR86" i="25"/>
  <c r="BR87" i="25"/>
  <c r="BR88" i="25"/>
  <c r="BR89" i="25"/>
  <c r="BR90" i="25"/>
  <c r="BR91" i="25"/>
  <c r="BR92" i="25"/>
  <c r="BR93" i="25"/>
  <c r="BR94" i="25"/>
  <c r="BR95" i="25"/>
  <c r="BR96" i="25"/>
  <c r="BR97" i="25"/>
  <c r="BR98" i="25"/>
  <c r="BR99" i="25"/>
  <c r="BR100" i="25"/>
  <c r="BR101" i="25"/>
  <c r="BR102" i="25"/>
  <c r="BR103" i="25"/>
  <c r="BR104" i="25"/>
  <c r="BR105" i="25"/>
  <c r="BR106" i="25"/>
  <c r="BR107" i="25"/>
  <c r="BR108" i="25"/>
  <c r="BR109" i="25"/>
  <c r="BR110" i="25"/>
  <c r="BR111" i="25"/>
  <c r="BR112" i="25"/>
  <c r="BR113" i="25"/>
  <c r="BR114" i="25"/>
  <c r="BR115" i="25"/>
  <c r="BR116" i="25"/>
  <c r="BR117" i="25"/>
  <c r="BR118" i="25"/>
  <c r="BR119" i="25"/>
  <c r="BR120" i="25"/>
  <c r="BR121" i="25"/>
  <c r="BR122" i="25"/>
  <c r="BR123" i="25"/>
  <c r="BR124" i="25"/>
  <c r="BR125" i="25"/>
  <c r="BR126" i="25"/>
  <c r="BR127" i="25"/>
  <c r="BR128" i="25"/>
  <c r="BR129" i="25"/>
  <c r="BR130" i="25"/>
  <c r="BR131" i="25"/>
  <c r="BR132" i="25"/>
  <c r="BR134" i="25"/>
  <c r="BR135" i="25"/>
  <c r="BR136" i="25"/>
  <c r="BR137" i="25"/>
  <c r="BR138" i="25"/>
  <c r="BR139" i="25"/>
  <c r="BR140" i="25"/>
  <c r="BR141" i="25"/>
  <c r="BR142" i="25"/>
  <c r="BR143" i="25"/>
  <c r="BT74" i="25"/>
  <c r="BT75" i="25"/>
  <c r="BT76" i="25"/>
  <c r="BT77" i="25"/>
  <c r="BT78" i="25"/>
  <c r="BT79" i="25"/>
  <c r="BT80" i="25"/>
  <c r="BT81" i="25"/>
  <c r="BT82" i="25"/>
  <c r="BT83" i="25"/>
  <c r="BT84" i="25"/>
  <c r="BT85" i="25"/>
  <c r="BT86" i="25"/>
  <c r="BT87" i="25"/>
  <c r="BT88" i="25"/>
  <c r="BT89" i="25"/>
  <c r="BT90" i="25"/>
  <c r="BT91" i="25"/>
  <c r="BT92" i="25"/>
  <c r="BT93" i="25"/>
  <c r="BT94" i="25"/>
  <c r="BT95" i="25"/>
  <c r="BT96" i="25"/>
  <c r="BT97" i="25"/>
  <c r="BT98" i="25"/>
  <c r="BT99" i="25"/>
  <c r="BT100" i="25"/>
  <c r="BT101" i="25"/>
  <c r="BT102" i="25"/>
  <c r="BT103" i="25"/>
  <c r="BT104" i="25"/>
  <c r="BT105" i="25"/>
  <c r="BT106" i="25"/>
  <c r="BT107" i="25"/>
  <c r="BT108" i="25"/>
  <c r="BT109" i="25"/>
  <c r="BT110" i="25"/>
  <c r="BT111" i="25"/>
  <c r="BT112" i="25"/>
  <c r="BT113" i="25"/>
  <c r="BT114" i="25"/>
  <c r="BT115" i="25"/>
  <c r="BT116" i="25"/>
  <c r="BT117" i="25"/>
  <c r="BT118" i="25"/>
  <c r="BT119" i="25"/>
  <c r="BT120" i="25"/>
  <c r="BT121" i="25"/>
  <c r="BT122" i="25"/>
  <c r="BT123" i="25"/>
  <c r="BT124" i="25"/>
  <c r="BT125" i="25"/>
  <c r="BT126" i="25"/>
  <c r="BT127" i="25"/>
  <c r="BT128" i="25"/>
  <c r="BT129" i="25"/>
  <c r="BT130" i="25"/>
  <c r="BT131" i="25"/>
  <c r="BT132" i="25"/>
  <c r="BT134" i="25"/>
  <c r="BT135" i="25"/>
  <c r="BT136" i="25"/>
  <c r="BT137" i="25"/>
  <c r="BT138" i="25"/>
  <c r="BT139" i="25"/>
  <c r="BT140" i="25"/>
  <c r="BT141" i="25"/>
  <c r="BT142" i="25"/>
  <c r="BT143" i="25"/>
  <c r="BU74" i="25"/>
  <c r="BU75" i="25"/>
  <c r="BU76" i="25"/>
  <c r="BU77" i="25"/>
  <c r="BU78" i="25"/>
  <c r="BU79" i="25"/>
  <c r="BU80" i="25"/>
  <c r="BU81" i="25"/>
  <c r="BU82" i="25"/>
  <c r="BU83" i="25"/>
  <c r="BU84" i="25"/>
  <c r="BU85" i="25"/>
  <c r="BU86" i="25"/>
  <c r="BU87" i="25"/>
  <c r="BU88" i="25"/>
  <c r="BU89" i="25"/>
  <c r="BU90" i="25"/>
  <c r="BU91" i="25"/>
  <c r="BU92" i="25"/>
  <c r="BU93" i="25"/>
  <c r="BU94" i="25"/>
  <c r="BU95" i="25"/>
  <c r="BU96" i="25"/>
  <c r="BU97" i="25"/>
  <c r="BU98" i="25"/>
  <c r="BU99" i="25"/>
  <c r="BU100" i="25"/>
  <c r="BU101" i="25"/>
  <c r="BU102" i="25"/>
  <c r="BU103" i="25"/>
  <c r="BU104" i="25"/>
  <c r="BU105" i="25"/>
  <c r="BU106" i="25"/>
  <c r="BU107" i="25"/>
  <c r="BU108" i="25"/>
  <c r="BU109" i="25"/>
  <c r="BU110" i="25"/>
  <c r="BU111" i="25"/>
  <c r="BU112" i="25"/>
  <c r="BU113" i="25"/>
  <c r="BU114" i="25"/>
  <c r="BU115" i="25"/>
  <c r="BU116" i="25"/>
  <c r="BU117" i="25"/>
  <c r="BU118" i="25"/>
  <c r="BU119" i="25"/>
  <c r="BU120" i="25"/>
  <c r="BU121" i="25"/>
  <c r="BU122" i="25"/>
  <c r="BU123" i="25"/>
  <c r="BU124" i="25"/>
  <c r="BU125" i="25"/>
  <c r="BU126" i="25"/>
  <c r="BU127" i="25"/>
  <c r="BU128" i="25"/>
  <c r="BU129" i="25"/>
  <c r="BU130" i="25"/>
  <c r="BU131" i="25"/>
  <c r="BU132" i="25"/>
  <c r="BU134" i="25"/>
  <c r="BU135" i="25"/>
  <c r="BU136" i="25"/>
  <c r="BU137" i="25"/>
  <c r="BU138" i="25"/>
  <c r="BU139" i="25"/>
  <c r="BU140" i="25"/>
  <c r="BU141" i="25"/>
  <c r="BU142" i="25"/>
  <c r="BU143" i="25"/>
  <c r="BV74" i="25"/>
  <c r="BV75" i="25"/>
  <c r="BV76" i="25"/>
  <c r="BV77" i="25"/>
  <c r="BV78" i="25"/>
  <c r="BV79" i="25"/>
  <c r="BV80" i="25"/>
  <c r="BV81" i="25"/>
  <c r="BV82" i="25"/>
  <c r="BV83" i="25"/>
  <c r="BV84" i="25"/>
  <c r="BV85" i="25"/>
  <c r="BV86" i="25"/>
  <c r="BV87" i="25"/>
  <c r="BV88" i="25"/>
  <c r="BV89" i="25"/>
  <c r="BV90" i="25"/>
  <c r="BV91" i="25"/>
  <c r="BV92" i="25"/>
  <c r="BV93" i="25"/>
  <c r="BV94" i="25"/>
  <c r="BV95" i="25"/>
  <c r="BV96" i="25"/>
  <c r="BV97" i="25"/>
  <c r="BV98" i="25"/>
  <c r="BV99" i="25"/>
  <c r="BV100" i="25"/>
  <c r="BV101" i="25"/>
  <c r="BV102" i="25"/>
  <c r="BV103" i="25"/>
  <c r="BV104" i="25"/>
  <c r="BV105" i="25"/>
  <c r="BV106" i="25"/>
  <c r="BV107" i="25"/>
  <c r="BV108" i="25"/>
  <c r="BV109" i="25"/>
  <c r="BV110" i="25"/>
  <c r="BV111" i="25"/>
  <c r="BV112" i="25"/>
  <c r="BV113" i="25"/>
  <c r="BV114" i="25"/>
  <c r="BV115" i="25"/>
  <c r="BV116" i="25"/>
  <c r="BV117" i="25"/>
  <c r="BV118" i="25"/>
  <c r="BV119" i="25"/>
  <c r="BV120" i="25"/>
  <c r="BV121" i="25"/>
  <c r="BV122" i="25"/>
  <c r="BV123" i="25"/>
  <c r="BV124" i="25"/>
  <c r="BV125" i="25"/>
  <c r="BV126" i="25"/>
  <c r="BV127" i="25"/>
  <c r="BV128" i="25"/>
  <c r="BV129" i="25"/>
  <c r="BV130" i="25"/>
  <c r="BV131" i="25"/>
  <c r="BV132" i="25"/>
  <c r="BV134" i="25"/>
  <c r="BV135" i="25"/>
  <c r="BV136" i="25"/>
  <c r="BV137" i="25"/>
  <c r="BV138" i="25"/>
  <c r="BV139" i="25"/>
  <c r="BV140" i="25"/>
  <c r="BV141" i="25"/>
  <c r="BV142" i="25"/>
  <c r="BV143" i="25"/>
  <c r="BW74" i="25"/>
  <c r="BW75" i="25"/>
  <c r="BW76" i="25"/>
  <c r="BW77" i="25"/>
  <c r="BW78" i="25"/>
  <c r="BW79" i="25"/>
  <c r="BW80" i="25"/>
  <c r="BW81" i="25"/>
  <c r="BW82" i="25"/>
  <c r="BW83" i="25"/>
  <c r="BW84" i="25"/>
  <c r="BW85" i="25"/>
  <c r="BW86" i="25"/>
  <c r="BW87" i="25"/>
  <c r="BW88" i="25"/>
  <c r="BW89" i="25"/>
  <c r="BW90" i="25"/>
  <c r="BW91" i="25"/>
  <c r="BW92" i="25"/>
  <c r="BW93" i="25"/>
  <c r="BW94" i="25"/>
  <c r="BW95" i="25"/>
  <c r="BW96" i="25"/>
  <c r="BW97" i="25"/>
  <c r="BW98" i="25"/>
  <c r="BW99" i="25"/>
  <c r="BW100" i="25"/>
  <c r="BW101" i="25"/>
  <c r="BW102" i="25"/>
  <c r="BW103" i="25"/>
  <c r="BW104" i="25"/>
  <c r="BW105" i="25"/>
  <c r="BW106" i="25"/>
  <c r="BW107" i="25"/>
  <c r="BW108" i="25"/>
  <c r="BW109" i="25"/>
  <c r="BW110" i="25"/>
  <c r="BW111" i="25"/>
  <c r="BW112" i="25"/>
  <c r="BW113" i="25"/>
  <c r="BW114" i="25"/>
  <c r="BW115" i="25"/>
  <c r="BW116" i="25"/>
  <c r="BW117" i="25"/>
  <c r="BW118" i="25"/>
  <c r="BW119" i="25"/>
  <c r="BW120" i="25"/>
  <c r="BW121" i="25"/>
  <c r="BW122" i="25"/>
  <c r="BW123" i="25"/>
  <c r="BW124" i="25"/>
  <c r="BW125" i="25"/>
  <c r="BW126" i="25"/>
  <c r="BW127" i="25"/>
  <c r="BW128" i="25"/>
  <c r="BW129" i="25"/>
  <c r="BW130" i="25"/>
  <c r="BW131" i="25"/>
  <c r="BW132" i="25"/>
  <c r="BW134" i="25"/>
  <c r="BW135" i="25"/>
  <c r="BW136" i="25"/>
  <c r="BW137" i="25"/>
  <c r="BW138" i="25"/>
  <c r="BW139" i="25"/>
  <c r="BW140" i="25"/>
  <c r="BW141" i="25"/>
  <c r="BW142" i="25"/>
  <c r="BW143" i="25"/>
  <c r="BX74" i="25"/>
  <c r="BX75" i="25"/>
  <c r="BX76" i="25"/>
  <c r="BX77" i="25"/>
  <c r="BX78" i="25"/>
  <c r="BX79" i="25"/>
  <c r="BX80" i="25"/>
  <c r="BX81" i="25"/>
  <c r="BX82" i="25"/>
  <c r="BX83" i="25"/>
  <c r="BX84" i="25"/>
  <c r="BX85" i="25"/>
  <c r="BX86" i="25"/>
  <c r="BX87" i="25"/>
  <c r="BX88" i="25"/>
  <c r="BX89" i="25"/>
  <c r="BX90" i="25"/>
  <c r="BX91" i="25"/>
  <c r="BX92" i="25"/>
  <c r="BX93" i="25"/>
  <c r="BX94" i="25"/>
  <c r="BX95" i="25"/>
  <c r="BX96" i="25"/>
  <c r="BX97" i="25"/>
  <c r="BX98" i="25"/>
  <c r="BX99" i="25"/>
  <c r="BX100" i="25"/>
  <c r="BX101" i="25"/>
  <c r="BX102" i="25"/>
  <c r="BX103" i="25"/>
  <c r="BX104" i="25"/>
  <c r="BX105" i="25"/>
  <c r="BX106" i="25"/>
  <c r="BX107" i="25"/>
  <c r="BX108" i="25"/>
  <c r="BX109" i="25"/>
  <c r="BX110" i="25"/>
  <c r="BX111" i="25"/>
  <c r="BX112" i="25"/>
  <c r="BX113" i="25"/>
  <c r="BX114" i="25"/>
  <c r="BX115" i="25"/>
  <c r="BX116" i="25"/>
  <c r="BX117" i="25"/>
  <c r="BX118" i="25"/>
  <c r="BX119" i="25"/>
  <c r="BX120" i="25"/>
  <c r="BX121" i="25"/>
  <c r="BX122" i="25"/>
  <c r="BX123" i="25"/>
  <c r="BX124" i="25"/>
  <c r="BX125" i="25"/>
  <c r="BX126" i="25"/>
  <c r="BX127" i="25"/>
  <c r="BX128" i="25"/>
  <c r="BX129" i="25"/>
  <c r="BX130" i="25"/>
  <c r="BX131" i="25"/>
  <c r="BX132" i="25"/>
  <c r="BX134" i="25"/>
  <c r="BX135" i="25"/>
  <c r="BX136" i="25"/>
  <c r="BX137" i="25"/>
  <c r="BX138" i="25"/>
  <c r="BX139" i="25"/>
  <c r="BX140" i="25"/>
  <c r="BX141" i="25"/>
  <c r="BX142" i="25"/>
  <c r="BX143" i="25"/>
  <c r="BY74" i="25"/>
  <c r="BY75" i="25"/>
  <c r="BY76" i="25"/>
  <c r="BY77" i="25"/>
  <c r="BY78" i="25"/>
  <c r="BY79" i="25"/>
  <c r="BY80" i="25"/>
  <c r="BY81" i="25"/>
  <c r="BY82" i="25"/>
  <c r="BY83" i="25"/>
  <c r="BY84" i="25"/>
  <c r="BY85" i="25"/>
  <c r="BY86" i="25"/>
  <c r="BY87" i="25"/>
  <c r="BY88" i="25"/>
  <c r="BY89" i="25"/>
  <c r="BY90" i="25"/>
  <c r="BY91" i="25"/>
  <c r="BY92" i="25"/>
  <c r="BY93" i="25"/>
  <c r="BY94" i="25"/>
  <c r="BY95" i="25"/>
  <c r="BY96" i="25"/>
  <c r="BY97" i="25"/>
  <c r="BY98" i="25"/>
  <c r="BY99" i="25"/>
  <c r="BY100" i="25"/>
  <c r="BY101" i="25"/>
  <c r="BY102" i="25"/>
  <c r="BY103" i="25"/>
  <c r="BY104" i="25"/>
  <c r="BY105" i="25"/>
  <c r="BY106" i="25"/>
  <c r="BY107" i="25"/>
  <c r="BY108" i="25"/>
  <c r="BY109" i="25"/>
  <c r="BY110" i="25"/>
  <c r="BY111" i="25"/>
  <c r="BY112" i="25"/>
  <c r="BY113" i="25"/>
  <c r="BY114" i="25"/>
  <c r="BY115" i="25"/>
  <c r="BY116" i="25"/>
  <c r="BY117" i="25"/>
  <c r="BY118" i="25"/>
  <c r="BY119" i="25"/>
  <c r="BY120" i="25"/>
  <c r="BY121" i="25"/>
  <c r="BY122" i="25"/>
  <c r="BY123" i="25"/>
  <c r="BY124" i="25"/>
  <c r="BY125" i="25"/>
  <c r="BY126" i="25"/>
  <c r="BY127" i="25"/>
  <c r="BY128" i="25"/>
  <c r="BY129" i="25"/>
  <c r="BY130" i="25"/>
  <c r="BY131" i="25"/>
  <c r="BY132" i="25"/>
  <c r="BY134" i="25"/>
  <c r="BY135" i="25"/>
  <c r="BY136" i="25"/>
  <c r="BY137" i="25"/>
  <c r="BY138" i="25"/>
  <c r="BY139" i="25"/>
  <c r="BY140" i="25"/>
  <c r="BY141" i="25"/>
  <c r="BY142" i="25"/>
  <c r="BY143" i="25"/>
  <c r="BZ74" i="25"/>
  <c r="BZ75" i="25"/>
  <c r="BZ76" i="25"/>
  <c r="BZ77" i="25"/>
  <c r="BZ78" i="25"/>
  <c r="BZ79" i="25"/>
  <c r="BZ80" i="25"/>
  <c r="BZ81" i="25"/>
  <c r="BZ82" i="25"/>
  <c r="BZ83" i="25"/>
  <c r="BZ84" i="25"/>
  <c r="BZ85" i="25"/>
  <c r="BZ86" i="25"/>
  <c r="BZ87" i="25"/>
  <c r="BZ88" i="25"/>
  <c r="BZ89" i="25"/>
  <c r="BZ90" i="25"/>
  <c r="BZ91" i="25"/>
  <c r="BZ92" i="25"/>
  <c r="BZ93" i="25"/>
  <c r="BZ94" i="25"/>
  <c r="BZ95" i="25"/>
  <c r="BZ96" i="25"/>
  <c r="BZ97" i="25"/>
  <c r="BZ98" i="25"/>
  <c r="BZ99" i="25"/>
  <c r="BZ100" i="25"/>
  <c r="BZ101" i="25"/>
  <c r="BZ102" i="25"/>
  <c r="BZ103" i="25"/>
  <c r="BZ104" i="25"/>
  <c r="BZ105" i="25"/>
  <c r="BZ106" i="25"/>
  <c r="BZ107" i="25"/>
  <c r="BZ108" i="25"/>
  <c r="BZ109" i="25"/>
  <c r="BZ110" i="25"/>
  <c r="BZ111" i="25"/>
  <c r="BZ112" i="25"/>
  <c r="BZ113" i="25"/>
  <c r="BZ114" i="25"/>
  <c r="BZ115" i="25"/>
  <c r="BZ116" i="25"/>
  <c r="BZ117" i="25"/>
  <c r="BZ118" i="25"/>
  <c r="BZ119" i="25"/>
  <c r="BZ120" i="25"/>
  <c r="BZ121" i="25"/>
  <c r="BZ122" i="25"/>
  <c r="BZ123" i="25"/>
  <c r="BZ124" i="25"/>
  <c r="BZ125" i="25"/>
  <c r="BZ126" i="25"/>
  <c r="BZ127" i="25"/>
  <c r="BZ128" i="25"/>
  <c r="BZ129" i="25"/>
  <c r="BZ130" i="25"/>
  <c r="BZ131" i="25"/>
  <c r="BZ132" i="25"/>
  <c r="BZ134" i="25"/>
  <c r="BZ135" i="25"/>
  <c r="BZ136" i="25"/>
  <c r="BZ137" i="25"/>
  <c r="BZ138" i="25"/>
  <c r="BZ139" i="25"/>
  <c r="BZ140" i="25"/>
  <c r="BZ141" i="25"/>
  <c r="BZ142" i="25"/>
  <c r="BZ143" i="25"/>
  <c r="CA74" i="25"/>
  <c r="CA75" i="25"/>
  <c r="CA76" i="25"/>
  <c r="CA77" i="25"/>
  <c r="CA78" i="25"/>
  <c r="CA79" i="25"/>
  <c r="CA80" i="25"/>
  <c r="CA81" i="25"/>
  <c r="CA82" i="25"/>
  <c r="CA83" i="25"/>
  <c r="CA84" i="25"/>
  <c r="CA85" i="25"/>
  <c r="CA86" i="25"/>
  <c r="CA87" i="25"/>
  <c r="CA88" i="25"/>
  <c r="CA89" i="25"/>
  <c r="CA90" i="25"/>
  <c r="CA91" i="25"/>
  <c r="CA92" i="25"/>
  <c r="CA93" i="25"/>
  <c r="CA94" i="25"/>
  <c r="CA95" i="25"/>
  <c r="CA96" i="25"/>
  <c r="CA97" i="25"/>
  <c r="CA98" i="25"/>
  <c r="CA99" i="25"/>
  <c r="CA100" i="25"/>
  <c r="CA101" i="25"/>
  <c r="CA102" i="25"/>
  <c r="CA103" i="25"/>
  <c r="CA104" i="25"/>
  <c r="CA105" i="25"/>
  <c r="CA106" i="25"/>
  <c r="CA107" i="25"/>
  <c r="CA108" i="25"/>
  <c r="CA109" i="25"/>
  <c r="CA110" i="25"/>
  <c r="CA111" i="25"/>
  <c r="CA112" i="25"/>
  <c r="CA113" i="25"/>
  <c r="CA114" i="25"/>
  <c r="CA115" i="25"/>
  <c r="CA116" i="25"/>
  <c r="CA117" i="25"/>
  <c r="CA118" i="25"/>
  <c r="CA119" i="25"/>
  <c r="CA120" i="25"/>
  <c r="CA121" i="25"/>
  <c r="CA122" i="25"/>
  <c r="CA123" i="25"/>
  <c r="CA124" i="25"/>
  <c r="CA125" i="25"/>
  <c r="CA126" i="25"/>
  <c r="CA127" i="25"/>
  <c r="CA128" i="25"/>
  <c r="CA129" i="25"/>
  <c r="CA130" i="25"/>
  <c r="CA131" i="25"/>
  <c r="CA132" i="25"/>
  <c r="CA134" i="25"/>
  <c r="CA135" i="25"/>
  <c r="CA136" i="25"/>
  <c r="CA137" i="25"/>
  <c r="CA138" i="25"/>
  <c r="CA139" i="25"/>
  <c r="CA140" i="25"/>
  <c r="CA141" i="25"/>
  <c r="CA142" i="25"/>
  <c r="CA143" i="25"/>
  <c r="AT69" i="25"/>
  <c r="AU69" i="25" s="1"/>
  <c r="AT70" i="25"/>
  <c r="AT71" i="25"/>
  <c r="AU71" i="25" s="1"/>
  <c r="AT72" i="25"/>
  <c r="AU72" i="25" s="1"/>
  <c r="AT73" i="25"/>
  <c r="AU73" i="25" s="1"/>
  <c r="AV69" i="25"/>
  <c r="AV70" i="25"/>
  <c r="AW70" i="25" s="1"/>
  <c r="AV71" i="25"/>
  <c r="AW71" i="25" s="1"/>
  <c r="AV72" i="25"/>
  <c r="AV73" i="25"/>
  <c r="AW73" i="25" s="1"/>
  <c r="BD69" i="25"/>
  <c r="BD70" i="25"/>
  <c r="BD71" i="25"/>
  <c r="BD72" i="25"/>
  <c r="BD73" i="25"/>
  <c r="BJ69" i="25"/>
  <c r="BF70" i="25"/>
  <c r="BF71" i="25"/>
  <c r="BJ72" i="25"/>
  <c r="BF73" i="25"/>
  <c r="BG69" i="25"/>
  <c r="BG70" i="25"/>
  <c r="BG71" i="25"/>
  <c r="BG72" i="25"/>
  <c r="BG73" i="25"/>
  <c r="BH69" i="25"/>
  <c r="BI69" i="25" s="1"/>
  <c r="BH70" i="25"/>
  <c r="BI70" i="25" s="1"/>
  <c r="BH71" i="25"/>
  <c r="BI71" i="25" s="1"/>
  <c r="BH72" i="25"/>
  <c r="BI72" i="25" s="1"/>
  <c r="BH73" i="25"/>
  <c r="BI73" i="25" s="1"/>
  <c r="BK69" i="25"/>
  <c r="BP69" i="25" s="1"/>
  <c r="BK70" i="25"/>
  <c r="BP70" i="25" s="1"/>
  <c r="BK71" i="25"/>
  <c r="BP71" i="25" s="1"/>
  <c r="BK72" i="25"/>
  <c r="BP72" i="25" s="1"/>
  <c r="BK73" i="25"/>
  <c r="BL69" i="25"/>
  <c r="BL70" i="25"/>
  <c r="BL71" i="25"/>
  <c r="BL72" i="25"/>
  <c r="BL73" i="25"/>
  <c r="BR69" i="25"/>
  <c r="BR70" i="25"/>
  <c r="BR71" i="25"/>
  <c r="BR72" i="25"/>
  <c r="BR73" i="25"/>
  <c r="BT69" i="25"/>
  <c r="BT70" i="25"/>
  <c r="BT71" i="25"/>
  <c r="BT72" i="25"/>
  <c r="BT73" i="25"/>
  <c r="BU69" i="25"/>
  <c r="BU70" i="25"/>
  <c r="BU71" i="25"/>
  <c r="BU72" i="25"/>
  <c r="BU73" i="25"/>
  <c r="BV69" i="25"/>
  <c r="BV70" i="25"/>
  <c r="BV71" i="25"/>
  <c r="BV72" i="25"/>
  <c r="BV73" i="25"/>
  <c r="BW69" i="25"/>
  <c r="BW70" i="25"/>
  <c r="BW71" i="25"/>
  <c r="BW72" i="25"/>
  <c r="BW73" i="25"/>
  <c r="BX69" i="25"/>
  <c r="BX70" i="25"/>
  <c r="BX71" i="25"/>
  <c r="BX72" i="25"/>
  <c r="BX73" i="25"/>
  <c r="BY69" i="25"/>
  <c r="BY70" i="25"/>
  <c r="BY71" i="25"/>
  <c r="BY72" i="25"/>
  <c r="BY73" i="25"/>
  <c r="BZ69" i="25"/>
  <c r="BZ70" i="25"/>
  <c r="BZ71" i="25"/>
  <c r="BZ72" i="25"/>
  <c r="BZ73" i="25"/>
  <c r="CA69" i="25"/>
  <c r="CA70" i="25"/>
  <c r="CA71" i="25"/>
  <c r="CA72" i="25"/>
  <c r="CA73" i="25"/>
  <c r="AT62" i="25"/>
  <c r="AU62" i="25" s="1"/>
  <c r="AT63" i="25"/>
  <c r="AU63" i="25" s="1"/>
  <c r="AT64" i="25"/>
  <c r="AU64" i="25" s="1"/>
  <c r="AT65" i="25"/>
  <c r="AU65" i="25" s="1"/>
  <c r="AT66" i="25"/>
  <c r="AU66" i="25" s="1"/>
  <c r="AT67" i="25"/>
  <c r="AU67" i="25" s="1"/>
  <c r="AT68" i="25"/>
  <c r="AU68" i="25" s="1"/>
  <c r="AW62" i="25"/>
  <c r="AV63" i="25"/>
  <c r="AV64" i="25"/>
  <c r="AW64" i="25" s="1"/>
  <c r="AV65" i="25"/>
  <c r="AW65" i="25" s="1"/>
  <c r="AV66" i="25"/>
  <c r="AV67" i="25"/>
  <c r="AW67" i="25" s="1"/>
  <c r="AV68" i="25"/>
  <c r="AW68" i="25" s="1"/>
  <c r="BD62" i="25"/>
  <c r="BD63" i="25"/>
  <c r="BD64" i="25"/>
  <c r="BD65" i="25"/>
  <c r="BD66" i="25"/>
  <c r="BD67" i="25"/>
  <c r="BD68" i="25"/>
  <c r="BJ62" i="25"/>
  <c r="BJ63" i="25"/>
  <c r="BJ64" i="25"/>
  <c r="BF65" i="25"/>
  <c r="BJ66" i="25"/>
  <c r="BJ67" i="25"/>
  <c r="BJ68" i="25"/>
  <c r="BG62" i="25"/>
  <c r="BG63" i="25"/>
  <c r="BG64" i="25"/>
  <c r="BG65" i="25"/>
  <c r="BG66" i="25"/>
  <c r="BG67" i="25"/>
  <c r="BG68" i="25"/>
  <c r="BH62" i="25"/>
  <c r="BI62" i="25" s="1"/>
  <c r="BH63" i="25"/>
  <c r="BI63" i="25" s="1"/>
  <c r="BH64" i="25"/>
  <c r="BI64" i="25" s="1"/>
  <c r="BH65" i="25"/>
  <c r="BI65" i="25" s="1"/>
  <c r="BH66" i="25"/>
  <c r="BI66" i="25" s="1"/>
  <c r="BH67" i="25"/>
  <c r="BI67" i="25" s="1"/>
  <c r="BH68" i="25"/>
  <c r="BI68" i="25" s="1"/>
  <c r="BK62" i="25"/>
  <c r="BP62" i="25" s="1"/>
  <c r="BK63" i="25"/>
  <c r="BP63" i="25" s="1"/>
  <c r="BK64" i="25"/>
  <c r="BP64" i="25" s="1"/>
  <c r="BK65" i="25"/>
  <c r="BK66" i="25"/>
  <c r="BP66" i="25" s="1"/>
  <c r="BK67" i="25"/>
  <c r="BP67" i="25" s="1"/>
  <c r="BK68" i="25"/>
  <c r="BL62" i="25"/>
  <c r="BL63" i="25"/>
  <c r="BL64" i="25"/>
  <c r="BL65" i="25"/>
  <c r="BL66" i="25"/>
  <c r="BL67" i="25"/>
  <c r="BL68" i="25"/>
  <c r="BR62" i="25"/>
  <c r="BR63" i="25"/>
  <c r="BR64" i="25"/>
  <c r="BR65" i="25"/>
  <c r="BR66" i="25"/>
  <c r="BR67" i="25"/>
  <c r="BR68" i="25"/>
  <c r="BT62" i="25"/>
  <c r="BT63" i="25"/>
  <c r="BT64" i="25"/>
  <c r="BT65" i="25"/>
  <c r="BT66" i="25"/>
  <c r="BT67" i="25"/>
  <c r="BT68" i="25"/>
  <c r="BU62" i="25"/>
  <c r="BU63" i="25"/>
  <c r="BU64" i="25"/>
  <c r="BU65" i="25"/>
  <c r="BU66" i="25"/>
  <c r="BU67" i="25"/>
  <c r="BU68" i="25"/>
  <c r="BV62" i="25"/>
  <c r="BV63" i="25"/>
  <c r="BV64" i="25"/>
  <c r="BV65" i="25"/>
  <c r="BV66" i="25"/>
  <c r="BV67" i="25"/>
  <c r="BV68" i="25"/>
  <c r="BW62" i="25"/>
  <c r="BW63" i="25"/>
  <c r="BW64" i="25"/>
  <c r="BW65" i="25"/>
  <c r="BW66" i="25"/>
  <c r="BW67" i="25"/>
  <c r="BW68" i="25"/>
  <c r="BX62" i="25"/>
  <c r="BX63" i="25"/>
  <c r="BX64" i="25"/>
  <c r="BX65" i="25"/>
  <c r="BX66" i="25"/>
  <c r="BX67" i="25"/>
  <c r="BX68" i="25"/>
  <c r="BY62" i="25"/>
  <c r="BY63" i="25"/>
  <c r="BY64" i="25"/>
  <c r="BY65" i="25"/>
  <c r="BY66" i="25"/>
  <c r="BY67" i="25"/>
  <c r="BY68" i="25"/>
  <c r="BZ62" i="25"/>
  <c r="BZ63" i="25"/>
  <c r="BZ64" i="25"/>
  <c r="BZ65" i="25"/>
  <c r="BZ66" i="25"/>
  <c r="BZ67" i="25"/>
  <c r="BZ68" i="25"/>
  <c r="CA62" i="25"/>
  <c r="CA63" i="25"/>
  <c r="CA64" i="25"/>
  <c r="CA65" i="25"/>
  <c r="CA66" i="25"/>
  <c r="CA67" i="25"/>
  <c r="CA68" i="25"/>
  <c r="G37" i="89"/>
  <c r="AX153" i="25" l="1"/>
  <c r="BA153" i="25" s="1"/>
  <c r="BB153" i="25" s="1"/>
  <c r="BF156" i="25"/>
  <c r="BJ172" i="25"/>
  <c r="BS172" i="25"/>
  <c r="BM172" i="25" s="1"/>
  <c r="BN172" i="25" s="1"/>
  <c r="BO172" i="25" s="1"/>
  <c r="BS164" i="25"/>
  <c r="BM164" i="25" s="1"/>
  <c r="BN164" i="25" s="1"/>
  <c r="BO164" i="25" s="1"/>
  <c r="BS156" i="25"/>
  <c r="BM156" i="25" s="1"/>
  <c r="BN156" i="25" s="1"/>
  <c r="BO156" i="25" s="1"/>
  <c r="BS169" i="25"/>
  <c r="BM169" i="25" s="1"/>
  <c r="BN169" i="25" s="1"/>
  <c r="BO169" i="25" s="1"/>
  <c r="BS161" i="25"/>
  <c r="BM161" i="25" s="1"/>
  <c r="BN161" i="25" s="1"/>
  <c r="BO161" i="25" s="1"/>
  <c r="BS177" i="25"/>
  <c r="BM177" i="25" s="1"/>
  <c r="BN177" i="25" s="1"/>
  <c r="BO177" i="25" s="1"/>
  <c r="AX176" i="25"/>
  <c r="BA176" i="25" s="1"/>
  <c r="BB176" i="25" s="1"/>
  <c r="BJ160" i="25"/>
  <c r="BS137" i="25"/>
  <c r="BS128" i="25"/>
  <c r="BM128" i="25" s="1"/>
  <c r="BN128" i="25" s="1"/>
  <c r="BO128" i="25" s="1"/>
  <c r="BS120" i="25"/>
  <c r="BM120" i="25" s="1"/>
  <c r="BN120" i="25" s="1"/>
  <c r="BO120" i="25" s="1"/>
  <c r="BS112" i="25"/>
  <c r="BM112" i="25" s="1"/>
  <c r="BN112" i="25" s="1"/>
  <c r="BO112" i="25" s="1"/>
  <c r="BS104" i="25"/>
  <c r="BM104" i="25" s="1"/>
  <c r="BN104" i="25" s="1"/>
  <c r="BO104" i="25" s="1"/>
  <c r="BS96" i="25"/>
  <c r="BM96" i="25" s="1"/>
  <c r="BN96" i="25" s="1"/>
  <c r="BO96" i="25" s="1"/>
  <c r="BS176" i="25"/>
  <c r="BM176" i="25" s="1"/>
  <c r="BN176" i="25" s="1"/>
  <c r="BO176" i="25" s="1"/>
  <c r="BS180" i="25"/>
  <c r="BM180" i="25" s="1"/>
  <c r="BN180" i="25" s="1"/>
  <c r="BO180" i="25" s="1"/>
  <c r="BJ180" i="25"/>
  <c r="BS179" i="25"/>
  <c r="BM179" i="25" s="1"/>
  <c r="BN179" i="25" s="1"/>
  <c r="BO179" i="25" s="1"/>
  <c r="AY151" i="25"/>
  <c r="AZ151" i="25" s="1"/>
  <c r="BC151" i="25" s="1"/>
  <c r="BS174" i="25"/>
  <c r="BM174" i="25" s="1"/>
  <c r="BN174" i="25" s="1"/>
  <c r="BO174" i="25" s="1"/>
  <c r="BS166" i="25"/>
  <c r="BM166" i="25" s="1"/>
  <c r="BN166" i="25" s="1"/>
  <c r="BO166" i="25" s="1"/>
  <c r="BJ168" i="25"/>
  <c r="BS147" i="25"/>
  <c r="BM147" i="25" s="1"/>
  <c r="BN147" i="25" s="1"/>
  <c r="BO147" i="25" s="1"/>
  <c r="AX92" i="25"/>
  <c r="BA92" i="25" s="1"/>
  <c r="BB92" i="25" s="1"/>
  <c r="BS88" i="25"/>
  <c r="BM88" i="25" s="1"/>
  <c r="BN88" i="25" s="1"/>
  <c r="BO88" i="25" s="1"/>
  <c r="BS80" i="25"/>
  <c r="BM80" i="25" s="1"/>
  <c r="BN80" i="25" s="1"/>
  <c r="BO80" i="25" s="1"/>
  <c r="BJ174" i="25"/>
  <c r="BS178" i="25"/>
  <c r="BM178" i="25" s="1"/>
  <c r="BN178" i="25" s="1"/>
  <c r="BO178" i="25" s="1"/>
  <c r="BF127" i="25"/>
  <c r="AX149" i="25"/>
  <c r="BA149" i="25" s="1"/>
  <c r="BB149" i="25" s="1"/>
  <c r="AX69" i="25"/>
  <c r="BA69" i="25" s="1"/>
  <c r="BB69" i="25" s="1"/>
  <c r="BS110" i="25"/>
  <c r="BM110" i="25" s="1"/>
  <c r="BN110" i="25" s="1"/>
  <c r="BO110" i="25" s="1"/>
  <c r="BS153" i="25"/>
  <c r="BM153" i="25" s="1"/>
  <c r="BN153" i="25" s="1"/>
  <c r="BO153" i="25" s="1"/>
  <c r="BF177" i="25"/>
  <c r="BJ111" i="25"/>
  <c r="BS175" i="25"/>
  <c r="BM175" i="25" s="1"/>
  <c r="BN175" i="25" s="1"/>
  <c r="BO175" i="25" s="1"/>
  <c r="BS159" i="25"/>
  <c r="BM159" i="25" s="1"/>
  <c r="BN159" i="25" s="1"/>
  <c r="BO159" i="25" s="1"/>
  <c r="BS158" i="25"/>
  <c r="BM158" i="25" s="1"/>
  <c r="BN158" i="25" s="1"/>
  <c r="BO158" i="25" s="1"/>
  <c r="AX177" i="25"/>
  <c r="BA177" i="25" s="1"/>
  <c r="BB177" i="25" s="1"/>
  <c r="BJ178" i="25"/>
  <c r="AX178" i="25"/>
  <c r="BA178" i="25" s="1"/>
  <c r="BB178" i="25" s="1"/>
  <c r="AX179" i="25"/>
  <c r="BA179" i="25" s="1"/>
  <c r="BB179" i="25" s="1"/>
  <c r="BF173" i="25"/>
  <c r="BF157" i="25"/>
  <c r="AY159" i="25"/>
  <c r="AZ159" i="25" s="1"/>
  <c r="BC159" i="25" s="1"/>
  <c r="BJ150" i="25"/>
  <c r="BS148" i="25"/>
  <c r="BM148" i="25" s="1"/>
  <c r="BN148" i="25" s="1"/>
  <c r="BO148" i="25" s="1"/>
  <c r="AY144" i="25"/>
  <c r="AZ144" i="25" s="1"/>
  <c r="BC144" i="25" s="1"/>
  <c r="BJ87" i="25"/>
  <c r="AX119" i="25"/>
  <c r="BA119" i="25" s="1"/>
  <c r="BB119" i="25" s="1"/>
  <c r="BS140" i="25"/>
  <c r="BM140" i="25" s="1"/>
  <c r="BN140" i="25" s="1"/>
  <c r="BO140" i="25" s="1"/>
  <c r="BS131" i="25"/>
  <c r="BM131" i="25" s="1"/>
  <c r="BN131" i="25" s="1"/>
  <c r="BO131" i="25" s="1"/>
  <c r="BS123" i="25"/>
  <c r="BM123" i="25" s="1"/>
  <c r="BN123" i="25" s="1"/>
  <c r="BO123" i="25" s="1"/>
  <c r="BS115" i="25"/>
  <c r="BM115" i="25" s="1"/>
  <c r="BN115" i="25" s="1"/>
  <c r="BO115" i="25" s="1"/>
  <c r="BS107" i="25"/>
  <c r="BM107" i="25" s="1"/>
  <c r="BN107" i="25" s="1"/>
  <c r="BO107" i="25" s="1"/>
  <c r="BS99" i="25"/>
  <c r="BM99" i="25" s="1"/>
  <c r="BN99" i="25" s="1"/>
  <c r="BO99" i="25" s="1"/>
  <c r="BS91" i="25"/>
  <c r="BM91" i="25" s="1"/>
  <c r="BN91" i="25" s="1"/>
  <c r="BO91" i="25" s="1"/>
  <c r="BS83" i="25"/>
  <c r="BM83" i="25" s="1"/>
  <c r="BN83" i="25" s="1"/>
  <c r="BO83" i="25" s="1"/>
  <c r="BS75" i="25"/>
  <c r="BM75" i="25" s="1"/>
  <c r="BN75" i="25" s="1"/>
  <c r="BO75" i="25" s="1"/>
  <c r="AW92" i="25"/>
  <c r="AY92" i="25" s="1"/>
  <c r="AZ92" i="25" s="1"/>
  <c r="BC92" i="25" s="1"/>
  <c r="BJ136" i="25"/>
  <c r="BJ147" i="25"/>
  <c r="AX166" i="25"/>
  <c r="BA166" i="25" s="1"/>
  <c r="BB166" i="25" s="1"/>
  <c r="BJ164" i="25"/>
  <c r="AX170" i="25"/>
  <c r="BA170" i="25" s="1"/>
  <c r="BB170" i="25" s="1"/>
  <c r="AX162" i="25"/>
  <c r="BA162" i="25" s="1"/>
  <c r="BB162" i="25" s="1"/>
  <c r="AX154" i="25"/>
  <c r="BA154" i="25" s="1"/>
  <c r="BB154" i="25" s="1"/>
  <c r="BF176" i="25"/>
  <c r="AY177" i="25"/>
  <c r="AZ177" i="25" s="1"/>
  <c r="BC177" i="25" s="1"/>
  <c r="AX72" i="25"/>
  <c r="BA72" i="25" s="1"/>
  <c r="BB72" i="25" s="1"/>
  <c r="BF138" i="25"/>
  <c r="AX79" i="25"/>
  <c r="BA79" i="25" s="1"/>
  <c r="BB79" i="25" s="1"/>
  <c r="BS167" i="25"/>
  <c r="BM167" i="25" s="1"/>
  <c r="BN167" i="25" s="1"/>
  <c r="BO167" i="25" s="1"/>
  <c r="BS151" i="25"/>
  <c r="BM151" i="25" s="1"/>
  <c r="BN151" i="25" s="1"/>
  <c r="BO151" i="25" s="1"/>
  <c r="BJ161" i="25"/>
  <c r="AW166" i="25"/>
  <c r="AY166" i="25" s="1"/>
  <c r="AZ166" i="25" s="1"/>
  <c r="BC166" i="25" s="1"/>
  <c r="BJ117" i="25"/>
  <c r="BF101" i="25"/>
  <c r="AX174" i="25"/>
  <c r="BA174" i="25" s="1"/>
  <c r="BB174" i="25" s="1"/>
  <c r="BF92" i="25"/>
  <c r="AX98" i="25"/>
  <c r="BA98" i="25" s="1"/>
  <c r="BB98" i="25" s="1"/>
  <c r="AX90" i="25"/>
  <c r="BA90" i="25" s="1"/>
  <c r="BB90" i="25" s="1"/>
  <c r="AY174" i="25"/>
  <c r="AZ174" i="25" s="1"/>
  <c r="BC174" i="25" s="1"/>
  <c r="AY158" i="25"/>
  <c r="AZ158" i="25" s="1"/>
  <c r="BC158" i="25" s="1"/>
  <c r="AW179" i="25"/>
  <c r="AY179" i="25" s="1"/>
  <c r="AZ179" i="25" s="1"/>
  <c r="BC179" i="25" s="1"/>
  <c r="AW153" i="25"/>
  <c r="AY153" i="25" s="1"/>
  <c r="AZ153" i="25" s="1"/>
  <c r="BC153" i="25" s="1"/>
  <c r="AY169" i="25"/>
  <c r="AZ169" i="25" s="1"/>
  <c r="BC169" i="25" s="1"/>
  <c r="AY180" i="25"/>
  <c r="AZ180" i="25" s="1"/>
  <c r="BC180" i="25" s="1"/>
  <c r="AX82" i="25"/>
  <c r="BA82" i="25" s="1"/>
  <c r="BB82" i="25" s="1"/>
  <c r="BS146" i="25"/>
  <c r="BM146" i="25" s="1"/>
  <c r="BN146" i="25" s="1"/>
  <c r="BO146" i="25" s="1"/>
  <c r="BS171" i="25"/>
  <c r="BM171" i="25" s="1"/>
  <c r="BN171" i="25" s="1"/>
  <c r="BO171" i="25" s="1"/>
  <c r="BS163" i="25"/>
  <c r="BM163" i="25" s="1"/>
  <c r="BN163" i="25" s="1"/>
  <c r="BO163" i="25" s="1"/>
  <c r="BS155" i="25"/>
  <c r="BM155" i="25" s="1"/>
  <c r="BN155" i="25" s="1"/>
  <c r="BO155" i="25" s="1"/>
  <c r="BJ166" i="25"/>
  <c r="AX169" i="25"/>
  <c r="BA169" i="25" s="1"/>
  <c r="BB169" i="25" s="1"/>
  <c r="AY173" i="25"/>
  <c r="AZ173" i="25" s="1"/>
  <c r="BC173" i="25" s="1"/>
  <c r="AY165" i="25"/>
  <c r="AZ165" i="25" s="1"/>
  <c r="BC165" i="25" s="1"/>
  <c r="AY157" i="25"/>
  <c r="AZ157" i="25" s="1"/>
  <c r="BC157" i="25" s="1"/>
  <c r="BF121" i="25"/>
  <c r="AX139" i="25"/>
  <c r="BA139" i="25" s="1"/>
  <c r="BB139" i="25" s="1"/>
  <c r="AX137" i="25"/>
  <c r="BA137" i="25" s="1"/>
  <c r="BB137" i="25" s="1"/>
  <c r="AX104" i="25"/>
  <c r="BA104" i="25" s="1"/>
  <c r="BB104" i="25" s="1"/>
  <c r="AX88" i="25"/>
  <c r="BA88" i="25" s="1"/>
  <c r="BB88" i="25" s="1"/>
  <c r="AY139" i="25"/>
  <c r="AZ139" i="25" s="1"/>
  <c r="BC139" i="25" s="1"/>
  <c r="BS170" i="25"/>
  <c r="BM170" i="25" s="1"/>
  <c r="BN170" i="25" s="1"/>
  <c r="BO170" i="25" s="1"/>
  <c r="BS162" i="25"/>
  <c r="BM162" i="25" s="1"/>
  <c r="BN162" i="25" s="1"/>
  <c r="BO162" i="25" s="1"/>
  <c r="BS154" i="25"/>
  <c r="BM154" i="25" s="1"/>
  <c r="BN154" i="25" s="1"/>
  <c r="BO154" i="25" s="1"/>
  <c r="BJ165" i="25"/>
  <c r="AY171" i="25"/>
  <c r="AZ171" i="25" s="1"/>
  <c r="BC171" i="25" s="1"/>
  <c r="AY163" i="25"/>
  <c r="AZ163" i="25" s="1"/>
  <c r="BC163" i="25" s="1"/>
  <c r="AY155" i="25"/>
  <c r="AZ155" i="25" s="1"/>
  <c r="BC155" i="25" s="1"/>
  <c r="AX180" i="25"/>
  <c r="BA180" i="25" s="1"/>
  <c r="BB180" i="25" s="1"/>
  <c r="BJ134" i="25"/>
  <c r="BF108" i="25"/>
  <c r="AX132" i="25"/>
  <c r="BA132" i="25" s="1"/>
  <c r="BB132" i="25" s="1"/>
  <c r="AY76" i="25"/>
  <c r="AZ76" i="25" s="1"/>
  <c r="BC76" i="25" s="1"/>
  <c r="AX147" i="25"/>
  <c r="BA147" i="25" s="1"/>
  <c r="BB147" i="25" s="1"/>
  <c r="BS168" i="25"/>
  <c r="BM168" i="25" s="1"/>
  <c r="BN168" i="25" s="1"/>
  <c r="BO168" i="25" s="1"/>
  <c r="BS160" i="25"/>
  <c r="BM160" i="25" s="1"/>
  <c r="BN160" i="25" s="1"/>
  <c r="BO160" i="25" s="1"/>
  <c r="BS152" i="25"/>
  <c r="BM152" i="25" s="1"/>
  <c r="BN152" i="25" s="1"/>
  <c r="BO152" i="25" s="1"/>
  <c r="AX161" i="25"/>
  <c r="BA161" i="25" s="1"/>
  <c r="BB161" i="25" s="1"/>
  <c r="AY167" i="25"/>
  <c r="AZ167" i="25" s="1"/>
  <c r="BC167" i="25" s="1"/>
  <c r="BF179" i="25"/>
  <c r="AW176" i="25"/>
  <c r="AY176" i="25" s="1"/>
  <c r="AZ176" i="25" s="1"/>
  <c r="BC176" i="25" s="1"/>
  <c r="AU178" i="25"/>
  <c r="AY178" i="25" s="1"/>
  <c r="AZ178" i="25" s="1"/>
  <c r="BC178" i="25" s="1"/>
  <c r="AX130" i="25"/>
  <c r="BA130" i="25" s="1"/>
  <c r="BB130" i="25" s="1"/>
  <c r="AX158" i="25"/>
  <c r="BA158" i="25" s="1"/>
  <c r="BB158" i="25" s="1"/>
  <c r="BS150" i="25"/>
  <c r="BM150" i="25" s="1"/>
  <c r="BN150" i="25" s="1"/>
  <c r="BO150" i="25" s="1"/>
  <c r="AY168" i="25"/>
  <c r="AZ168" i="25" s="1"/>
  <c r="BC168" i="25" s="1"/>
  <c r="AY160" i="25"/>
  <c r="AZ160" i="25" s="1"/>
  <c r="BC160" i="25" s="1"/>
  <c r="AY152" i="25"/>
  <c r="AZ152" i="25" s="1"/>
  <c r="BC152" i="25" s="1"/>
  <c r="BS143" i="25"/>
  <c r="BM143" i="25" s="1"/>
  <c r="BN143" i="25" s="1"/>
  <c r="BO143" i="25" s="1"/>
  <c r="BS135" i="25"/>
  <c r="BM135" i="25" s="1"/>
  <c r="BN135" i="25" s="1"/>
  <c r="BO135" i="25" s="1"/>
  <c r="BS126" i="25"/>
  <c r="BM126" i="25" s="1"/>
  <c r="BN126" i="25" s="1"/>
  <c r="BO126" i="25" s="1"/>
  <c r="BS102" i="25"/>
  <c r="BM102" i="25" s="1"/>
  <c r="BN102" i="25" s="1"/>
  <c r="BO102" i="25" s="1"/>
  <c r="BS78" i="25"/>
  <c r="BM78" i="25" s="1"/>
  <c r="BN78" i="25" s="1"/>
  <c r="BO78" i="25" s="1"/>
  <c r="BJ109" i="25"/>
  <c r="AX108" i="25"/>
  <c r="BA108" i="25" s="1"/>
  <c r="BB108" i="25" s="1"/>
  <c r="AY132" i="25"/>
  <c r="AZ132" i="25" s="1"/>
  <c r="BC132" i="25" s="1"/>
  <c r="AX116" i="25"/>
  <c r="BA116" i="25" s="1"/>
  <c r="BB116" i="25" s="1"/>
  <c r="AY108" i="25"/>
  <c r="AZ108" i="25" s="1"/>
  <c r="BC108" i="25" s="1"/>
  <c r="AX84" i="25"/>
  <c r="BA84" i="25" s="1"/>
  <c r="BB84" i="25" s="1"/>
  <c r="AX76" i="25"/>
  <c r="BA76" i="25" s="1"/>
  <c r="BB76" i="25" s="1"/>
  <c r="AX146" i="25"/>
  <c r="BA146" i="25" s="1"/>
  <c r="BB146" i="25" s="1"/>
  <c r="BS173" i="25"/>
  <c r="BM173" i="25" s="1"/>
  <c r="BN173" i="25" s="1"/>
  <c r="BO173" i="25" s="1"/>
  <c r="BS165" i="25"/>
  <c r="BM165" i="25" s="1"/>
  <c r="BN165" i="25" s="1"/>
  <c r="BO165" i="25" s="1"/>
  <c r="BS157" i="25"/>
  <c r="BM157" i="25" s="1"/>
  <c r="BN157" i="25" s="1"/>
  <c r="BO157" i="25" s="1"/>
  <c r="BP175" i="25"/>
  <c r="BJ158" i="25"/>
  <c r="AY175" i="25"/>
  <c r="AZ175" i="25" s="1"/>
  <c r="BC175" i="25" s="1"/>
  <c r="AX175" i="25"/>
  <c r="BA175" i="25" s="1"/>
  <c r="BB175" i="25" s="1"/>
  <c r="AX167" i="25"/>
  <c r="BA167" i="25" s="1"/>
  <c r="BB167" i="25" s="1"/>
  <c r="AX159" i="25"/>
  <c r="BA159" i="25" s="1"/>
  <c r="BB159" i="25" s="1"/>
  <c r="AX151" i="25"/>
  <c r="BA151" i="25" s="1"/>
  <c r="BB151" i="25" s="1"/>
  <c r="BF85" i="25"/>
  <c r="AX106" i="25"/>
  <c r="BA106" i="25" s="1"/>
  <c r="BB106" i="25" s="1"/>
  <c r="BJ148" i="25"/>
  <c r="BJ169" i="25"/>
  <c r="AY161" i="25"/>
  <c r="AZ161" i="25" s="1"/>
  <c r="BC161" i="25" s="1"/>
  <c r="AY156" i="25"/>
  <c r="AZ156" i="25" s="1"/>
  <c r="BC156" i="25" s="1"/>
  <c r="AY74" i="25"/>
  <c r="AZ74" i="25" s="1"/>
  <c r="BC74" i="25" s="1"/>
  <c r="AY164" i="25"/>
  <c r="AZ164" i="25" s="1"/>
  <c r="BC164" i="25" s="1"/>
  <c r="AY172" i="25"/>
  <c r="AZ172" i="25" s="1"/>
  <c r="BC172" i="25" s="1"/>
  <c r="BJ142" i="25"/>
  <c r="BF77" i="25"/>
  <c r="AX74" i="25"/>
  <c r="BA74" i="25" s="1"/>
  <c r="BB74" i="25" s="1"/>
  <c r="AU147" i="25"/>
  <c r="AY147" i="25" s="1"/>
  <c r="AZ147" i="25" s="1"/>
  <c r="BC147" i="25" s="1"/>
  <c r="AX168" i="25"/>
  <c r="BA168" i="25" s="1"/>
  <c r="BB168" i="25" s="1"/>
  <c r="AX160" i="25"/>
  <c r="BA160" i="25" s="1"/>
  <c r="BB160" i="25" s="1"/>
  <c r="AX152" i="25"/>
  <c r="BA152" i="25" s="1"/>
  <c r="BB152" i="25" s="1"/>
  <c r="BS62" i="25"/>
  <c r="BM62" i="25" s="1"/>
  <c r="BN62" i="25" s="1"/>
  <c r="BO62" i="25" s="1"/>
  <c r="BJ93" i="25"/>
  <c r="AW104" i="25"/>
  <c r="AY104" i="25" s="1"/>
  <c r="AZ104" i="25" s="1"/>
  <c r="BC104" i="25" s="1"/>
  <c r="BJ171" i="25"/>
  <c r="BJ163" i="25"/>
  <c r="BJ155" i="25"/>
  <c r="BF175" i="25"/>
  <c r="BF167" i="25"/>
  <c r="BF159" i="25"/>
  <c r="BF151" i="25"/>
  <c r="AU170" i="25"/>
  <c r="AY170" i="25" s="1"/>
  <c r="AZ170" i="25" s="1"/>
  <c r="BC170" i="25" s="1"/>
  <c r="AU162" i="25"/>
  <c r="AY162" i="25" s="1"/>
  <c r="AZ162" i="25" s="1"/>
  <c r="BC162" i="25" s="1"/>
  <c r="AU154" i="25"/>
  <c r="AY154" i="25" s="1"/>
  <c r="AZ154" i="25" s="1"/>
  <c r="BC154" i="25" s="1"/>
  <c r="BS118" i="25"/>
  <c r="BM118" i="25" s="1"/>
  <c r="BN118" i="25" s="1"/>
  <c r="BO118" i="25" s="1"/>
  <c r="BS94" i="25"/>
  <c r="BM94" i="25" s="1"/>
  <c r="BN94" i="25" s="1"/>
  <c r="BO94" i="25" s="1"/>
  <c r="BS86" i="25"/>
  <c r="BM86" i="25" s="1"/>
  <c r="BN86" i="25" s="1"/>
  <c r="BO86" i="25" s="1"/>
  <c r="BP172" i="25"/>
  <c r="BP164" i="25"/>
  <c r="BP156" i="25"/>
  <c r="BJ170" i="25"/>
  <c r="BJ162" i="25"/>
  <c r="BJ154" i="25"/>
  <c r="BS142" i="25"/>
  <c r="BM142" i="25" s="1"/>
  <c r="BN142" i="25" s="1"/>
  <c r="BO142" i="25" s="1"/>
  <c r="BS134" i="25"/>
  <c r="BM134" i="25" s="1"/>
  <c r="BN134" i="25" s="1"/>
  <c r="BO134" i="25" s="1"/>
  <c r="BS125" i="25"/>
  <c r="BM125" i="25" s="1"/>
  <c r="BN125" i="25" s="1"/>
  <c r="BO125" i="25" s="1"/>
  <c r="BS117" i="25"/>
  <c r="BM117" i="25" s="1"/>
  <c r="BN117" i="25" s="1"/>
  <c r="BO117" i="25" s="1"/>
  <c r="BS109" i="25"/>
  <c r="BM109" i="25" s="1"/>
  <c r="BN109" i="25" s="1"/>
  <c r="BO109" i="25" s="1"/>
  <c r="BS101" i="25"/>
  <c r="BM101" i="25" s="1"/>
  <c r="BN101" i="25" s="1"/>
  <c r="BO101" i="25" s="1"/>
  <c r="BS93" i="25"/>
  <c r="BM93" i="25" s="1"/>
  <c r="BN93" i="25" s="1"/>
  <c r="BO93" i="25" s="1"/>
  <c r="BS85" i="25"/>
  <c r="BM85" i="25" s="1"/>
  <c r="BN85" i="25" s="1"/>
  <c r="BO85" i="25" s="1"/>
  <c r="BS77" i="25"/>
  <c r="BM77" i="25" s="1"/>
  <c r="BN77" i="25" s="1"/>
  <c r="BO77" i="25" s="1"/>
  <c r="BJ125" i="25"/>
  <c r="BF95" i="25"/>
  <c r="AX95" i="25"/>
  <c r="BA95" i="25" s="1"/>
  <c r="BB95" i="25" s="1"/>
  <c r="AY100" i="25"/>
  <c r="AZ100" i="25" s="1"/>
  <c r="BC100" i="25" s="1"/>
  <c r="AX141" i="25"/>
  <c r="BA141" i="25" s="1"/>
  <c r="BB141" i="25" s="1"/>
  <c r="BS149" i="25"/>
  <c r="BM149" i="25" s="1"/>
  <c r="BN149" i="25" s="1"/>
  <c r="BO149" i="25" s="1"/>
  <c r="AY149" i="25"/>
  <c r="AZ149" i="25" s="1"/>
  <c r="BC149" i="25" s="1"/>
  <c r="AX173" i="25"/>
  <c r="BA173" i="25" s="1"/>
  <c r="BB173" i="25" s="1"/>
  <c r="AX165" i="25"/>
  <c r="BA165" i="25" s="1"/>
  <c r="BB165" i="25" s="1"/>
  <c r="AX157" i="25"/>
  <c r="BA157" i="25" s="1"/>
  <c r="BB157" i="25" s="1"/>
  <c r="BS67" i="25"/>
  <c r="BM67" i="25" s="1"/>
  <c r="BN67" i="25" s="1"/>
  <c r="BO67" i="25" s="1"/>
  <c r="BJ119" i="25"/>
  <c r="AW90" i="25"/>
  <c r="AY90" i="25" s="1"/>
  <c r="AZ90" i="25" s="1"/>
  <c r="BC90" i="25" s="1"/>
  <c r="AX148" i="25"/>
  <c r="BA148" i="25" s="1"/>
  <c r="BB148" i="25" s="1"/>
  <c r="AX172" i="25"/>
  <c r="BA172" i="25" s="1"/>
  <c r="BB172" i="25" s="1"/>
  <c r="AX164" i="25"/>
  <c r="BA164" i="25" s="1"/>
  <c r="BB164" i="25" s="1"/>
  <c r="AX156" i="25"/>
  <c r="BA156" i="25" s="1"/>
  <c r="BB156" i="25" s="1"/>
  <c r="AY106" i="25"/>
  <c r="AZ106" i="25" s="1"/>
  <c r="BC106" i="25" s="1"/>
  <c r="AX145" i="25"/>
  <c r="BA145" i="25" s="1"/>
  <c r="BB145" i="25" s="1"/>
  <c r="AX171" i="25"/>
  <c r="BA171" i="25" s="1"/>
  <c r="BB171" i="25" s="1"/>
  <c r="AX163" i="25"/>
  <c r="BA163" i="25" s="1"/>
  <c r="BB163" i="25" s="1"/>
  <c r="AX155" i="25"/>
  <c r="BA155" i="25" s="1"/>
  <c r="BB155" i="25" s="1"/>
  <c r="AX80" i="25"/>
  <c r="BA80" i="25" s="1"/>
  <c r="BB80" i="25" s="1"/>
  <c r="AY120" i="25"/>
  <c r="AZ120" i="25" s="1"/>
  <c r="BC120" i="25" s="1"/>
  <c r="AY150" i="25"/>
  <c r="AZ150" i="25" s="1"/>
  <c r="BC150" i="25" s="1"/>
  <c r="BJ107" i="25"/>
  <c r="BJ79" i="25"/>
  <c r="AX124" i="25"/>
  <c r="BA124" i="25" s="1"/>
  <c r="BB124" i="25" s="1"/>
  <c r="AY124" i="25"/>
  <c r="AZ124" i="25" s="1"/>
  <c r="BC124" i="25" s="1"/>
  <c r="AY130" i="25"/>
  <c r="AZ130" i="25" s="1"/>
  <c r="BC130" i="25" s="1"/>
  <c r="AY114" i="25"/>
  <c r="AZ114" i="25" s="1"/>
  <c r="BC114" i="25" s="1"/>
  <c r="AY82" i="25"/>
  <c r="AZ82" i="25" s="1"/>
  <c r="BC82" i="25" s="1"/>
  <c r="BS145" i="25"/>
  <c r="BM145" i="25" s="1"/>
  <c r="BN145" i="25" s="1"/>
  <c r="BO145" i="25" s="1"/>
  <c r="AY67" i="25"/>
  <c r="AZ67" i="25" s="1"/>
  <c r="BC67" i="25" s="1"/>
  <c r="BS70" i="25"/>
  <c r="BM70" i="25" s="1"/>
  <c r="BN70" i="25" s="1"/>
  <c r="BO70" i="25" s="1"/>
  <c r="BJ103" i="25"/>
  <c r="BJ78" i="25"/>
  <c r="BF140" i="25"/>
  <c r="AX122" i="25"/>
  <c r="BA122" i="25" s="1"/>
  <c r="BB122" i="25" s="1"/>
  <c r="AX100" i="25"/>
  <c r="BA100" i="25" s="1"/>
  <c r="BB100" i="25" s="1"/>
  <c r="AX143" i="25"/>
  <c r="BA143" i="25" s="1"/>
  <c r="BB143" i="25" s="1"/>
  <c r="AX135" i="25"/>
  <c r="BA135" i="25" s="1"/>
  <c r="BB135" i="25" s="1"/>
  <c r="AX126" i="25"/>
  <c r="BA126" i="25" s="1"/>
  <c r="BB126" i="25" s="1"/>
  <c r="AX118" i="25"/>
  <c r="BA118" i="25" s="1"/>
  <c r="BB118" i="25" s="1"/>
  <c r="AX110" i="25"/>
  <c r="BA110" i="25" s="1"/>
  <c r="BB110" i="25" s="1"/>
  <c r="AX102" i="25"/>
  <c r="BA102" i="25" s="1"/>
  <c r="BB102" i="25" s="1"/>
  <c r="AX94" i="25"/>
  <c r="BA94" i="25" s="1"/>
  <c r="BB94" i="25" s="1"/>
  <c r="AX86" i="25"/>
  <c r="BA86" i="25" s="1"/>
  <c r="BB86" i="25" s="1"/>
  <c r="AX78" i="25"/>
  <c r="BA78" i="25" s="1"/>
  <c r="BB78" i="25" s="1"/>
  <c r="BS144" i="25"/>
  <c r="BM144" i="25" s="1"/>
  <c r="BN144" i="25" s="1"/>
  <c r="BO144" i="25" s="1"/>
  <c r="AW145" i="25"/>
  <c r="AY145" i="25" s="1"/>
  <c r="AZ145" i="25" s="1"/>
  <c r="BC145" i="25" s="1"/>
  <c r="BJ146" i="25"/>
  <c r="AX150" i="25"/>
  <c r="BA150" i="25" s="1"/>
  <c r="BB150" i="25" s="1"/>
  <c r="AX120" i="25"/>
  <c r="BA120" i="25" s="1"/>
  <c r="BB120" i="25" s="1"/>
  <c r="AX96" i="25"/>
  <c r="BA96" i="25" s="1"/>
  <c r="BB96" i="25" s="1"/>
  <c r="AY112" i="25"/>
  <c r="AZ112" i="25" s="1"/>
  <c r="BC112" i="25" s="1"/>
  <c r="BF149" i="25"/>
  <c r="AW146" i="25"/>
  <c r="AY146" i="25" s="1"/>
  <c r="AZ146" i="25" s="1"/>
  <c r="BC146" i="25" s="1"/>
  <c r="AU148" i="25"/>
  <c r="AY148" i="25" s="1"/>
  <c r="AZ148" i="25" s="1"/>
  <c r="BC148" i="25" s="1"/>
  <c r="AY128" i="25"/>
  <c r="AZ128" i="25" s="1"/>
  <c r="BC128" i="25" s="1"/>
  <c r="AY96" i="25"/>
  <c r="AZ96" i="25" s="1"/>
  <c r="BC96" i="25" s="1"/>
  <c r="AY80" i="25"/>
  <c r="AZ80" i="25" s="1"/>
  <c r="BC80" i="25" s="1"/>
  <c r="BJ65" i="25"/>
  <c r="AX66" i="25"/>
  <c r="BA66" i="25" s="1"/>
  <c r="BB66" i="25" s="1"/>
  <c r="BJ123" i="25"/>
  <c r="BJ75" i="25"/>
  <c r="AY141" i="25"/>
  <c r="AZ141" i="25" s="1"/>
  <c r="BC141" i="25" s="1"/>
  <c r="BJ70" i="25"/>
  <c r="BF83" i="25"/>
  <c r="AX117" i="25"/>
  <c r="BA117" i="25" s="1"/>
  <c r="BB117" i="25" s="1"/>
  <c r="AY116" i="25"/>
  <c r="AZ116" i="25" s="1"/>
  <c r="BC116" i="25" s="1"/>
  <c r="AW88" i="25"/>
  <c r="AY88" i="25" s="1"/>
  <c r="AZ88" i="25" s="1"/>
  <c r="BC88" i="25" s="1"/>
  <c r="AY122" i="25"/>
  <c r="AZ122" i="25" s="1"/>
  <c r="BC122" i="25" s="1"/>
  <c r="BS71" i="25"/>
  <c r="BM71" i="25" s="1"/>
  <c r="BN71" i="25" s="1"/>
  <c r="BO71" i="25" s="1"/>
  <c r="BJ91" i="25"/>
  <c r="AX136" i="25"/>
  <c r="BA136" i="25" s="1"/>
  <c r="BB136" i="25" s="1"/>
  <c r="AW137" i="25"/>
  <c r="AY137" i="25" s="1"/>
  <c r="AZ137" i="25" s="1"/>
  <c r="BC137" i="25" s="1"/>
  <c r="AY84" i="25"/>
  <c r="AZ84" i="25" s="1"/>
  <c r="BC84" i="25" s="1"/>
  <c r="BS68" i="25"/>
  <c r="BM68" i="25" s="1"/>
  <c r="BN68" i="25" s="1"/>
  <c r="BO68" i="25" s="1"/>
  <c r="AY68" i="25"/>
  <c r="AZ68" i="25" s="1"/>
  <c r="BC68" i="25" s="1"/>
  <c r="AX93" i="25"/>
  <c r="BA93" i="25" s="1"/>
  <c r="BB93" i="25" s="1"/>
  <c r="AY73" i="25"/>
  <c r="AZ73" i="25" s="1"/>
  <c r="BC73" i="25" s="1"/>
  <c r="BS138" i="25"/>
  <c r="BM138" i="25" s="1"/>
  <c r="BN138" i="25" s="1"/>
  <c r="BO138" i="25" s="1"/>
  <c r="BS129" i="25"/>
  <c r="BM129" i="25" s="1"/>
  <c r="BN129" i="25" s="1"/>
  <c r="BO129" i="25" s="1"/>
  <c r="BS121" i="25"/>
  <c r="BM121" i="25" s="1"/>
  <c r="BN121" i="25" s="1"/>
  <c r="BO121" i="25" s="1"/>
  <c r="BS113" i="25"/>
  <c r="BM113" i="25" s="1"/>
  <c r="BN113" i="25" s="1"/>
  <c r="BO113" i="25" s="1"/>
  <c r="BS105" i="25"/>
  <c r="BM105" i="25" s="1"/>
  <c r="BN105" i="25" s="1"/>
  <c r="BO105" i="25" s="1"/>
  <c r="BS97" i="25"/>
  <c r="BM97" i="25" s="1"/>
  <c r="BN97" i="25" s="1"/>
  <c r="BO97" i="25" s="1"/>
  <c r="BS89" i="25"/>
  <c r="BM89" i="25" s="1"/>
  <c r="BN89" i="25" s="1"/>
  <c r="BO89" i="25" s="1"/>
  <c r="BS81" i="25"/>
  <c r="BM81" i="25" s="1"/>
  <c r="BN81" i="25" s="1"/>
  <c r="BO81" i="25" s="1"/>
  <c r="BJ131" i="25"/>
  <c r="BJ115" i="25"/>
  <c r="BJ99" i="25"/>
  <c r="BF105" i="25"/>
  <c r="BF76" i="25"/>
  <c r="AX142" i="25"/>
  <c r="BA142" i="25" s="1"/>
  <c r="BB142" i="25" s="1"/>
  <c r="AX128" i="25"/>
  <c r="BA128" i="25" s="1"/>
  <c r="BB128" i="25" s="1"/>
  <c r="AX103" i="25"/>
  <c r="BA103" i="25" s="1"/>
  <c r="BB103" i="25" s="1"/>
  <c r="AX77" i="25"/>
  <c r="BA77" i="25" s="1"/>
  <c r="BB77" i="25" s="1"/>
  <c r="AY118" i="25"/>
  <c r="AZ118" i="25" s="1"/>
  <c r="BC118" i="25" s="1"/>
  <c r="BS65" i="25"/>
  <c r="BM65" i="25" s="1"/>
  <c r="BN65" i="25" s="1"/>
  <c r="BO65" i="25" s="1"/>
  <c r="BS73" i="25"/>
  <c r="BM73" i="25" s="1"/>
  <c r="BN73" i="25" s="1"/>
  <c r="BO73" i="25" s="1"/>
  <c r="BJ129" i="25"/>
  <c r="BJ113" i="25"/>
  <c r="BJ97" i="25"/>
  <c r="BJ81" i="25"/>
  <c r="BF89" i="25"/>
  <c r="AX127" i="25"/>
  <c r="BA127" i="25" s="1"/>
  <c r="BB127" i="25" s="1"/>
  <c r="AX114" i="25"/>
  <c r="BA114" i="25" s="1"/>
  <c r="BB114" i="25" s="1"/>
  <c r="AX101" i="25"/>
  <c r="BA101" i="25" s="1"/>
  <c r="BB101" i="25" s="1"/>
  <c r="AW98" i="25"/>
  <c r="AY98" i="25" s="1"/>
  <c r="AZ98" i="25" s="1"/>
  <c r="BC98" i="25" s="1"/>
  <c r="AY102" i="25"/>
  <c r="AZ102" i="25" s="1"/>
  <c r="BC102" i="25" s="1"/>
  <c r="AY64" i="25"/>
  <c r="AZ64" i="25" s="1"/>
  <c r="BC64" i="25" s="1"/>
  <c r="BS136" i="25"/>
  <c r="BM136" i="25" s="1"/>
  <c r="BN136" i="25" s="1"/>
  <c r="BO136" i="25" s="1"/>
  <c r="BS127" i="25"/>
  <c r="BM127" i="25" s="1"/>
  <c r="BN127" i="25" s="1"/>
  <c r="BO127" i="25" s="1"/>
  <c r="BS119" i="25"/>
  <c r="BM119" i="25" s="1"/>
  <c r="BN119" i="25" s="1"/>
  <c r="BO119" i="25" s="1"/>
  <c r="BS111" i="25"/>
  <c r="BM111" i="25" s="1"/>
  <c r="BN111" i="25" s="1"/>
  <c r="BO111" i="25" s="1"/>
  <c r="BS103" i="25"/>
  <c r="BM103" i="25" s="1"/>
  <c r="BN103" i="25" s="1"/>
  <c r="BO103" i="25" s="1"/>
  <c r="BS95" i="25"/>
  <c r="BM95" i="25" s="1"/>
  <c r="BN95" i="25" s="1"/>
  <c r="BO95" i="25" s="1"/>
  <c r="BS87" i="25"/>
  <c r="BM87" i="25" s="1"/>
  <c r="BN87" i="25" s="1"/>
  <c r="BO87" i="25" s="1"/>
  <c r="BS79" i="25"/>
  <c r="BM79" i="25" s="1"/>
  <c r="BN79" i="25" s="1"/>
  <c r="BO79" i="25" s="1"/>
  <c r="BS141" i="25"/>
  <c r="BM141" i="25" s="1"/>
  <c r="BN141" i="25" s="1"/>
  <c r="BO141" i="25" s="1"/>
  <c r="BS132" i="25"/>
  <c r="BM132" i="25" s="1"/>
  <c r="BN132" i="25" s="1"/>
  <c r="BO132" i="25" s="1"/>
  <c r="BS124" i="25"/>
  <c r="BM124" i="25" s="1"/>
  <c r="BN124" i="25" s="1"/>
  <c r="BO124" i="25" s="1"/>
  <c r="BS116" i="25"/>
  <c r="BM116" i="25" s="1"/>
  <c r="BN116" i="25" s="1"/>
  <c r="BO116" i="25" s="1"/>
  <c r="BS108" i="25"/>
  <c r="BM108" i="25" s="1"/>
  <c r="BN108" i="25" s="1"/>
  <c r="BO108" i="25" s="1"/>
  <c r="BS100" i="25"/>
  <c r="BM100" i="25" s="1"/>
  <c r="BN100" i="25" s="1"/>
  <c r="BO100" i="25" s="1"/>
  <c r="BS92" i="25"/>
  <c r="BM92" i="25" s="1"/>
  <c r="BN92" i="25" s="1"/>
  <c r="BO92" i="25" s="1"/>
  <c r="BS84" i="25"/>
  <c r="BM84" i="25" s="1"/>
  <c r="BN84" i="25" s="1"/>
  <c r="BO84" i="25" s="1"/>
  <c r="BS76" i="25"/>
  <c r="BM76" i="25" s="1"/>
  <c r="BN76" i="25" s="1"/>
  <c r="BO76" i="25" s="1"/>
  <c r="AX125" i="25"/>
  <c r="BA125" i="25" s="1"/>
  <c r="BB125" i="25" s="1"/>
  <c r="AX112" i="25"/>
  <c r="BA112" i="25" s="1"/>
  <c r="BB112" i="25" s="1"/>
  <c r="AX87" i="25"/>
  <c r="BA87" i="25" s="1"/>
  <c r="BB87" i="25" s="1"/>
  <c r="BJ145" i="25"/>
  <c r="AY135" i="25"/>
  <c r="AZ135" i="25" s="1"/>
  <c r="BC135" i="25" s="1"/>
  <c r="BS63" i="25"/>
  <c r="BM63" i="25" s="1"/>
  <c r="BN63" i="25" s="1"/>
  <c r="BO63" i="25" s="1"/>
  <c r="AX111" i="25"/>
  <c r="BA111" i="25" s="1"/>
  <c r="BB111" i="25" s="1"/>
  <c r="AX85" i="25"/>
  <c r="BA85" i="25" s="1"/>
  <c r="BB85" i="25" s="1"/>
  <c r="AW143" i="25"/>
  <c r="AY143" i="25" s="1"/>
  <c r="AZ143" i="25" s="1"/>
  <c r="BC143" i="25" s="1"/>
  <c r="AW126" i="25"/>
  <c r="AY126" i="25" s="1"/>
  <c r="AZ126" i="25" s="1"/>
  <c r="BC126" i="25" s="1"/>
  <c r="AW110" i="25"/>
  <c r="AY110" i="25" s="1"/>
  <c r="AZ110" i="25" s="1"/>
  <c r="BC110" i="25" s="1"/>
  <c r="AW94" i="25"/>
  <c r="AY94" i="25" s="1"/>
  <c r="AZ94" i="25" s="1"/>
  <c r="BC94" i="25" s="1"/>
  <c r="AW78" i="25"/>
  <c r="AY78" i="25" s="1"/>
  <c r="AZ78" i="25" s="1"/>
  <c r="BC78" i="25" s="1"/>
  <c r="BJ144" i="25"/>
  <c r="AX144" i="25"/>
  <c r="BA144" i="25" s="1"/>
  <c r="BB144" i="25" s="1"/>
  <c r="AX64" i="25"/>
  <c r="BA64" i="25" s="1"/>
  <c r="BB64" i="25" s="1"/>
  <c r="BS139" i="25"/>
  <c r="BM139" i="25" s="1"/>
  <c r="BN139" i="25" s="1"/>
  <c r="BO139" i="25" s="1"/>
  <c r="BS130" i="25"/>
  <c r="BM130" i="25" s="1"/>
  <c r="BN130" i="25" s="1"/>
  <c r="BO130" i="25" s="1"/>
  <c r="BS122" i="25"/>
  <c r="BM122" i="25" s="1"/>
  <c r="BN122" i="25" s="1"/>
  <c r="BO122" i="25" s="1"/>
  <c r="BS114" i="25"/>
  <c r="BM114" i="25" s="1"/>
  <c r="BN114" i="25" s="1"/>
  <c r="BO114" i="25" s="1"/>
  <c r="BS106" i="25"/>
  <c r="BM106" i="25" s="1"/>
  <c r="BN106" i="25" s="1"/>
  <c r="BO106" i="25" s="1"/>
  <c r="BS98" i="25"/>
  <c r="BM98" i="25" s="1"/>
  <c r="BN98" i="25" s="1"/>
  <c r="BO98" i="25" s="1"/>
  <c r="BS90" i="25"/>
  <c r="BM90" i="25" s="1"/>
  <c r="BN90" i="25" s="1"/>
  <c r="BO90" i="25" s="1"/>
  <c r="BS82" i="25"/>
  <c r="BM82" i="25" s="1"/>
  <c r="BN82" i="25" s="1"/>
  <c r="BO82" i="25" s="1"/>
  <c r="BS74" i="25"/>
  <c r="BM74" i="25" s="1"/>
  <c r="BN74" i="25" s="1"/>
  <c r="BO74" i="25" s="1"/>
  <c r="BM137" i="25"/>
  <c r="BN137" i="25" s="1"/>
  <c r="BO137" i="25" s="1"/>
  <c r="AX109" i="25"/>
  <c r="BA109" i="25" s="1"/>
  <c r="BB109" i="25" s="1"/>
  <c r="AY86" i="25"/>
  <c r="AZ86" i="25" s="1"/>
  <c r="BC86" i="25" s="1"/>
  <c r="BS69" i="25"/>
  <c r="BM69" i="25" s="1"/>
  <c r="BN69" i="25" s="1"/>
  <c r="BO69" i="25" s="1"/>
  <c r="AX134" i="25"/>
  <c r="BA134" i="25" s="1"/>
  <c r="BB134" i="25" s="1"/>
  <c r="BS66" i="25"/>
  <c r="BM66" i="25" s="1"/>
  <c r="BN66" i="25" s="1"/>
  <c r="BO66" i="25" s="1"/>
  <c r="AX68" i="25"/>
  <c r="BA68" i="25" s="1"/>
  <c r="BB68" i="25" s="1"/>
  <c r="AW72" i="25"/>
  <c r="AY72" i="25" s="1"/>
  <c r="AZ72" i="25" s="1"/>
  <c r="BC72" i="25" s="1"/>
  <c r="BP137" i="25"/>
  <c r="BP128" i="25"/>
  <c r="BP120" i="25"/>
  <c r="BP112" i="25"/>
  <c r="BP104" i="25"/>
  <c r="BP96" i="25"/>
  <c r="BP88" i="25"/>
  <c r="BP80" i="25"/>
  <c r="BJ143" i="25"/>
  <c r="BJ135" i="25"/>
  <c r="BJ126" i="25"/>
  <c r="BJ118" i="25"/>
  <c r="BJ110" i="25"/>
  <c r="BJ102" i="25"/>
  <c r="BJ94" i="25"/>
  <c r="BJ86" i="25"/>
  <c r="BF141" i="25"/>
  <c r="BF130" i="25"/>
  <c r="AX140" i="25"/>
  <c r="BA140" i="25" s="1"/>
  <c r="BB140" i="25" s="1"/>
  <c r="AU140" i="25"/>
  <c r="AY140" i="25" s="1"/>
  <c r="AZ140" i="25" s="1"/>
  <c r="BC140" i="25" s="1"/>
  <c r="AX131" i="25"/>
  <c r="BA131" i="25" s="1"/>
  <c r="BB131" i="25" s="1"/>
  <c r="AU131" i="25"/>
  <c r="AY131" i="25" s="1"/>
  <c r="AZ131" i="25" s="1"/>
  <c r="BC131" i="25" s="1"/>
  <c r="AX123" i="25"/>
  <c r="BA123" i="25" s="1"/>
  <c r="BB123" i="25" s="1"/>
  <c r="AU123" i="25"/>
  <c r="AY123" i="25" s="1"/>
  <c r="AZ123" i="25" s="1"/>
  <c r="BC123" i="25" s="1"/>
  <c r="AX115" i="25"/>
  <c r="BA115" i="25" s="1"/>
  <c r="BB115" i="25" s="1"/>
  <c r="AU115" i="25"/>
  <c r="AY115" i="25" s="1"/>
  <c r="AZ115" i="25" s="1"/>
  <c r="BC115" i="25" s="1"/>
  <c r="AX107" i="25"/>
  <c r="BA107" i="25" s="1"/>
  <c r="BB107" i="25" s="1"/>
  <c r="AU107" i="25"/>
  <c r="AY107" i="25" s="1"/>
  <c r="AZ107" i="25" s="1"/>
  <c r="BC107" i="25" s="1"/>
  <c r="AX99" i="25"/>
  <c r="BA99" i="25" s="1"/>
  <c r="BB99" i="25" s="1"/>
  <c r="AU99" i="25"/>
  <c r="AY99" i="25" s="1"/>
  <c r="AZ99" i="25" s="1"/>
  <c r="BC99" i="25" s="1"/>
  <c r="AX91" i="25"/>
  <c r="BA91" i="25" s="1"/>
  <c r="BB91" i="25" s="1"/>
  <c r="AU91" i="25"/>
  <c r="AY91" i="25" s="1"/>
  <c r="AZ91" i="25" s="1"/>
  <c r="BC91" i="25" s="1"/>
  <c r="AX83" i="25"/>
  <c r="BA83" i="25" s="1"/>
  <c r="BB83" i="25" s="1"/>
  <c r="AU83" i="25"/>
  <c r="AY83" i="25" s="1"/>
  <c r="AZ83" i="25" s="1"/>
  <c r="BC83" i="25" s="1"/>
  <c r="AX75" i="25"/>
  <c r="BA75" i="25" s="1"/>
  <c r="BB75" i="25" s="1"/>
  <c r="AU75" i="25"/>
  <c r="AY75" i="25" s="1"/>
  <c r="AZ75" i="25" s="1"/>
  <c r="BC75" i="25" s="1"/>
  <c r="BS64" i="25"/>
  <c r="BM64" i="25" s="1"/>
  <c r="BN64" i="25" s="1"/>
  <c r="BO64" i="25" s="1"/>
  <c r="AX73" i="25"/>
  <c r="BA73" i="25" s="1"/>
  <c r="BB73" i="25" s="1"/>
  <c r="BJ132" i="25"/>
  <c r="BJ124" i="25"/>
  <c r="BJ116" i="25"/>
  <c r="BJ100" i="25"/>
  <c r="BJ84" i="25"/>
  <c r="BF139" i="25"/>
  <c r="AY71" i="25"/>
  <c r="AZ71" i="25" s="1"/>
  <c r="BC71" i="25" s="1"/>
  <c r="AX138" i="25"/>
  <c r="BA138" i="25" s="1"/>
  <c r="BB138" i="25" s="1"/>
  <c r="AW138" i="25"/>
  <c r="AY138" i="25" s="1"/>
  <c r="AZ138" i="25" s="1"/>
  <c r="BC138" i="25" s="1"/>
  <c r="AX129" i="25"/>
  <c r="BA129" i="25" s="1"/>
  <c r="BB129" i="25" s="1"/>
  <c r="AW129" i="25"/>
  <c r="AY129" i="25" s="1"/>
  <c r="AZ129" i="25" s="1"/>
  <c r="BC129" i="25" s="1"/>
  <c r="AX121" i="25"/>
  <c r="BA121" i="25" s="1"/>
  <c r="BB121" i="25" s="1"/>
  <c r="AW121" i="25"/>
  <c r="AY121" i="25" s="1"/>
  <c r="AZ121" i="25" s="1"/>
  <c r="BC121" i="25" s="1"/>
  <c r="AX113" i="25"/>
  <c r="BA113" i="25" s="1"/>
  <c r="BB113" i="25" s="1"/>
  <c r="AW113" i="25"/>
  <c r="AY113" i="25" s="1"/>
  <c r="AZ113" i="25" s="1"/>
  <c r="BC113" i="25" s="1"/>
  <c r="AX105" i="25"/>
  <c r="BA105" i="25" s="1"/>
  <c r="BB105" i="25" s="1"/>
  <c r="AW105" i="25"/>
  <c r="AY105" i="25" s="1"/>
  <c r="AZ105" i="25" s="1"/>
  <c r="BC105" i="25" s="1"/>
  <c r="AX97" i="25"/>
  <c r="BA97" i="25" s="1"/>
  <c r="BB97" i="25" s="1"/>
  <c r="AW97" i="25"/>
  <c r="AY97" i="25" s="1"/>
  <c r="AZ97" i="25" s="1"/>
  <c r="BC97" i="25" s="1"/>
  <c r="AX89" i="25"/>
  <c r="BA89" i="25" s="1"/>
  <c r="BB89" i="25" s="1"/>
  <c r="AW89" i="25"/>
  <c r="AY89" i="25" s="1"/>
  <c r="AZ89" i="25" s="1"/>
  <c r="BC89" i="25" s="1"/>
  <c r="AX81" i="25"/>
  <c r="BA81" i="25" s="1"/>
  <c r="BB81" i="25" s="1"/>
  <c r="AW81" i="25"/>
  <c r="AY81" i="25" s="1"/>
  <c r="AZ81" i="25" s="1"/>
  <c r="BC81" i="25" s="1"/>
  <c r="BS72" i="25"/>
  <c r="BM72" i="25" s="1"/>
  <c r="BN72" i="25" s="1"/>
  <c r="BO72" i="25" s="1"/>
  <c r="BJ73" i="25"/>
  <c r="BF69" i="25"/>
  <c r="AX71" i="25"/>
  <c r="BA71" i="25" s="1"/>
  <c r="BB71" i="25" s="1"/>
  <c r="AX70" i="25"/>
  <c r="BA70" i="25" s="1"/>
  <c r="BB70" i="25" s="1"/>
  <c r="BJ122" i="25"/>
  <c r="BJ114" i="25"/>
  <c r="BJ106" i="25"/>
  <c r="BJ98" i="25"/>
  <c r="BJ90" i="25"/>
  <c r="BJ82" i="25"/>
  <c r="BJ74" i="25"/>
  <c r="AY136" i="25"/>
  <c r="AZ136" i="25" s="1"/>
  <c r="BC136" i="25" s="1"/>
  <c r="AY127" i="25"/>
  <c r="AZ127" i="25" s="1"/>
  <c r="BC127" i="25" s="1"/>
  <c r="AY119" i="25"/>
  <c r="AZ119" i="25" s="1"/>
  <c r="BC119" i="25" s="1"/>
  <c r="AY111" i="25"/>
  <c r="AZ111" i="25" s="1"/>
  <c r="BC111" i="25" s="1"/>
  <c r="AY103" i="25"/>
  <c r="AZ103" i="25" s="1"/>
  <c r="BC103" i="25" s="1"/>
  <c r="AY95" i="25"/>
  <c r="AZ95" i="25" s="1"/>
  <c r="BC95" i="25" s="1"/>
  <c r="AY87" i="25"/>
  <c r="AZ87" i="25" s="1"/>
  <c r="BC87" i="25" s="1"/>
  <c r="AY79" i="25"/>
  <c r="AZ79" i="25" s="1"/>
  <c r="BC79" i="25" s="1"/>
  <c r="BJ137" i="25"/>
  <c r="BJ128" i="25"/>
  <c r="BJ120" i="25"/>
  <c r="BJ112" i="25"/>
  <c r="BJ104" i="25"/>
  <c r="BJ96" i="25"/>
  <c r="BJ88" i="25"/>
  <c r="BJ80" i="25"/>
  <c r="AY142" i="25"/>
  <c r="AZ142" i="25" s="1"/>
  <c r="BC142" i="25" s="1"/>
  <c r="AY134" i="25"/>
  <c r="AZ134" i="25" s="1"/>
  <c r="BC134" i="25" s="1"/>
  <c r="AY125" i="25"/>
  <c r="AZ125" i="25" s="1"/>
  <c r="BC125" i="25" s="1"/>
  <c r="AY117" i="25"/>
  <c r="AZ117" i="25" s="1"/>
  <c r="BC117" i="25" s="1"/>
  <c r="AY109" i="25"/>
  <c r="AZ109" i="25" s="1"/>
  <c r="BC109" i="25" s="1"/>
  <c r="AY101" i="25"/>
  <c r="AZ101" i="25" s="1"/>
  <c r="BC101" i="25" s="1"/>
  <c r="AY93" i="25"/>
  <c r="AZ93" i="25" s="1"/>
  <c r="BC93" i="25" s="1"/>
  <c r="AY85" i="25"/>
  <c r="AZ85" i="25" s="1"/>
  <c r="BC85" i="25" s="1"/>
  <c r="AY77" i="25"/>
  <c r="AZ77" i="25" s="1"/>
  <c r="BC77" i="25" s="1"/>
  <c r="AY62" i="25"/>
  <c r="AZ62" i="25" s="1"/>
  <c r="BC62" i="25" s="1"/>
  <c r="AX62" i="25"/>
  <c r="BA62" i="25" s="1"/>
  <c r="BB62" i="25" s="1"/>
  <c r="BP73" i="25"/>
  <c r="BJ71" i="25"/>
  <c r="BF68" i="25"/>
  <c r="AW66" i="25"/>
  <c r="AY66" i="25" s="1"/>
  <c r="AZ66" i="25" s="1"/>
  <c r="BC66" i="25" s="1"/>
  <c r="AX63" i="25"/>
  <c r="BA63" i="25" s="1"/>
  <c r="BB63" i="25" s="1"/>
  <c r="BF72" i="25"/>
  <c r="AW69" i="25"/>
  <c r="AY69" i="25" s="1"/>
  <c r="AZ69" i="25" s="1"/>
  <c r="BC69" i="25" s="1"/>
  <c r="BP65" i="25"/>
  <c r="BF67" i="25"/>
  <c r="AU70" i="25"/>
  <c r="AY70" i="25" s="1"/>
  <c r="AZ70" i="25" s="1"/>
  <c r="BC70" i="25" s="1"/>
  <c r="AX67" i="25"/>
  <c r="BA67" i="25" s="1"/>
  <c r="BB67" i="25" s="1"/>
  <c r="BF63" i="25"/>
  <c r="AX65" i="25"/>
  <c r="BA65" i="25" s="1"/>
  <c r="BB65" i="25" s="1"/>
  <c r="BF62" i="25"/>
  <c r="AY65" i="25"/>
  <c r="AZ65" i="25" s="1"/>
  <c r="BC65" i="25" s="1"/>
  <c r="BP68" i="25"/>
  <c r="BF66" i="25"/>
  <c r="BF64" i="25"/>
  <c r="AW63" i="25"/>
  <c r="AY63" i="25" s="1"/>
  <c r="AZ63" i="25" s="1"/>
  <c r="BC63" i="25" s="1"/>
  <c r="E43" i="89" l="1"/>
  <c r="E36" i="89"/>
  <c r="G23" i="89"/>
  <c r="E58" i="89" l="1"/>
  <c r="AT7" i="25" l="1"/>
  <c r="AT8" i="25"/>
  <c r="AT9" i="25"/>
  <c r="AT10" i="25"/>
  <c r="AT11" i="25"/>
  <c r="AT12" i="25"/>
  <c r="AT13" i="25"/>
  <c r="AT14" i="25"/>
  <c r="AT15" i="25"/>
  <c r="AT16" i="25"/>
  <c r="AT17" i="25"/>
  <c r="AT18" i="25"/>
  <c r="AT19" i="25"/>
  <c r="AT20" i="25"/>
  <c r="AT21" i="25"/>
  <c r="AT22" i="25"/>
  <c r="AT23" i="25"/>
  <c r="AT24" i="25"/>
  <c r="AT25" i="25"/>
  <c r="AT26" i="25"/>
  <c r="AT27" i="25"/>
  <c r="AT28" i="25"/>
  <c r="AT29" i="25"/>
  <c r="AT30" i="25"/>
  <c r="AT31" i="25"/>
  <c r="AT32" i="25"/>
  <c r="AT33" i="25"/>
  <c r="AT34" i="25"/>
  <c r="AT35" i="25"/>
  <c r="AT36" i="25"/>
  <c r="AT37" i="25"/>
  <c r="AT38" i="25"/>
  <c r="AT39" i="25"/>
  <c r="AT40" i="25"/>
  <c r="AT41" i="25"/>
  <c r="AT42" i="25"/>
  <c r="AT43" i="25"/>
  <c r="AT44" i="25"/>
  <c r="AT45" i="25"/>
  <c r="AT46" i="25"/>
  <c r="AT47" i="25"/>
  <c r="AT48" i="25"/>
  <c r="AT49" i="25"/>
  <c r="AT50" i="25"/>
  <c r="AT51" i="25"/>
  <c r="AT52" i="25"/>
  <c r="AT53" i="25"/>
  <c r="AT54" i="25"/>
  <c r="AT55" i="25"/>
  <c r="AT56" i="25"/>
  <c r="AT57" i="25"/>
  <c r="AT58" i="25"/>
  <c r="AT59" i="25"/>
  <c r="AT60" i="25"/>
  <c r="AT61" i="25"/>
  <c r="AU8" i="25" l="1"/>
  <c r="AU9" i="25"/>
  <c r="AU10" i="25"/>
  <c r="AU11" i="25"/>
  <c r="AU12" i="25"/>
  <c r="AU13" i="25"/>
  <c r="AU14" i="25"/>
  <c r="AU15" i="25"/>
  <c r="AU16" i="25"/>
  <c r="AU17" i="25"/>
  <c r="AU18" i="25"/>
  <c r="AU20" i="25"/>
  <c r="AU21" i="25"/>
  <c r="AU22" i="25"/>
  <c r="AU26" i="25"/>
  <c r="AU27" i="25"/>
  <c r="AU28" i="25"/>
  <c r="AU29" i="25"/>
  <c r="AU30" i="25"/>
  <c r="AU31" i="25"/>
  <c r="AU33" i="25"/>
  <c r="AU34" i="25"/>
  <c r="AU35" i="25"/>
  <c r="AU36" i="25"/>
  <c r="AU37" i="25"/>
  <c r="AU39" i="25"/>
  <c r="AU40" i="25"/>
  <c r="AU41" i="25"/>
  <c r="AU42" i="25"/>
  <c r="AU43" i="25"/>
  <c r="AU44" i="25"/>
  <c r="AU45" i="25"/>
  <c r="AU47" i="25"/>
  <c r="AU48" i="25"/>
  <c r="AU49" i="25"/>
  <c r="AU50" i="25"/>
  <c r="AU51" i="25"/>
  <c r="AU52" i="25"/>
  <c r="AU55" i="25"/>
  <c r="AU56" i="25"/>
  <c r="AU58" i="25"/>
  <c r="AU59" i="25"/>
  <c r="AU60" i="25"/>
  <c r="AU61" i="25"/>
  <c r="AU25" i="25"/>
  <c r="AU57" i="25"/>
  <c r="AV7" i="25"/>
  <c r="AW7" i="25" s="1"/>
  <c r="AV8" i="25"/>
  <c r="AW8" i="25" s="1"/>
  <c r="AV9" i="25"/>
  <c r="AW9" i="25" s="1"/>
  <c r="AV10" i="25"/>
  <c r="AV11" i="25"/>
  <c r="AW11" i="25" s="1"/>
  <c r="AV12" i="25"/>
  <c r="AW12" i="25" s="1"/>
  <c r="AV13" i="25"/>
  <c r="AW13" i="25" s="1"/>
  <c r="AV14" i="25"/>
  <c r="AW14" i="25" s="1"/>
  <c r="AV15" i="25"/>
  <c r="AW15" i="25" s="1"/>
  <c r="AV16" i="25"/>
  <c r="AW16" i="25" s="1"/>
  <c r="AV17" i="25"/>
  <c r="AW17" i="25" s="1"/>
  <c r="AV18" i="25"/>
  <c r="AW18" i="25" s="1"/>
  <c r="AV19" i="25"/>
  <c r="AW19" i="25" s="1"/>
  <c r="AV20" i="25"/>
  <c r="AW20" i="25" s="1"/>
  <c r="AV21" i="25"/>
  <c r="AW21" i="25" s="1"/>
  <c r="AV22" i="25"/>
  <c r="AW22" i="25" s="1"/>
  <c r="AV23" i="25"/>
  <c r="AW23" i="25" s="1"/>
  <c r="AV24" i="25"/>
  <c r="AW24" i="25" s="1"/>
  <c r="AV25" i="25"/>
  <c r="AW25" i="25" s="1"/>
  <c r="AV26" i="25"/>
  <c r="AW26" i="25" s="1"/>
  <c r="AV27" i="25"/>
  <c r="AW27" i="25" s="1"/>
  <c r="AV28" i="25"/>
  <c r="AV29" i="25"/>
  <c r="AW29" i="25" s="1"/>
  <c r="AV30" i="25"/>
  <c r="AW30" i="25" s="1"/>
  <c r="AV31" i="25"/>
  <c r="AW31" i="25" s="1"/>
  <c r="AV32" i="25"/>
  <c r="AW32" i="25" s="1"/>
  <c r="AV33" i="25"/>
  <c r="AW33" i="25" s="1"/>
  <c r="AV34" i="25"/>
  <c r="AW34" i="25" s="1"/>
  <c r="AV35" i="25"/>
  <c r="AW35" i="25" s="1"/>
  <c r="AV36" i="25"/>
  <c r="AW36" i="25" s="1"/>
  <c r="AV37" i="25"/>
  <c r="AW37" i="25" s="1"/>
  <c r="AV38" i="25"/>
  <c r="AW38" i="25" s="1"/>
  <c r="AV39" i="25"/>
  <c r="AW39" i="25" s="1"/>
  <c r="AV40" i="25"/>
  <c r="AW40" i="25" s="1"/>
  <c r="AV41" i="25"/>
  <c r="AW41" i="25" s="1"/>
  <c r="AV42" i="25"/>
  <c r="AV43" i="25"/>
  <c r="AW43" i="25" s="1"/>
  <c r="AV44" i="25"/>
  <c r="AV45" i="25"/>
  <c r="AW45" i="25" s="1"/>
  <c r="AV46" i="25"/>
  <c r="AW46" i="25" s="1"/>
  <c r="AV47" i="25"/>
  <c r="AW47" i="25" s="1"/>
  <c r="AV48" i="25"/>
  <c r="AW48" i="25" s="1"/>
  <c r="AV49" i="25"/>
  <c r="AV50" i="25"/>
  <c r="AV51" i="25"/>
  <c r="AW51" i="25" s="1"/>
  <c r="AV52" i="25"/>
  <c r="AW52" i="25" s="1"/>
  <c r="AV53" i="25"/>
  <c r="AW53" i="25" s="1"/>
  <c r="AV54" i="25"/>
  <c r="AW54" i="25" s="1"/>
  <c r="AV55" i="25"/>
  <c r="AW55" i="25" s="1"/>
  <c r="AV56" i="25"/>
  <c r="AW56" i="25" s="1"/>
  <c r="AV57" i="25"/>
  <c r="AW57" i="25" s="1"/>
  <c r="AV58" i="25"/>
  <c r="AV59" i="25"/>
  <c r="AV60" i="25"/>
  <c r="AW60" i="25" s="1"/>
  <c r="AV61" i="25"/>
  <c r="AW61" i="25" s="1"/>
  <c r="BD7" i="25"/>
  <c r="BD8" i="25"/>
  <c r="BD9" i="25"/>
  <c r="BD10" i="25"/>
  <c r="BD11" i="25"/>
  <c r="BD12" i="25"/>
  <c r="BD13" i="25"/>
  <c r="BD14" i="25"/>
  <c r="BD15" i="25"/>
  <c r="BD16" i="25"/>
  <c r="BD17" i="25"/>
  <c r="BD18" i="25"/>
  <c r="BD19" i="25"/>
  <c r="BD20" i="25"/>
  <c r="BD21" i="25"/>
  <c r="BD22" i="25"/>
  <c r="BD23" i="25"/>
  <c r="BD24" i="25"/>
  <c r="BD25" i="25"/>
  <c r="BD26" i="25"/>
  <c r="BD27" i="25"/>
  <c r="BD28" i="25"/>
  <c r="BD29" i="25"/>
  <c r="BD30" i="25"/>
  <c r="BD31" i="25"/>
  <c r="BD32" i="25"/>
  <c r="BD33" i="25"/>
  <c r="BD34" i="25"/>
  <c r="BD35" i="25"/>
  <c r="BD36" i="25"/>
  <c r="BD37" i="25"/>
  <c r="BD38" i="25"/>
  <c r="BD39" i="25"/>
  <c r="BD40" i="25"/>
  <c r="BD41" i="25"/>
  <c r="BD42" i="25"/>
  <c r="BD43" i="25"/>
  <c r="BD44" i="25"/>
  <c r="BD45" i="25"/>
  <c r="BD46" i="25"/>
  <c r="BD47" i="25"/>
  <c r="BD48" i="25"/>
  <c r="BD49" i="25"/>
  <c r="BD50" i="25"/>
  <c r="BD51" i="25"/>
  <c r="BD52" i="25"/>
  <c r="BD53" i="25"/>
  <c r="BD54" i="25"/>
  <c r="BD55" i="25"/>
  <c r="BD56" i="25"/>
  <c r="BD57" i="25"/>
  <c r="BD58" i="25"/>
  <c r="BD59" i="25"/>
  <c r="BD60" i="25"/>
  <c r="BD61" i="25"/>
  <c r="BF7" i="25"/>
  <c r="BF8" i="25"/>
  <c r="BF9" i="25"/>
  <c r="BF10" i="25"/>
  <c r="BF11" i="25"/>
  <c r="BJ12" i="25"/>
  <c r="BF13" i="25"/>
  <c r="BF14" i="25"/>
  <c r="BJ15" i="25"/>
  <c r="BF16" i="25"/>
  <c r="BJ17" i="25"/>
  <c r="BJ18" i="25"/>
  <c r="BF19" i="25"/>
  <c r="BF20" i="25"/>
  <c r="BF21" i="25"/>
  <c r="BF22" i="25"/>
  <c r="BF23" i="25"/>
  <c r="BJ24" i="25"/>
  <c r="BF25" i="25"/>
  <c r="BF26" i="25"/>
  <c r="BJ27" i="25"/>
  <c r="BF28" i="25"/>
  <c r="BJ29" i="25"/>
  <c r="BJ30" i="25"/>
  <c r="BF31" i="25"/>
  <c r="BF32" i="25"/>
  <c r="BF33" i="25"/>
  <c r="BJ34" i="25"/>
  <c r="BJ35" i="25"/>
  <c r="BF36" i="25"/>
  <c r="BF37" i="25"/>
  <c r="BF38" i="25"/>
  <c r="BF39" i="25"/>
  <c r="BJ40" i="25"/>
  <c r="BJ41" i="25"/>
  <c r="BJ42" i="25"/>
  <c r="BF43" i="25"/>
  <c r="BF44" i="25"/>
  <c r="BF45" i="25"/>
  <c r="BF46" i="25"/>
  <c r="BJ47" i="25"/>
  <c r="BF48" i="25"/>
  <c r="BJ49" i="25"/>
  <c r="BF50" i="25"/>
  <c r="BF51" i="25"/>
  <c r="BJ52" i="25"/>
  <c r="BF53" i="25"/>
  <c r="BF54" i="25"/>
  <c r="BF55" i="25"/>
  <c r="BJ56" i="25"/>
  <c r="BF57" i="25"/>
  <c r="BF58" i="25"/>
  <c r="BF59" i="25"/>
  <c r="BF60" i="25"/>
  <c r="BJ61" i="25"/>
  <c r="BG7" i="25"/>
  <c r="BG8" i="25"/>
  <c r="BG9" i="25"/>
  <c r="BG10" i="25"/>
  <c r="BG11" i="25"/>
  <c r="BG12" i="25"/>
  <c r="BG13" i="25"/>
  <c r="BG14" i="25"/>
  <c r="BG15" i="25"/>
  <c r="BG16" i="25"/>
  <c r="BG17" i="25"/>
  <c r="BG18" i="25"/>
  <c r="BG19" i="25"/>
  <c r="BG20" i="25"/>
  <c r="BG21" i="25"/>
  <c r="BG22" i="25"/>
  <c r="BG23" i="25"/>
  <c r="BG24" i="25"/>
  <c r="BG25" i="25"/>
  <c r="BG26" i="25"/>
  <c r="BG27" i="25"/>
  <c r="BG28" i="25"/>
  <c r="BG29" i="25"/>
  <c r="BG30" i="25"/>
  <c r="BG31" i="25"/>
  <c r="BG32" i="25"/>
  <c r="BG33" i="25"/>
  <c r="BG34" i="25"/>
  <c r="BG35" i="25"/>
  <c r="BG36" i="25"/>
  <c r="BG37" i="25"/>
  <c r="BG38" i="25"/>
  <c r="BG39" i="25"/>
  <c r="BG40" i="25"/>
  <c r="BG41" i="25"/>
  <c r="BG42" i="25"/>
  <c r="BG43" i="25"/>
  <c r="BG44" i="25"/>
  <c r="BG45" i="25"/>
  <c r="BG46" i="25"/>
  <c r="BG47" i="25"/>
  <c r="BG48" i="25"/>
  <c r="BG49" i="25"/>
  <c r="BG50" i="25"/>
  <c r="BG51" i="25"/>
  <c r="BG52" i="25"/>
  <c r="BG53" i="25"/>
  <c r="BG54" i="25"/>
  <c r="BG55" i="25"/>
  <c r="BG56" i="25"/>
  <c r="BG57" i="25"/>
  <c r="BG58" i="25"/>
  <c r="BG59" i="25"/>
  <c r="BG60" i="25"/>
  <c r="BG61" i="25"/>
  <c r="BH7" i="25"/>
  <c r="BI7" i="25" s="1"/>
  <c r="BH8" i="25"/>
  <c r="BI8" i="25" s="1"/>
  <c r="BH9" i="25"/>
  <c r="BI9" i="25" s="1"/>
  <c r="BH10" i="25"/>
  <c r="BI10" i="25" s="1"/>
  <c r="BH11" i="25"/>
  <c r="BI11" i="25" s="1"/>
  <c r="BH12" i="25"/>
  <c r="BI12" i="25" s="1"/>
  <c r="BH13" i="25"/>
  <c r="BI13" i="25" s="1"/>
  <c r="BH14" i="25"/>
  <c r="BI14" i="25" s="1"/>
  <c r="BH15" i="25"/>
  <c r="BI15" i="25" s="1"/>
  <c r="BH16" i="25"/>
  <c r="BI16" i="25" s="1"/>
  <c r="BH17" i="25"/>
  <c r="BI17" i="25" s="1"/>
  <c r="BH18" i="25"/>
  <c r="BI18" i="25" s="1"/>
  <c r="BH19" i="25"/>
  <c r="BI19" i="25" s="1"/>
  <c r="BH20" i="25"/>
  <c r="BI20" i="25" s="1"/>
  <c r="BH21" i="25"/>
  <c r="BI21" i="25" s="1"/>
  <c r="BH22" i="25"/>
  <c r="BI22" i="25" s="1"/>
  <c r="BH23" i="25"/>
  <c r="BI23" i="25" s="1"/>
  <c r="BH24" i="25"/>
  <c r="BI24" i="25" s="1"/>
  <c r="BH25" i="25"/>
  <c r="BI25" i="25" s="1"/>
  <c r="BH26" i="25"/>
  <c r="BI26" i="25" s="1"/>
  <c r="BH27" i="25"/>
  <c r="BI27" i="25" s="1"/>
  <c r="BH28" i="25"/>
  <c r="BI28" i="25" s="1"/>
  <c r="BH29" i="25"/>
  <c r="BI29" i="25" s="1"/>
  <c r="BH30" i="25"/>
  <c r="BI30" i="25" s="1"/>
  <c r="BH31" i="25"/>
  <c r="BI31" i="25" s="1"/>
  <c r="BH32" i="25"/>
  <c r="BI32" i="25" s="1"/>
  <c r="BH33" i="25"/>
  <c r="BI33" i="25" s="1"/>
  <c r="BH34" i="25"/>
  <c r="BI34" i="25" s="1"/>
  <c r="BH35" i="25"/>
  <c r="BI35" i="25" s="1"/>
  <c r="BH36" i="25"/>
  <c r="BI36" i="25" s="1"/>
  <c r="BH37" i="25"/>
  <c r="BI37" i="25" s="1"/>
  <c r="BH38" i="25"/>
  <c r="BI38" i="25" s="1"/>
  <c r="BH39" i="25"/>
  <c r="BI39" i="25" s="1"/>
  <c r="BH40" i="25"/>
  <c r="BI40" i="25" s="1"/>
  <c r="BH41" i="25"/>
  <c r="BI41" i="25" s="1"/>
  <c r="BH42" i="25"/>
  <c r="BI42" i="25" s="1"/>
  <c r="BH43" i="25"/>
  <c r="BI43" i="25" s="1"/>
  <c r="BH44" i="25"/>
  <c r="BI44" i="25" s="1"/>
  <c r="BH45" i="25"/>
  <c r="BI45" i="25" s="1"/>
  <c r="BH46" i="25"/>
  <c r="BI46" i="25" s="1"/>
  <c r="BH47" i="25"/>
  <c r="BI47" i="25" s="1"/>
  <c r="BH48" i="25"/>
  <c r="BI48" i="25" s="1"/>
  <c r="BH49" i="25"/>
  <c r="BI49" i="25" s="1"/>
  <c r="BH50" i="25"/>
  <c r="BI50" i="25" s="1"/>
  <c r="BH51" i="25"/>
  <c r="BI51" i="25" s="1"/>
  <c r="BH52" i="25"/>
  <c r="BI52" i="25" s="1"/>
  <c r="BH53" i="25"/>
  <c r="BI53" i="25" s="1"/>
  <c r="BH54" i="25"/>
  <c r="BI54" i="25" s="1"/>
  <c r="BH55" i="25"/>
  <c r="BI55" i="25" s="1"/>
  <c r="BH56" i="25"/>
  <c r="BI56" i="25" s="1"/>
  <c r="BH57" i="25"/>
  <c r="BI57" i="25" s="1"/>
  <c r="BH58" i="25"/>
  <c r="BI58" i="25" s="1"/>
  <c r="BH59" i="25"/>
  <c r="BI59" i="25" s="1"/>
  <c r="BH60" i="25"/>
  <c r="BI60" i="25" s="1"/>
  <c r="BH61" i="25"/>
  <c r="BI61" i="25" s="1"/>
  <c r="BK7" i="25"/>
  <c r="BP7" i="25" s="1"/>
  <c r="BK8" i="25"/>
  <c r="BP8" i="25" s="1"/>
  <c r="BK9" i="25"/>
  <c r="BP9" i="25" s="1"/>
  <c r="BK10" i="25"/>
  <c r="BP10" i="25" s="1"/>
  <c r="BK11" i="25"/>
  <c r="BP11" i="25" s="1"/>
  <c r="BK12" i="25"/>
  <c r="BP12" i="25" s="1"/>
  <c r="BK13" i="25"/>
  <c r="BP13" i="25" s="1"/>
  <c r="BK14" i="25"/>
  <c r="BP14" i="25" s="1"/>
  <c r="BK15" i="25"/>
  <c r="BP15" i="25" s="1"/>
  <c r="BK16" i="25"/>
  <c r="BP16" i="25" s="1"/>
  <c r="BK17" i="25"/>
  <c r="BP17" i="25" s="1"/>
  <c r="BK18" i="25"/>
  <c r="BP18" i="25" s="1"/>
  <c r="BK19" i="25"/>
  <c r="BP19" i="25" s="1"/>
  <c r="BK20" i="25"/>
  <c r="BP20" i="25" s="1"/>
  <c r="BK21" i="25"/>
  <c r="BP21" i="25" s="1"/>
  <c r="BK22" i="25"/>
  <c r="BP22" i="25" s="1"/>
  <c r="BK23" i="25"/>
  <c r="BP23" i="25" s="1"/>
  <c r="BK24" i="25"/>
  <c r="BP24" i="25" s="1"/>
  <c r="BK25" i="25"/>
  <c r="BP25" i="25" s="1"/>
  <c r="BK26" i="25"/>
  <c r="BP26" i="25" s="1"/>
  <c r="BK27" i="25"/>
  <c r="BP27" i="25" s="1"/>
  <c r="BK28" i="25"/>
  <c r="BP28" i="25" s="1"/>
  <c r="BK29" i="25"/>
  <c r="BP29" i="25" s="1"/>
  <c r="BK30" i="25"/>
  <c r="BP30" i="25" s="1"/>
  <c r="BK31" i="25"/>
  <c r="BP31" i="25" s="1"/>
  <c r="BK32" i="25"/>
  <c r="BP32" i="25" s="1"/>
  <c r="BK33" i="25"/>
  <c r="BP33" i="25" s="1"/>
  <c r="BK34" i="25"/>
  <c r="BP34" i="25" s="1"/>
  <c r="BK35" i="25"/>
  <c r="BP35" i="25" s="1"/>
  <c r="BK36" i="25"/>
  <c r="BP36" i="25" s="1"/>
  <c r="BK37" i="25"/>
  <c r="BP37" i="25" s="1"/>
  <c r="BK38" i="25"/>
  <c r="BP38" i="25" s="1"/>
  <c r="BK39" i="25"/>
  <c r="BP39" i="25" s="1"/>
  <c r="BK40" i="25"/>
  <c r="BP40" i="25" s="1"/>
  <c r="BK41" i="25"/>
  <c r="BP41" i="25" s="1"/>
  <c r="BK42" i="25"/>
  <c r="BP42" i="25" s="1"/>
  <c r="BK43" i="25"/>
  <c r="BP43" i="25" s="1"/>
  <c r="BK44" i="25"/>
  <c r="BP44" i="25" s="1"/>
  <c r="BK45" i="25"/>
  <c r="BP45" i="25" s="1"/>
  <c r="BK46" i="25"/>
  <c r="BP46" i="25" s="1"/>
  <c r="BK47" i="25"/>
  <c r="BP47" i="25" s="1"/>
  <c r="BK48" i="25"/>
  <c r="BP48" i="25" s="1"/>
  <c r="BK49" i="25"/>
  <c r="BP49" i="25" s="1"/>
  <c r="BK50" i="25"/>
  <c r="BP50" i="25" s="1"/>
  <c r="BK51" i="25"/>
  <c r="BP51" i="25" s="1"/>
  <c r="BK52" i="25"/>
  <c r="BP52" i="25" s="1"/>
  <c r="BK53" i="25"/>
  <c r="BP53" i="25" s="1"/>
  <c r="BK54" i="25"/>
  <c r="BP54" i="25" s="1"/>
  <c r="BK55" i="25"/>
  <c r="BP55" i="25" s="1"/>
  <c r="BK56" i="25"/>
  <c r="BP56" i="25" s="1"/>
  <c r="BK57" i="25"/>
  <c r="BP57" i="25" s="1"/>
  <c r="BK58" i="25"/>
  <c r="BP58" i="25" s="1"/>
  <c r="BK59" i="25"/>
  <c r="BP59" i="25" s="1"/>
  <c r="BK60" i="25"/>
  <c r="BP60" i="25" s="1"/>
  <c r="BK61" i="25"/>
  <c r="BP61" i="25" s="1"/>
  <c r="BL7" i="25"/>
  <c r="BL8" i="25"/>
  <c r="BL9" i="25"/>
  <c r="BL10" i="25"/>
  <c r="BL11" i="25"/>
  <c r="BL12" i="25"/>
  <c r="BL13" i="25"/>
  <c r="BL14" i="25"/>
  <c r="BL15" i="25"/>
  <c r="BL16" i="25"/>
  <c r="BL17" i="25"/>
  <c r="BL18" i="25"/>
  <c r="BL19" i="25"/>
  <c r="BL20" i="25"/>
  <c r="BL21" i="25"/>
  <c r="BL22" i="25"/>
  <c r="BL23" i="25"/>
  <c r="BL24" i="25"/>
  <c r="BL25" i="25"/>
  <c r="BL26" i="25"/>
  <c r="BL27" i="25"/>
  <c r="BL28" i="25"/>
  <c r="BL29" i="25"/>
  <c r="BL30" i="25"/>
  <c r="BL31" i="25"/>
  <c r="BL32" i="25"/>
  <c r="BL33" i="25"/>
  <c r="BL34" i="25"/>
  <c r="BL35" i="25"/>
  <c r="BL36" i="25"/>
  <c r="BL37" i="25"/>
  <c r="BL38" i="25"/>
  <c r="BL39" i="25"/>
  <c r="BL40" i="25"/>
  <c r="BL41" i="25"/>
  <c r="BL42" i="25"/>
  <c r="BL43" i="25"/>
  <c r="BL44" i="25"/>
  <c r="BL45" i="25"/>
  <c r="BL46" i="25"/>
  <c r="BL47" i="25"/>
  <c r="BL48" i="25"/>
  <c r="BL49" i="25"/>
  <c r="BL50" i="25"/>
  <c r="BL51" i="25"/>
  <c r="BL52" i="25"/>
  <c r="BL53" i="25"/>
  <c r="BL54" i="25"/>
  <c r="BL55" i="25"/>
  <c r="BL56" i="25"/>
  <c r="BL57" i="25"/>
  <c r="BL58" i="25"/>
  <c r="BL59" i="25"/>
  <c r="BL60" i="25"/>
  <c r="BL61" i="25"/>
  <c r="BR7" i="25"/>
  <c r="BR8" i="25"/>
  <c r="BR9" i="25"/>
  <c r="BR10" i="25"/>
  <c r="BR11" i="25"/>
  <c r="BR12" i="25"/>
  <c r="BR13" i="25"/>
  <c r="BR14" i="25"/>
  <c r="BR15" i="25"/>
  <c r="BR16" i="25"/>
  <c r="BR17" i="25"/>
  <c r="BR18" i="25"/>
  <c r="BR19" i="25"/>
  <c r="BR20" i="25"/>
  <c r="BR21" i="25"/>
  <c r="BR22" i="25"/>
  <c r="BR23" i="25"/>
  <c r="BR24" i="25"/>
  <c r="BR25" i="25"/>
  <c r="BR26" i="25"/>
  <c r="BR27" i="25"/>
  <c r="BR28" i="25"/>
  <c r="BR29" i="25"/>
  <c r="BR30" i="25"/>
  <c r="BR31" i="25"/>
  <c r="BR32" i="25"/>
  <c r="BR33" i="25"/>
  <c r="BR34" i="25"/>
  <c r="BR35" i="25"/>
  <c r="BR36" i="25"/>
  <c r="BR37" i="25"/>
  <c r="BR38" i="25"/>
  <c r="BR39" i="25"/>
  <c r="BR40" i="25"/>
  <c r="BR41" i="25"/>
  <c r="BR42" i="25"/>
  <c r="BR43" i="25"/>
  <c r="BR44" i="25"/>
  <c r="BR45" i="25"/>
  <c r="BR46" i="25"/>
  <c r="BR47" i="25"/>
  <c r="BR48" i="25"/>
  <c r="BR49" i="25"/>
  <c r="BR50" i="25"/>
  <c r="BR51" i="25"/>
  <c r="BR52" i="25"/>
  <c r="BR53" i="25"/>
  <c r="BR54" i="25"/>
  <c r="BR55" i="25"/>
  <c r="BR56" i="25"/>
  <c r="BR57" i="25"/>
  <c r="BR58" i="25"/>
  <c r="BR59" i="25"/>
  <c r="BR60" i="25"/>
  <c r="BR61" i="25"/>
  <c r="BT7" i="25"/>
  <c r="BT8" i="25"/>
  <c r="BT9" i="25"/>
  <c r="BT10" i="25"/>
  <c r="BT11" i="25"/>
  <c r="BT12" i="25"/>
  <c r="BT13" i="25"/>
  <c r="BT14" i="25"/>
  <c r="BT15" i="25"/>
  <c r="BT16" i="25"/>
  <c r="BT17" i="25"/>
  <c r="BT18" i="25"/>
  <c r="BT19" i="25"/>
  <c r="BT20" i="25"/>
  <c r="BT21" i="25"/>
  <c r="BT22" i="25"/>
  <c r="BT23" i="25"/>
  <c r="BT24" i="25"/>
  <c r="BT25" i="25"/>
  <c r="BT26" i="25"/>
  <c r="BT27" i="25"/>
  <c r="BT28" i="25"/>
  <c r="BT29" i="25"/>
  <c r="BT30" i="25"/>
  <c r="BT31" i="25"/>
  <c r="BT32" i="25"/>
  <c r="BT33" i="25"/>
  <c r="BT34" i="25"/>
  <c r="BT35" i="25"/>
  <c r="BT36" i="25"/>
  <c r="BT37" i="25"/>
  <c r="BT38" i="25"/>
  <c r="BT39" i="25"/>
  <c r="BT40" i="25"/>
  <c r="BT41" i="25"/>
  <c r="BT42" i="25"/>
  <c r="BT43" i="25"/>
  <c r="BT44" i="25"/>
  <c r="BT45" i="25"/>
  <c r="BT46" i="25"/>
  <c r="BT47" i="25"/>
  <c r="BT48" i="25"/>
  <c r="BT49" i="25"/>
  <c r="BT50" i="25"/>
  <c r="BT51" i="25"/>
  <c r="BT52" i="25"/>
  <c r="BT53" i="25"/>
  <c r="BT54" i="25"/>
  <c r="BT55" i="25"/>
  <c r="BT56" i="25"/>
  <c r="BT57" i="25"/>
  <c r="BT58" i="25"/>
  <c r="BT59" i="25"/>
  <c r="BT60" i="25"/>
  <c r="BT61" i="25"/>
  <c r="BU7" i="25"/>
  <c r="BU8" i="25"/>
  <c r="BU9" i="25"/>
  <c r="BU10" i="25"/>
  <c r="BU11" i="25"/>
  <c r="BU12" i="25"/>
  <c r="BU13" i="25"/>
  <c r="BU14" i="25"/>
  <c r="BU15" i="25"/>
  <c r="BU16" i="25"/>
  <c r="BU17" i="25"/>
  <c r="BU18" i="25"/>
  <c r="BU19" i="25"/>
  <c r="BU20" i="25"/>
  <c r="BU21" i="25"/>
  <c r="BU22" i="25"/>
  <c r="BU23" i="25"/>
  <c r="BU24" i="25"/>
  <c r="BU25" i="25"/>
  <c r="BU26" i="25"/>
  <c r="BU27" i="25"/>
  <c r="BU28" i="25"/>
  <c r="BU29" i="25"/>
  <c r="BU30" i="25"/>
  <c r="BU31" i="25"/>
  <c r="BU32" i="25"/>
  <c r="BU33" i="25"/>
  <c r="BU34" i="25"/>
  <c r="BU35" i="25"/>
  <c r="BU36" i="25"/>
  <c r="BU37" i="25"/>
  <c r="BU38" i="25"/>
  <c r="BU39" i="25"/>
  <c r="BU40" i="25"/>
  <c r="BU41" i="25"/>
  <c r="BU42" i="25"/>
  <c r="BU43" i="25"/>
  <c r="BU44" i="25"/>
  <c r="BU45" i="25"/>
  <c r="BU46" i="25"/>
  <c r="BU47" i="25"/>
  <c r="BU48" i="25"/>
  <c r="BU49" i="25"/>
  <c r="BU50" i="25"/>
  <c r="BU51" i="25"/>
  <c r="BU52" i="25"/>
  <c r="BU53" i="25"/>
  <c r="BU54" i="25"/>
  <c r="BU55" i="25"/>
  <c r="BU56" i="25"/>
  <c r="BU57" i="25"/>
  <c r="BU58" i="25"/>
  <c r="BU59" i="25"/>
  <c r="BU60" i="25"/>
  <c r="BU61" i="25"/>
  <c r="BV7" i="25"/>
  <c r="BV8" i="25"/>
  <c r="BV9" i="25"/>
  <c r="BV10" i="25"/>
  <c r="BV11" i="25"/>
  <c r="BV12" i="25"/>
  <c r="BV13" i="25"/>
  <c r="BV14" i="25"/>
  <c r="BV15" i="25"/>
  <c r="BV16" i="25"/>
  <c r="BV17" i="25"/>
  <c r="BV18" i="25"/>
  <c r="BV19" i="25"/>
  <c r="BV20" i="25"/>
  <c r="BV21" i="25"/>
  <c r="BV22" i="25"/>
  <c r="BV23" i="25"/>
  <c r="BV24" i="25"/>
  <c r="BV25" i="25"/>
  <c r="BV26" i="25"/>
  <c r="BV27" i="25"/>
  <c r="BV28" i="25"/>
  <c r="BV29" i="25"/>
  <c r="BV30" i="25"/>
  <c r="BV31" i="25"/>
  <c r="BV32" i="25"/>
  <c r="BV33" i="25"/>
  <c r="BV34" i="25"/>
  <c r="BV35" i="25"/>
  <c r="BV36" i="25"/>
  <c r="BV37" i="25"/>
  <c r="BV38" i="25"/>
  <c r="BV39" i="25"/>
  <c r="BV40" i="25"/>
  <c r="BV41" i="25"/>
  <c r="BV42" i="25"/>
  <c r="BV43" i="25"/>
  <c r="BV44" i="25"/>
  <c r="BV45" i="25"/>
  <c r="BV46" i="25"/>
  <c r="BV47" i="25"/>
  <c r="BV48" i="25"/>
  <c r="BV49" i="25"/>
  <c r="BV50" i="25"/>
  <c r="BV51" i="25"/>
  <c r="BV52" i="25"/>
  <c r="BV53" i="25"/>
  <c r="BV54" i="25"/>
  <c r="BV55" i="25"/>
  <c r="BV56" i="25"/>
  <c r="BV57" i="25"/>
  <c r="BV58" i="25"/>
  <c r="BV59" i="25"/>
  <c r="BV60" i="25"/>
  <c r="BV61" i="25"/>
  <c r="BW7" i="25"/>
  <c r="BW8" i="25"/>
  <c r="BW9" i="25"/>
  <c r="BW10" i="25"/>
  <c r="BW11" i="25"/>
  <c r="BW12" i="25"/>
  <c r="BW13" i="25"/>
  <c r="BW14" i="25"/>
  <c r="BW15" i="25"/>
  <c r="BW16" i="25"/>
  <c r="BW17" i="25"/>
  <c r="BW18" i="25"/>
  <c r="BW19" i="25"/>
  <c r="BW20" i="25"/>
  <c r="BW21" i="25"/>
  <c r="BW22" i="25"/>
  <c r="BW23" i="25"/>
  <c r="BW24" i="25"/>
  <c r="BW25" i="25"/>
  <c r="BW26" i="25"/>
  <c r="BW27" i="25"/>
  <c r="BW28" i="25"/>
  <c r="BW29" i="25"/>
  <c r="BW30" i="25"/>
  <c r="BW31" i="25"/>
  <c r="BW32" i="25"/>
  <c r="BW33" i="25"/>
  <c r="BW34" i="25"/>
  <c r="BW35" i="25"/>
  <c r="BW36" i="25"/>
  <c r="BW37" i="25"/>
  <c r="BW38" i="25"/>
  <c r="BW39" i="25"/>
  <c r="BW40" i="25"/>
  <c r="BW41" i="25"/>
  <c r="BW42" i="25"/>
  <c r="BW43" i="25"/>
  <c r="BW44" i="25"/>
  <c r="BW45" i="25"/>
  <c r="BW46" i="25"/>
  <c r="BW47" i="25"/>
  <c r="BW48" i="25"/>
  <c r="BW49" i="25"/>
  <c r="BW50" i="25"/>
  <c r="BW51" i="25"/>
  <c r="BW52" i="25"/>
  <c r="BW53" i="25"/>
  <c r="BW54" i="25"/>
  <c r="BW55" i="25"/>
  <c r="BW56" i="25"/>
  <c r="BW57" i="25"/>
  <c r="BW58" i="25"/>
  <c r="BW59" i="25"/>
  <c r="BW60" i="25"/>
  <c r="BW61" i="25"/>
  <c r="BX7" i="25"/>
  <c r="BX8" i="25"/>
  <c r="BX9" i="25"/>
  <c r="BX10" i="25"/>
  <c r="BX11" i="25"/>
  <c r="BX12" i="25"/>
  <c r="BX13" i="25"/>
  <c r="BX14" i="25"/>
  <c r="BX15" i="25"/>
  <c r="BX16" i="25"/>
  <c r="BX17" i="25"/>
  <c r="BX18" i="25"/>
  <c r="BX19" i="25"/>
  <c r="BX20" i="25"/>
  <c r="BX21" i="25"/>
  <c r="BX22" i="25"/>
  <c r="BX23" i="25"/>
  <c r="BX24" i="25"/>
  <c r="BX25" i="25"/>
  <c r="BX26" i="25"/>
  <c r="BX27" i="25"/>
  <c r="BX28" i="25"/>
  <c r="BX29" i="25"/>
  <c r="BX30" i="25"/>
  <c r="BX31" i="25"/>
  <c r="BX32" i="25"/>
  <c r="BX33" i="25"/>
  <c r="BX34" i="25"/>
  <c r="BX35" i="25"/>
  <c r="BX36" i="25"/>
  <c r="BX37" i="25"/>
  <c r="BX38" i="25"/>
  <c r="BX39" i="25"/>
  <c r="BX40" i="25"/>
  <c r="BX41" i="25"/>
  <c r="BX42" i="25"/>
  <c r="BX43" i="25"/>
  <c r="BX44" i="25"/>
  <c r="BX45" i="25"/>
  <c r="BX46" i="25"/>
  <c r="BX47" i="25"/>
  <c r="BX48" i="25"/>
  <c r="BX49" i="25"/>
  <c r="BX50" i="25"/>
  <c r="BX51" i="25"/>
  <c r="BX52" i="25"/>
  <c r="BX53" i="25"/>
  <c r="BX54" i="25"/>
  <c r="BX55" i="25"/>
  <c r="BX56" i="25"/>
  <c r="BX57" i="25"/>
  <c r="BX58" i="25"/>
  <c r="BX59" i="25"/>
  <c r="BX60" i="25"/>
  <c r="BX61" i="25"/>
  <c r="BY7" i="25"/>
  <c r="BY8" i="25"/>
  <c r="BY9" i="25"/>
  <c r="BY10" i="25"/>
  <c r="BY11" i="25"/>
  <c r="BY12" i="25"/>
  <c r="BY13" i="25"/>
  <c r="BY14" i="25"/>
  <c r="BY15" i="25"/>
  <c r="BY16" i="25"/>
  <c r="BY17" i="25"/>
  <c r="BY18" i="25"/>
  <c r="BY19" i="25"/>
  <c r="BY20" i="25"/>
  <c r="BY21" i="25"/>
  <c r="BY22" i="25"/>
  <c r="BY23" i="25"/>
  <c r="BY24" i="25"/>
  <c r="BY25" i="25"/>
  <c r="BY26" i="25"/>
  <c r="BY27" i="25"/>
  <c r="BY28" i="25"/>
  <c r="BY29" i="25"/>
  <c r="BY30" i="25"/>
  <c r="BY31" i="25"/>
  <c r="BY32" i="25"/>
  <c r="BY33" i="25"/>
  <c r="BY34" i="25"/>
  <c r="BY35" i="25"/>
  <c r="BY36" i="25"/>
  <c r="BY37" i="25"/>
  <c r="BY38" i="25"/>
  <c r="BY39" i="25"/>
  <c r="BY40" i="25"/>
  <c r="BY41" i="25"/>
  <c r="BY42" i="25"/>
  <c r="BY43" i="25"/>
  <c r="BY44" i="25"/>
  <c r="BY45" i="25"/>
  <c r="BY46" i="25"/>
  <c r="BY47" i="25"/>
  <c r="BY48" i="25"/>
  <c r="BY49" i="25"/>
  <c r="BY50" i="25"/>
  <c r="BY51" i="25"/>
  <c r="BY52" i="25"/>
  <c r="BY53" i="25"/>
  <c r="BY54" i="25"/>
  <c r="BY55" i="25"/>
  <c r="BY56" i="25"/>
  <c r="BY57" i="25"/>
  <c r="BY58" i="25"/>
  <c r="BY59" i="25"/>
  <c r="BY60" i="25"/>
  <c r="BY61" i="25"/>
  <c r="BZ7" i="25"/>
  <c r="BZ8" i="25"/>
  <c r="BZ9" i="25"/>
  <c r="BZ10" i="25"/>
  <c r="BZ11" i="25"/>
  <c r="BZ12" i="25"/>
  <c r="BZ13" i="25"/>
  <c r="BZ14" i="25"/>
  <c r="BZ15" i="25"/>
  <c r="BZ16" i="25"/>
  <c r="BZ17" i="25"/>
  <c r="BZ18" i="25"/>
  <c r="BZ19" i="25"/>
  <c r="BZ20" i="25"/>
  <c r="BZ21" i="25"/>
  <c r="BZ22" i="25"/>
  <c r="BZ23" i="25"/>
  <c r="BZ24" i="25"/>
  <c r="BZ25" i="25"/>
  <c r="BZ26" i="25"/>
  <c r="BZ27" i="25"/>
  <c r="BZ28" i="25"/>
  <c r="BZ29" i="25"/>
  <c r="BZ30" i="25"/>
  <c r="BZ31" i="25"/>
  <c r="BZ32" i="25"/>
  <c r="BZ33" i="25"/>
  <c r="BZ34" i="25"/>
  <c r="BZ35" i="25"/>
  <c r="BZ36" i="25"/>
  <c r="BZ37" i="25"/>
  <c r="BZ38" i="25"/>
  <c r="BZ39" i="25"/>
  <c r="BZ40" i="25"/>
  <c r="BZ41" i="25"/>
  <c r="BZ42" i="25"/>
  <c r="BZ43" i="25"/>
  <c r="BZ44" i="25"/>
  <c r="BZ45" i="25"/>
  <c r="BZ46" i="25"/>
  <c r="BZ47" i="25"/>
  <c r="BZ48" i="25"/>
  <c r="BZ49" i="25"/>
  <c r="BZ50" i="25"/>
  <c r="BZ51" i="25"/>
  <c r="BZ52" i="25"/>
  <c r="BZ53" i="25"/>
  <c r="BZ54" i="25"/>
  <c r="BZ55" i="25"/>
  <c r="BZ56" i="25"/>
  <c r="BZ57" i="25"/>
  <c r="BZ58" i="25"/>
  <c r="BZ59" i="25"/>
  <c r="BZ60" i="25"/>
  <c r="BZ61" i="25"/>
  <c r="CA7" i="25"/>
  <c r="CA8" i="25"/>
  <c r="CA9" i="25"/>
  <c r="CA10" i="25"/>
  <c r="CA11" i="25"/>
  <c r="CA12" i="25"/>
  <c r="CA13" i="25"/>
  <c r="CA14" i="25"/>
  <c r="CA15" i="25"/>
  <c r="CA16" i="25"/>
  <c r="CA17" i="25"/>
  <c r="CA18" i="25"/>
  <c r="CA19" i="25"/>
  <c r="CA20" i="25"/>
  <c r="CA21" i="25"/>
  <c r="CA22" i="25"/>
  <c r="CA23" i="25"/>
  <c r="CA24" i="25"/>
  <c r="CA25" i="25"/>
  <c r="CA26" i="25"/>
  <c r="CA27" i="25"/>
  <c r="CA28" i="25"/>
  <c r="CA29" i="25"/>
  <c r="CA30" i="25"/>
  <c r="CA31" i="25"/>
  <c r="CA32" i="25"/>
  <c r="CA33" i="25"/>
  <c r="CA34" i="25"/>
  <c r="CA35" i="25"/>
  <c r="CA36" i="25"/>
  <c r="CA37" i="25"/>
  <c r="CA38" i="25"/>
  <c r="CA39" i="25"/>
  <c r="CA40" i="25"/>
  <c r="CA41" i="25"/>
  <c r="CA42" i="25"/>
  <c r="CA43" i="25"/>
  <c r="CA44" i="25"/>
  <c r="CA45" i="25"/>
  <c r="CA46" i="25"/>
  <c r="CA47" i="25"/>
  <c r="CA48" i="25"/>
  <c r="CA49" i="25"/>
  <c r="CA50" i="25"/>
  <c r="CA51" i="25"/>
  <c r="CA52" i="25"/>
  <c r="CA53" i="25"/>
  <c r="CA54" i="25"/>
  <c r="CA55" i="25"/>
  <c r="CA56" i="25"/>
  <c r="CA57" i="25"/>
  <c r="CA58" i="25"/>
  <c r="CA59" i="25"/>
  <c r="CA60" i="25"/>
  <c r="CA61" i="25"/>
  <c r="G33" i="89"/>
  <c r="G40" i="89"/>
  <c r="G19" i="89"/>
  <c r="G26" i="89"/>
  <c r="G22" i="89" l="1"/>
  <c r="G29" i="89"/>
  <c r="G43" i="89"/>
  <c r="BF29" i="25"/>
  <c r="L33" i="89"/>
  <c r="M33" i="89"/>
  <c r="K33" i="89"/>
  <c r="N33" i="89"/>
  <c r="H33" i="89"/>
  <c r="I33" i="89" s="1"/>
  <c r="O33" i="89"/>
  <c r="J33" i="89"/>
  <c r="K40" i="89"/>
  <c r="L40" i="89"/>
  <c r="O40" i="89"/>
  <c r="J40" i="89"/>
  <c r="M40" i="89"/>
  <c r="N40" i="89"/>
  <c r="H40" i="89"/>
  <c r="I40" i="89" s="1"/>
  <c r="BJ11" i="25"/>
  <c r="BJ39" i="25"/>
  <c r="AX44" i="25"/>
  <c r="BA44" i="25" s="1"/>
  <c r="BB44" i="25" s="1"/>
  <c r="BJ51" i="25"/>
  <c r="BF17" i="25"/>
  <c r="AY43" i="25"/>
  <c r="AZ43" i="25" s="1"/>
  <c r="BC43" i="25" s="1"/>
  <c r="BS50" i="25"/>
  <c r="BM50" i="25" s="1"/>
  <c r="BN50" i="25" s="1"/>
  <c r="BO50" i="25" s="1"/>
  <c r="BS39" i="25"/>
  <c r="BM39" i="25" s="1"/>
  <c r="BN39" i="25" s="1"/>
  <c r="BO39" i="25" s="1"/>
  <c r="BJ59" i="25"/>
  <c r="BF30" i="25"/>
  <c r="AX17" i="25"/>
  <c r="BA17" i="25" s="1"/>
  <c r="BB17" i="25" s="1"/>
  <c r="BJ43" i="25"/>
  <c r="BF15" i="25"/>
  <c r="AX49" i="25"/>
  <c r="BA49" i="25" s="1"/>
  <c r="BB49" i="25" s="1"/>
  <c r="AX51" i="25"/>
  <c r="BA51" i="25" s="1"/>
  <c r="BB51" i="25" s="1"/>
  <c r="AY12" i="25"/>
  <c r="AZ12" i="25" s="1"/>
  <c r="BC12" i="25" s="1"/>
  <c r="BF12" i="25"/>
  <c r="BS35" i="25"/>
  <c r="BM35" i="25" s="1"/>
  <c r="BN35" i="25" s="1"/>
  <c r="BO35" i="25" s="1"/>
  <c r="BS27" i="25"/>
  <c r="BM27" i="25" s="1"/>
  <c r="BN27" i="25" s="1"/>
  <c r="BO27" i="25" s="1"/>
  <c r="BS15" i="25"/>
  <c r="BM15" i="25" s="1"/>
  <c r="BN15" i="25" s="1"/>
  <c r="BO15" i="25" s="1"/>
  <c r="BJ20" i="25"/>
  <c r="AW44" i="25"/>
  <c r="AY44" i="25" s="1"/>
  <c r="AZ44" i="25" s="1"/>
  <c r="BC44" i="25" s="1"/>
  <c r="BF18" i="25"/>
  <c r="AX11" i="25"/>
  <c r="BA11" i="25" s="1"/>
  <c r="BB11" i="25" s="1"/>
  <c r="AY56" i="25"/>
  <c r="AZ56" i="25" s="1"/>
  <c r="BC56" i="25" s="1"/>
  <c r="BS61" i="25"/>
  <c r="BM61" i="25" s="1"/>
  <c r="BN61" i="25" s="1"/>
  <c r="BO61" i="25" s="1"/>
  <c r="BS53" i="25"/>
  <c r="BM53" i="25" s="1"/>
  <c r="BN53" i="25" s="1"/>
  <c r="BO53" i="25" s="1"/>
  <c r="BS45" i="25"/>
  <c r="BM45" i="25" s="1"/>
  <c r="BN45" i="25" s="1"/>
  <c r="BO45" i="25" s="1"/>
  <c r="BS37" i="25"/>
  <c r="BM37" i="25" s="1"/>
  <c r="BN37" i="25" s="1"/>
  <c r="BO37" i="25" s="1"/>
  <c r="BJ38" i="25"/>
  <c r="BJ14" i="25"/>
  <c r="AY25" i="25"/>
  <c r="AZ25" i="25" s="1"/>
  <c r="BC25" i="25" s="1"/>
  <c r="AY20" i="25"/>
  <c r="AZ20" i="25" s="1"/>
  <c r="BC20" i="25" s="1"/>
  <c r="BJ60" i="25"/>
  <c r="BF27" i="25"/>
  <c r="AX61" i="25"/>
  <c r="BA61" i="25" s="1"/>
  <c r="BB61" i="25" s="1"/>
  <c r="AX9" i="25"/>
  <c r="BA9" i="25" s="1"/>
  <c r="BB9" i="25" s="1"/>
  <c r="AW49" i="25"/>
  <c r="AY49" i="25" s="1"/>
  <c r="AZ49" i="25" s="1"/>
  <c r="BC49" i="25" s="1"/>
  <c r="AY52" i="25"/>
  <c r="AZ52" i="25" s="1"/>
  <c r="BC52" i="25" s="1"/>
  <c r="BJ58" i="25"/>
  <c r="BJ26" i="25"/>
  <c r="BJ10" i="25"/>
  <c r="AY9" i="25"/>
  <c r="AZ9" i="25" s="1"/>
  <c r="BC9" i="25" s="1"/>
  <c r="BS57" i="25"/>
  <c r="BM57" i="25" s="1"/>
  <c r="BN57" i="25" s="1"/>
  <c r="BO57" i="25" s="1"/>
  <c r="BS49" i="25"/>
  <c r="BM49" i="25" s="1"/>
  <c r="BN49" i="25" s="1"/>
  <c r="BO49" i="25" s="1"/>
  <c r="BS41" i="25"/>
  <c r="BM41" i="25" s="1"/>
  <c r="BN41" i="25" s="1"/>
  <c r="BO41" i="25" s="1"/>
  <c r="BS33" i="25"/>
  <c r="BM33" i="25" s="1"/>
  <c r="BN33" i="25" s="1"/>
  <c r="BO33" i="25" s="1"/>
  <c r="BS25" i="25"/>
  <c r="BM25" i="25" s="1"/>
  <c r="BN25" i="25" s="1"/>
  <c r="BO25" i="25" s="1"/>
  <c r="BS20" i="25"/>
  <c r="BM20" i="25" s="1"/>
  <c r="BN20" i="25" s="1"/>
  <c r="BO20" i="25" s="1"/>
  <c r="BS8" i="25"/>
  <c r="BM8" i="25" s="1"/>
  <c r="BN8" i="25" s="1"/>
  <c r="BO8" i="25" s="1"/>
  <c r="BJ55" i="25"/>
  <c r="BJ22" i="25"/>
  <c r="AX36" i="25"/>
  <c r="BA36" i="25" s="1"/>
  <c r="BB36" i="25" s="1"/>
  <c r="AX29" i="25"/>
  <c r="BA29" i="25" s="1"/>
  <c r="BB29" i="25" s="1"/>
  <c r="AY11" i="25"/>
  <c r="AZ11" i="25" s="1"/>
  <c r="BC11" i="25" s="1"/>
  <c r="BF42" i="25"/>
  <c r="AX34" i="25"/>
  <c r="BA34" i="25" s="1"/>
  <c r="BB34" i="25" s="1"/>
  <c r="AY29" i="25"/>
  <c r="AZ29" i="25" s="1"/>
  <c r="BC29" i="25" s="1"/>
  <c r="BS54" i="25"/>
  <c r="BM54" i="25" s="1"/>
  <c r="BN54" i="25" s="1"/>
  <c r="BO54" i="25" s="1"/>
  <c r="BS46" i="25"/>
  <c r="BM46" i="25" s="1"/>
  <c r="BN46" i="25" s="1"/>
  <c r="BO46" i="25" s="1"/>
  <c r="BS38" i="25"/>
  <c r="BM38" i="25" s="1"/>
  <c r="BN38" i="25" s="1"/>
  <c r="BO38" i="25" s="1"/>
  <c r="BS55" i="25"/>
  <c r="BM55" i="25" s="1"/>
  <c r="BN55" i="25" s="1"/>
  <c r="BO55" i="25" s="1"/>
  <c r="BS47" i="25"/>
  <c r="BM47" i="25" s="1"/>
  <c r="BN47" i="25" s="1"/>
  <c r="BO47" i="25" s="1"/>
  <c r="BS31" i="25"/>
  <c r="BM31" i="25" s="1"/>
  <c r="BN31" i="25" s="1"/>
  <c r="BO31" i="25" s="1"/>
  <c r="BS23" i="25"/>
  <c r="BM23" i="25" s="1"/>
  <c r="BN23" i="25" s="1"/>
  <c r="BO23" i="25" s="1"/>
  <c r="BF34" i="25"/>
  <c r="AX18" i="25"/>
  <c r="BA18" i="25" s="1"/>
  <c r="BB18" i="25" s="1"/>
  <c r="AX59" i="25"/>
  <c r="BA59" i="25" s="1"/>
  <c r="BB59" i="25" s="1"/>
  <c r="AY51" i="25"/>
  <c r="AZ51" i="25" s="1"/>
  <c r="BC51" i="25" s="1"/>
  <c r="AY35" i="25"/>
  <c r="AZ35" i="25" s="1"/>
  <c r="BC35" i="25" s="1"/>
  <c r="AY57" i="25"/>
  <c r="AZ57" i="25" s="1"/>
  <c r="BC57" i="25" s="1"/>
  <c r="BJ50" i="25"/>
  <c r="BJ36" i="25"/>
  <c r="BF41" i="25"/>
  <c r="AX30" i="25"/>
  <c r="BA30" i="25" s="1"/>
  <c r="BB30" i="25" s="1"/>
  <c r="AY18" i="25"/>
  <c r="AZ18" i="25" s="1"/>
  <c r="BC18" i="25" s="1"/>
  <c r="BS32" i="25"/>
  <c r="BM32" i="25" s="1"/>
  <c r="BN32" i="25" s="1"/>
  <c r="BO32" i="25" s="1"/>
  <c r="BS24" i="25"/>
  <c r="BM24" i="25" s="1"/>
  <c r="BN24" i="25" s="1"/>
  <c r="BO24" i="25" s="1"/>
  <c r="BS19" i="25"/>
  <c r="BM19" i="25" s="1"/>
  <c r="BN19" i="25" s="1"/>
  <c r="BO19" i="25" s="1"/>
  <c r="BS7" i="25"/>
  <c r="BM7" i="25" s="1"/>
  <c r="BN7" i="25" s="1"/>
  <c r="BO7" i="25" s="1"/>
  <c r="BJ48" i="25"/>
  <c r="BF56" i="25"/>
  <c r="BF40" i="25"/>
  <c r="AX57" i="25"/>
  <c r="BA57" i="25" s="1"/>
  <c r="BB57" i="25" s="1"/>
  <c r="AX22" i="25"/>
  <c r="BA22" i="25" s="1"/>
  <c r="BB22" i="25" s="1"/>
  <c r="BS28" i="25"/>
  <c r="BM28" i="25" s="1"/>
  <c r="BN28" i="25" s="1"/>
  <c r="BO28" i="25" s="1"/>
  <c r="BS16" i="25"/>
  <c r="BM16" i="25" s="1"/>
  <c r="BN16" i="25" s="1"/>
  <c r="BO16" i="25" s="1"/>
  <c r="BS10" i="25"/>
  <c r="BM10" i="25" s="1"/>
  <c r="BN10" i="25" s="1"/>
  <c r="BO10" i="25" s="1"/>
  <c r="BJ44" i="25"/>
  <c r="BJ33" i="25"/>
  <c r="BJ21" i="25"/>
  <c r="BF52" i="25"/>
  <c r="AX52" i="25"/>
  <c r="BA52" i="25" s="1"/>
  <c r="BB52" i="25" s="1"/>
  <c r="AY22" i="25"/>
  <c r="AZ22" i="25" s="1"/>
  <c r="BC22" i="25" s="1"/>
  <c r="AY36" i="25"/>
  <c r="AZ36" i="25" s="1"/>
  <c r="BC36" i="25" s="1"/>
  <c r="AY39" i="25"/>
  <c r="AZ39" i="25" s="1"/>
  <c r="AY31" i="25"/>
  <c r="AZ31" i="25" s="1"/>
  <c r="BC31" i="25" s="1"/>
  <c r="AX23" i="25"/>
  <c r="BA23" i="25" s="1"/>
  <c r="BB23" i="25" s="1"/>
  <c r="AY13" i="25"/>
  <c r="AZ13" i="25" s="1"/>
  <c r="BC13" i="25" s="1"/>
  <c r="BS29" i="25"/>
  <c r="BM29" i="25" s="1"/>
  <c r="BN29" i="25" s="1"/>
  <c r="BO29" i="25" s="1"/>
  <c r="BS17" i="25"/>
  <c r="BM17" i="25" s="1"/>
  <c r="BN17" i="25" s="1"/>
  <c r="BO17" i="25" s="1"/>
  <c r="BS11" i="25"/>
  <c r="BM11" i="25" s="1"/>
  <c r="BN11" i="25" s="1"/>
  <c r="BO11" i="25" s="1"/>
  <c r="BS58" i="25"/>
  <c r="BM58" i="25" s="1"/>
  <c r="BN58" i="25" s="1"/>
  <c r="BO58" i="25" s="1"/>
  <c r="BS42" i="25"/>
  <c r="BM42" i="25" s="1"/>
  <c r="BN42" i="25" s="1"/>
  <c r="BO42" i="25" s="1"/>
  <c r="BJ9" i="25"/>
  <c r="BF61" i="25"/>
  <c r="AX53" i="25"/>
  <c r="BA53" i="25" s="1"/>
  <c r="BB53" i="25" s="1"/>
  <c r="AX45" i="25"/>
  <c r="BA45" i="25" s="1"/>
  <c r="BB45" i="25" s="1"/>
  <c r="BJ28" i="25"/>
  <c r="BJ8" i="25"/>
  <c r="BF49" i="25"/>
  <c r="AX12" i="25"/>
  <c r="BA12" i="25" s="1"/>
  <c r="BB12" i="25" s="1"/>
  <c r="BS59" i="25"/>
  <c r="BM59" i="25" s="1"/>
  <c r="BN59" i="25" s="1"/>
  <c r="BO59" i="25" s="1"/>
  <c r="BS51" i="25"/>
  <c r="BM51" i="25" s="1"/>
  <c r="BN51" i="25" s="1"/>
  <c r="BO51" i="25" s="1"/>
  <c r="BS43" i="25"/>
  <c r="BM43" i="25" s="1"/>
  <c r="BN43" i="25" s="1"/>
  <c r="BO43" i="25" s="1"/>
  <c r="BJ16" i="25"/>
  <c r="AY30" i="25"/>
  <c r="AZ30" i="25" s="1"/>
  <c r="BC30" i="25" s="1"/>
  <c r="AY45" i="25"/>
  <c r="AZ45" i="25" s="1"/>
  <c r="BC45" i="25" s="1"/>
  <c r="N19" i="89"/>
  <c r="M19" i="89"/>
  <c r="O19" i="89"/>
  <c r="L19" i="89"/>
  <c r="K19" i="89"/>
  <c r="J19" i="89"/>
  <c r="H19" i="89"/>
  <c r="I19" i="89" s="1"/>
  <c r="H26" i="89"/>
  <c r="I26" i="89" s="1"/>
  <c r="J26" i="89"/>
  <c r="K26" i="89"/>
  <c r="L26" i="89"/>
  <c r="M26" i="89"/>
  <c r="N26" i="89"/>
  <c r="O26" i="89"/>
  <c r="BS60" i="25"/>
  <c r="BM60" i="25" s="1"/>
  <c r="BN60" i="25" s="1"/>
  <c r="BO60" i="25" s="1"/>
  <c r="BS56" i="25"/>
  <c r="BM56" i="25" s="1"/>
  <c r="BN56" i="25" s="1"/>
  <c r="BO56" i="25" s="1"/>
  <c r="BS48" i="25"/>
  <c r="BM48" i="25" s="1"/>
  <c r="BN48" i="25" s="1"/>
  <c r="BO48" i="25" s="1"/>
  <c r="BS40" i="25"/>
  <c r="BM40" i="25" s="1"/>
  <c r="BN40" i="25" s="1"/>
  <c r="BO40" i="25" s="1"/>
  <c r="BS34" i="25"/>
  <c r="BM34" i="25" s="1"/>
  <c r="BN34" i="25" s="1"/>
  <c r="BO34" i="25" s="1"/>
  <c r="BS26" i="25"/>
  <c r="BM26" i="25" s="1"/>
  <c r="BN26" i="25" s="1"/>
  <c r="BO26" i="25" s="1"/>
  <c r="BS21" i="25"/>
  <c r="BM21" i="25" s="1"/>
  <c r="BN21" i="25" s="1"/>
  <c r="BO21" i="25" s="1"/>
  <c r="BS14" i="25"/>
  <c r="BM14" i="25" s="1"/>
  <c r="BN14" i="25" s="1"/>
  <c r="BO14" i="25" s="1"/>
  <c r="BS9" i="25"/>
  <c r="BM9" i="25" s="1"/>
  <c r="BN9" i="25" s="1"/>
  <c r="BO9" i="25" s="1"/>
  <c r="BJ46" i="25"/>
  <c r="AX60" i="25"/>
  <c r="BA60" i="25" s="1"/>
  <c r="BB60" i="25" s="1"/>
  <c r="AX48" i="25"/>
  <c r="BA48" i="25" s="1"/>
  <c r="BB48" i="25" s="1"/>
  <c r="AY37" i="25"/>
  <c r="AZ37" i="25" s="1"/>
  <c r="BC37" i="25" s="1"/>
  <c r="AU53" i="25"/>
  <c r="AY53" i="25" s="1"/>
  <c r="AZ53" i="25" s="1"/>
  <c r="BC53" i="25" s="1"/>
  <c r="BJ7" i="25"/>
  <c r="BF24" i="25"/>
  <c r="BJ32" i="25"/>
  <c r="AX31" i="25"/>
  <c r="BA31" i="25" s="1"/>
  <c r="BB31" i="25" s="1"/>
  <c r="AX13" i="25"/>
  <c r="BA13" i="25" s="1"/>
  <c r="BB13" i="25" s="1"/>
  <c r="AY17" i="25"/>
  <c r="AZ17" i="25" s="1"/>
  <c r="BC17" i="25" s="1"/>
  <c r="AU23" i="25"/>
  <c r="AY23" i="25" s="1"/>
  <c r="AZ23" i="25" s="1"/>
  <c r="BC23" i="25" s="1"/>
  <c r="BS13" i="25"/>
  <c r="BM13" i="25" s="1"/>
  <c r="BN13" i="25" s="1"/>
  <c r="BO13" i="25" s="1"/>
  <c r="BJ54" i="25"/>
  <c r="AX37" i="25"/>
  <c r="BA37" i="25" s="1"/>
  <c r="BB37" i="25" s="1"/>
  <c r="AY27" i="25"/>
  <c r="AZ27" i="25" s="1"/>
  <c r="BC27" i="25" s="1"/>
  <c r="AY34" i="25"/>
  <c r="AZ34" i="25" s="1"/>
  <c r="BC34" i="25" s="1"/>
  <c r="AY61" i="25"/>
  <c r="AZ61" i="25" s="1"/>
  <c r="BC61" i="25" s="1"/>
  <c r="AY15" i="25"/>
  <c r="AZ15" i="25" s="1"/>
  <c r="BC15" i="25" s="1"/>
  <c r="BS52" i="25"/>
  <c r="BM52" i="25" s="1"/>
  <c r="BN52" i="25" s="1"/>
  <c r="BO52" i="25" s="1"/>
  <c r="BS44" i="25"/>
  <c r="BM44" i="25" s="1"/>
  <c r="BN44" i="25" s="1"/>
  <c r="BO44" i="25" s="1"/>
  <c r="BS36" i="25"/>
  <c r="BM36" i="25" s="1"/>
  <c r="BN36" i="25" s="1"/>
  <c r="BO36" i="25" s="1"/>
  <c r="BS30" i="25"/>
  <c r="BM30" i="25" s="1"/>
  <c r="BN30" i="25" s="1"/>
  <c r="BO30" i="25" s="1"/>
  <c r="BS22" i="25"/>
  <c r="BM22" i="25" s="1"/>
  <c r="BN22" i="25" s="1"/>
  <c r="BO22" i="25" s="1"/>
  <c r="BS18" i="25"/>
  <c r="BM18" i="25" s="1"/>
  <c r="BN18" i="25" s="1"/>
  <c r="BO18" i="25" s="1"/>
  <c r="BS12" i="25"/>
  <c r="BM12" i="25" s="1"/>
  <c r="BN12" i="25" s="1"/>
  <c r="BO12" i="25" s="1"/>
  <c r="BC39" i="25"/>
  <c r="AX26" i="25"/>
  <c r="BA26" i="25" s="1"/>
  <c r="BB26" i="25" s="1"/>
  <c r="BJ19" i="25"/>
  <c r="AY47" i="25"/>
  <c r="AZ47" i="25" s="1"/>
  <c r="BC47" i="25" s="1"/>
  <c r="AY55" i="25"/>
  <c r="AZ55" i="25" s="1"/>
  <c r="BC55" i="25" s="1"/>
  <c r="AY33" i="25"/>
  <c r="AZ33" i="25" s="1"/>
  <c r="BC33" i="25" s="1"/>
  <c r="AY8" i="25"/>
  <c r="AZ8" i="25" s="1"/>
  <c r="BC8" i="25" s="1"/>
  <c r="BF47" i="25"/>
  <c r="BJ25" i="25"/>
  <c r="AU54" i="25"/>
  <c r="AY54" i="25" s="1"/>
  <c r="AZ54" i="25" s="1"/>
  <c r="BC54" i="25" s="1"/>
  <c r="AX54" i="25"/>
  <c r="BA54" i="25" s="1"/>
  <c r="BB54" i="25" s="1"/>
  <c r="AU46" i="25"/>
  <c r="AY46" i="25" s="1"/>
  <c r="AZ46" i="25" s="1"/>
  <c r="BC46" i="25" s="1"/>
  <c r="AX46" i="25"/>
  <c r="BA46" i="25" s="1"/>
  <c r="BB46" i="25" s="1"/>
  <c r="AU38" i="25"/>
  <c r="AY38" i="25" s="1"/>
  <c r="AZ38" i="25" s="1"/>
  <c r="BC38" i="25" s="1"/>
  <c r="AX38" i="25"/>
  <c r="BA38" i="25" s="1"/>
  <c r="BB38" i="25" s="1"/>
  <c r="AU32" i="25"/>
  <c r="AY32" i="25" s="1"/>
  <c r="AZ32" i="25" s="1"/>
  <c r="BC32" i="25" s="1"/>
  <c r="AX32" i="25"/>
  <c r="BA32" i="25" s="1"/>
  <c r="BB32" i="25" s="1"/>
  <c r="AU24" i="25"/>
  <c r="AY24" i="25" s="1"/>
  <c r="AZ24" i="25" s="1"/>
  <c r="BC24" i="25" s="1"/>
  <c r="AX24" i="25"/>
  <c r="BA24" i="25" s="1"/>
  <c r="BB24" i="25" s="1"/>
  <c r="AU19" i="25"/>
  <c r="AY19" i="25" s="1"/>
  <c r="AZ19" i="25" s="1"/>
  <c r="BC19" i="25" s="1"/>
  <c r="AX19" i="25"/>
  <c r="BA19" i="25" s="1"/>
  <c r="BB19" i="25" s="1"/>
  <c r="AU7" i="25"/>
  <c r="AY7" i="25" s="1"/>
  <c r="AZ7" i="25" s="1"/>
  <c r="BC7" i="25" s="1"/>
  <c r="AX7" i="25"/>
  <c r="BA7" i="25" s="1"/>
  <c r="BB7" i="25" s="1"/>
  <c r="BJ53" i="25"/>
  <c r="BJ45" i="25"/>
  <c r="BJ37" i="25"/>
  <c r="BJ31" i="25"/>
  <c r="BJ23" i="25"/>
  <c r="BJ13" i="25"/>
  <c r="BF35" i="25"/>
  <c r="AX16" i="25"/>
  <c r="BA16" i="25" s="1"/>
  <c r="BB16" i="25" s="1"/>
  <c r="AY16" i="25"/>
  <c r="AZ16" i="25" s="1"/>
  <c r="BC16" i="25" s="1"/>
  <c r="AX58" i="25"/>
  <c r="BA58" i="25" s="1"/>
  <c r="BB58" i="25" s="1"/>
  <c r="AW58" i="25"/>
  <c r="AY58" i="25" s="1"/>
  <c r="AZ58" i="25" s="1"/>
  <c r="BC58" i="25" s="1"/>
  <c r="AX50" i="25"/>
  <c r="BA50" i="25" s="1"/>
  <c r="BB50" i="25" s="1"/>
  <c r="AW50" i="25"/>
  <c r="AY50" i="25" s="1"/>
  <c r="AZ50" i="25" s="1"/>
  <c r="BC50" i="25" s="1"/>
  <c r="AW42" i="25"/>
  <c r="AY42" i="25" s="1"/>
  <c r="AZ42" i="25" s="1"/>
  <c r="BC42" i="25" s="1"/>
  <c r="AX42" i="25"/>
  <c r="BA42" i="25" s="1"/>
  <c r="BB42" i="25" s="1"/>
  <c r="AX28" i="25"/>
  <c r="BA28" i="25" s="1"/>
  <c r="BB28" i="25" s="1"/>
  <c r="AW28" i="25"/>
  <c r="AY28" i="25" s="1"/>
  <c r="AZ28" i="25" s="1"/>
  <c r="BC28" i="25" s="1"/>
  <c r="AX10" i="25"/>
  <c r="BA10" i="25" s="1"/>
  <c r="BB10" i="25" s="1"/>
  <c r="AW10" i="25"/>
  <c r="AY10" i="25" s="1"/>
  <c r="AZ10" i="25" s="1"/>
  <c r="BC10" i="25" s="1"/>
  <c r="AY41" i="25"/>
  <c r="AZ41" i="25" s="1"/>
  <c r="BC41" i="25" s="1"/>
  <c r="BJ57" i="25"/>
  <c r="AX43" i="25"/>
  <c r="BA43" i="25" s="1"/>
  <c r="BB43" i="25" s="1"/>
  <c r="AX14" i="25"/>
  <c r="BA14" i="25" s="1"/>
  <c r="BB14" i="25" s="1"/>
  <c r="AX41" i="25"/>
  <c r="BA41" i="25" s="1"/>
  <c r="BB41" i="25" s="1"/>
  <c r="AX35" i="25"/>
  <c r="BA35" i="25" s="1"/>
  <c r="BB35" i="25" s="1"/>
  <c r="AX27" i="25"/>
  <c r="BA27" i="25" s="1"/>
  <c r="BB27" i="25" s="1"/>
  <c r="AX15" i="25"/>
  <c r="BA15" i="25" s="1"/>
  <c r="BB15" i="25" s="1"/>
  <c r="AW59" i="25"/>
  <c r="AY59" i="25" s="1"/>
  <c r="AZ59" i="25" s="1"/>
  <c r="BC59" i="25" s="1"/>
  <c r="AY60" i="25"/>
  <c r="AZ60" i="25" s="1"/>
  <c r="BC60" i="25" s="1"/>
  <c r="AY14" i="25"/>
  <c r="AZ14" i="25" s="1"/>
  <c r="BC14" i="25" s="1"/>
  <c r="AX40" i="25"/>
  <c r="BA40" i="25" s="1"/>
  <c r="BB40" i="25" s="1"/>
  <c r="AX21" i="25"/>
  <c r="BA21" i="25" s="1"/>
  <c r="BB21" i="25" s="1"/>
  <c r="AX55" i="25"/>
  <c r="BA55" i="25" s="1"/>
  <c r="BB55" i="25" s="1"/>
  <c r="AX47" i="25"/>
  <c r="BA47" i="25" s="1"/>
  <c r="BB47" i="25" s="1"/>
  <c r="AX39" i="25"/>
  <c r="BA39" i="25" s="1"/>
  <c r="BB39" i="25" s="1"/>
  <c r="AX33" i="25"/>
  <c r="BA33" i="25" s="1"/>
  <c r="BB33" i="25" s="1"/>
  <c r="AX25" i="25"/>
  <c r="BA25" i="25" s="1"/>
  <c r="BB25" i="25" s="1"/>
  <c r="AX20" i="25"/>
  <c r="BA20" i="25" s="1"/>
  <c r="BB20" i="25" s="1"/>
  <c r="AX8" i="25"/>
  <c r="BA8" i="25" s="1"/>
  <c r="BB8" i="25" s="1"/>
  <c r="AY40" i="25"/>
  <c r="AZ40" i="25" s="1"/>
  <c r="BC40" i="25" s="1"/>
  <c r="AY21" i="25"/>
  <c r="AZ21" i="25" s="1"/>
  <c r="BC21" i="25" s="1"/>
  <c r="AX56" i="25"/>
  <c r="BA56" i="25" s="1"/>
  <c r="BB56" i="25" s="1"/>
  <c r="AY48" i="25"/>
  <c r="AZ48" i="25" s="1"/>
  <c r="BC48" i="25" s="1"/>
  <c r="AY26" i="25"/>
  <c r="AZ26" i="25" s="1"/>
  <c r="BC26" i="25" s="1"/>
  <c r="E57" i="89" l="1"/>
  <c r="G36" i="89"/>
  <c r="I97" i="92"/>
  <c r="J97" i="92"/>
  <c r="L97" i="92"/>
  <c r="K97" i="92"/>
  <c r="F43" i="89" l="1"/>
  <c r="F36" i="89"/>
  <c r="F261" i="92"/>
  <c r="F262" i="92"/>
  <c r="F134" i="92"/>
  <c r="E134" i="92"/>
  <c r="I137" i="92"/>
  <c r="F123" i="92"/>
  <c r="E262" i="92"/>
  <c r="G262" i="92"/>
  <c r="G137" i="92"/>
  <c r="D261" i="92"/>
  <c r="F122" i="92"/>
  <c r="E261" i="92"/>
  <c r="H262" i="92"/>
  <c r="F137" i="92"/>
  <c r="G261" i="92"/>
  <c r="H137" i="92"/>
  <c r="H261" i="92"/>
  <c r="D262" i="92"/>
  <c r="C83" i="92"/>
  <c r="C85" i="92"/>
  <c r="E59" i="89" l="1"/>
  <c r="F59" i="89" s="1"/>
  <c r="O148" i="92"/>
  <c r="P148" i="92" s="1"/>
  <c r="O22" i="89"/>
  <c r="E137" i="92"/>
  <c r="F124" i="92"/>
  <c r="F125" i="92" s="1"/>
  <c r="N16" i="89"/>
  <c r="M16" i="89"/>
  <c r="L16" i="89"/>
  <c r="K16" i="89"/>
  <c r="J16" i="89"/>
  <c r="H16" i="89"/>
  <c r="I16" i="89" s="1"/>
  <c r="O16" i="89"/>
  <c r="N39" i="89"/>
  <c r="M39" i="89"/>
  <c r="L39" i="89"/>
  <c r="K39" i="89"/>
  <c r="J39" i="89"/>
  <c r="H39" i="89"/>
  <c r="I39" i="89" s="1"/>
  <c r="O39" i="89"/>
  <c r="C84" i="92"/>
  <c r="M17" i="89"/>
  <c r="L17" i="89"/>
  <c r="K17" i="89"/>
  <c r="J17" i="89"/>
  <c r="H17" i="89"/>
  <c r="I17" i="89" s="1"/>
  <c r="O17" i="89"/>
  <c r="N17" i="89"/>
  <c r="L30" i="89"/>
  <c r="K30" i="89"/>
  <c r="J30" i="89"/>
  <c r="H30" i="89"/>
  <c r="I30" i="89" s="1"/>
  <c r="O30" i="89"/>
  <c r="N30" i="89"/>
  <c r="M30" i="89"/>
  <c r="K31" i="89"/>
  <c r="J31" i="89"/>
  <c r="H31" i="89"/>
  <c r="I31" i="89" s="1"/>
  <c r="O31" i="89"/>
  <c r="N31" i="89"/>
  <c r="M31" i="89"/>
  <c r="L31" i="89"/>
  <c r="H23" i="89"/>
  <c r="I23" i="89" s="1"/>
  <c r="O23" i="89"/>
  <c r="N23" i="89"/>
  <c r="M23" i="89"/>
  <c r="L23" i="89"/>
  <c r="K23" i="89"/>
  <c r="J23" i="89"/>
  <c r="F58" i="89"/>
  <c r="H24" i="89"/>
  <c r="I24" i="89" s="1"/>
  <c r="O24" i="89"/>
  <c r="N24" i="89"/>
  <c r="M24" i="89"/>
  <c r="L24" i="89"/>
  <c r="K24" i="89"/>
  <c r="J24" i="89"/>
  <c r="O37" i="89"/>
  <c r="N37" i="89"/>
  <c r="M37" i="89"/>
  <c r="L37" i="89"/>
  <c r="H43" i="89"/>
  <c r="I43" i="89" s="1"/>
  <c r="K37" i="89"/>
  <c r="J37" i="89"/>
  <c r="H37" i="89"/>
  <c r="I37" i="89" s="1"/>
  <c r="F57" i="89"/>
  <c r="F127" i="92" l="1"/>
  <c r="H36" i="89"/>
  <c r="I36" i="89" s="1"/>
  <c r="N36" i="89"/>
  <c r="M36" i="89"/>
  <c r="L36" i="89"/>
  <c r="K36" i="89"/>
  <c r="J36" i="89"/>
  <c r="M29" i="89"/>
  <c r="L29" i="89"/>
  <c r="K29" i="89"/>
  <c r="J29" i="89"/>
  <c r="H29" i="89"/>
  <c r="I29" i="89" s="1"/>
  <c r="N29" i="89"/>
  <c r="J22" i="89"/>
  <c r="H22" i="89"/>
  <c r="I22" i="89" s="1"/>
  <c r="N22" i="89"/>
  <c r="M22" i="89"/>
  <c r="L22" i="89"/>
  <c r="K22" i="89"/>
  <c r="O36" i="89"/>
  <c r="O29"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sharedStrings.xml><?xml version="1.0" encoding="utf-8"?>
<sst xmlns="http://schemas.openxmlformats.org/spreadsheetml/2006/main" count="19915" uniqueCount="3314">
  <si>
    <t>V1</t>
  </si>
  <si>
    <t>V2</t>
  </si>
  <si>
    <t>V3</t>
  </si>
  <si>
    <t>V4</t>
  </si>
  <si>
    <t>V5</t>
  </si>
  <si>
    <t>V7</t>
  </si>
  <si>
    <t>V8</t>
  </si>
  <si>
    <t>x1</t>
  </si>
  <si>
    <t>x2</t>
  </si>
  <si>
    <t>x4</t>
  </si>
  <si>
    <t>x5</t>
  </si>
  <si>
    <t>x6</t>
  </si>
  <si>
    <t>x7</t>
  </si>
  <si>
    <t>x8</t>
  </si>
  <si>
    <t>drop down</t>
  </si>
  <si>
    <t>#</t>
  </si>
  <si>
    <t>Text</t>
  </si>
  <si>
    <t>date</t>
  </si>
  <si>
    <t>Reporting Period</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</si>
  <si>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</si>
  <si>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</si>
  <si>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</si>
  <si>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</si>
  <si>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</si>
  <si>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</si>
  <si>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</si>
  <si>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</si>
  <si>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</si>
  <si>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</si>
  <si>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</si>
  <si>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</si>
  <si>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</si>
  <si>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</si>
  <si>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</si>
  <si>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2017_Q4</t>
  </si>
  <si>
    <t>KMSS</t>
  </si>
  <si>
    <t>Kachin</t>
  </si>
  <si>
    <t>Mansi</t>
  </si>
  <si>
    <t>Maing Khaung Catholic Church</t>
  </si>
  <si>
    <t>DFID/HARP</t>
  </si>
  <si>
    <t>Yes</t>
  </si>
  <si>
    <t>KMSS-BMO</t>
  </si>
  <si>
    <t>Camp</t>
  </si>
  <si>
    <t>GCA</t>
  </si>
  <si>
    <t>HRP calculation</t>
  </si>
  <si>
    <t>Current Indicators</t>
  </si>
  <si>
    <t>Definitions/Remarks</t>
  </si>
  <si>
    <t xml:space="preserve">CAMP </t>
  </si>
  <si>
    <t xml:space="preserve">VILLAGE </t>
  </si>
  <si>
    <t>V9</t>
  </si>
  <si>
    <t>V10</t>
  </si>
  <si>
    <t># Work days (approx) lost in this site due to access restrictions</t>
  </si>
  <si>
    <t>Yes/No</t>
  </si>
  <si>
    <t>V11</t>
  </si>
  <si>
    <t>%</t>
  </si>
  <si>
    <t>V12</t>
  </si>
  <si>
    <t>HRP 1 (improved sources)</t>
  </si>
  <si>
    <t>V13</t>
  </si>
  <si>
    <t>V17</t>
  </si>
  <si>
    <t>V16</t>
  </si>
  <si>
    <t>V18</t>
  </si>
  <si>
    <t>N/A</t>
  </si>
  <si>
    <t>V20</t>
  </si>
  <si>
    <t>V21</t>
  </si>
  <si>
    <t>V22</t>
  </si>
  <si>
    <t>V23</t>
  </si>
  <si>
    <t>V25</t>
  </si>
  <si>
    <t>V26</t>
  </si>
  <si>
    <t>V27</t>
  </si>
  <si>
    <t>V28</t>
  </si>
  <si>
    <t>HRP Code</t>
  </si>
  <si>
    <t>4W Code</t>
  </si>
  <si>
    <t>Corresponding 4W indicator</t>
  </si>
  <si>
    <t>HRP1</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</si>
  <si>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</si>
  <si>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</si>
  <si>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</si>
  <si>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</si>
  <si>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</si>
  <si>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</si>
  <si>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</si>
  <si>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</si>
  <si>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</si>
  <si>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</si>
  <si>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</si>
  <si>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</si>
  <si>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</si>
  <si>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</si>
  <si>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</si>
  <si>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</si>
  <si>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</si>
  <si>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</si>
  <si>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</si>
  <si>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</si>
  <si>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</si>
  <si>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</si>
  <si>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</si>
  <si>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</si>
  <si>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</si>
  <si>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</si>
  <si>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</si>
  <si>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</si>
  <si>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</si>
  <si>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</si>
  <si>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</si>
  <si>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</si>
  <si>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</si>
  <si>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</si>
  <si>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</si>
  <si>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</si>
  <si>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V14</t>
  </si>
  <si>
    <t>V15</t>
  </si>
  <si>
    <t>Equitable and continuous access to sufficient quantity of safe drinking water through improved water sources</t>
  </si>
  <si>
    <t>Number of People with equitable and continuous access to sufficient quantity of safe drinking water through improved water sources</t>
  </si>
  <si>
    <t>Number of People access to unimproved water sources</t>
  </si>
  <si>
    <t>% Equitable and continuous access to sufficient quantity of domestic water (borehole+ponds)</t>
  </si>
  <si>
    <t># of Water points coverage</t>
  </si>
  <si>
    <r>
      <t>% of equitable and continuous access to sufficient quantity of safe drinking and domestic water's GAP</t>
    </r>
    <r>
      <rPr>
        <b/>
        <sz val="10"/>
        <color rgb="FFFF0000"/>
        <rFont val="Corbel"/>
        <family val="2"/>
      </rPr>
      <t/>
    </r>
  </si>
  <si>
    <t># Potential required new water points</t>
  </si>
  <si>
    <t>Total required water points</t>
  </si>
  <si>
    <t># potential required new latrines</t>
  </si>
  <si>
    <t>Total required Latrines</t>
  </si>
  <si>
    <t>Hygiene Coverage %</t>
  </si>
  <si>
    <t>%people reached by regular dedicated hygiene promotion/behavior change activities</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</si>
  <si>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</si>
  <si>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</si>
  <si>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</si>
  <si>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</si>
  <si>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</si>
  <si>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</si>
  <si>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</si>
  <si>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</si>
  <si>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</si>
  <si>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</si>
  <si>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</si>
  <si>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</si>
  <si>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</si>
  <si>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</si>
  <si>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</si>
  <si>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</si>
  <si>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</si>
  <si>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</si>
  <si>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</si>
  <si>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</si>
  <si>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</si>
  <si>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</si>
  <si>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</si>
  <si>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</si>
  <si>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</si>
  <si>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</si>
  <si>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</si>
  <si>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</si>
  <si>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</si>
  <si>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</si>
  <si>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</si>
  <si>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</si>
  <si>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</si>
  <si>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</si>
  <si>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</si>
  <si>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</si>
  <si>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</si>
  <si>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</si>
  <si>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</si>
  <si>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</si>
  <si>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</si>
  <si>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</si>
  <si>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</si>
  <si>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</si>
  <si>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</si>
  <si>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</si>
  <si>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</si>
  <si>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</si>
  <si>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</si>
  <si>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</si>
  <si>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</si>
  <si>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</si>
  <si>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</si>
  <si>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</si>
  <si>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</si>
  <si>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</si>
  <si>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</si>
  <si>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</si>
  <si>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</si>
  <si>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</si>
  <si>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</si>
  <si>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</si>
  <si>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</si>
  <si>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</si>
  <si>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</si>
  <si>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</si>
  <si>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</si>
  <si>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</si>
  <si>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</si>
  <si>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</si>
  <si>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</si>
  <si>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</si>
  <si>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</si>
  <si>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</si>
  <si>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</si>
  <si>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</si>
  <si>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</si>
  <si>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</si>
  <si>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</si>
  <si>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</si>
  <si>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</si>
  <si>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</si>
  <si>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</si>
  <si>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</si>
  <si>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</si>
  <si>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</si>
  <si>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</si>
  <si>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</si>
  <si>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</si>
  <si>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</si>
  <si>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</si>
  <si>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</si>
  <si>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</si>
  <si>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</si>
  <si>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</si>
  <si>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</si>
  <si>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</si>
  <si>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</si>
  <si>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</si>
  <si>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</si>
  <si>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</si>
  <si>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</si>
  <si>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</si>
  <si>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</si>
  <si>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</si>
  <si>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</si>
  <si>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</si>
  <si>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</si>
  <si>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</si>
  <si>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</si>
  <si>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</si>
  <si>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</si>
  <si>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</si>
  <si>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</si>
  <si>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</si>
  <si>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</si>
  <si>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</si>
  <si>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</si>
  <si>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</si>
  <si>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</si>
  <si>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</si>
  <si>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</si>
  <si>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</si>
  <si>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</si>
  <si>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</si>
  <si>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</si>
  <si>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</si>
  <si>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</si>
  <si>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</si>
  <si>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</si>
  <si>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</si>
  <si>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</si>
  <si>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</si>
  <si>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</si>
  <si>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</si>
  <si>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</si>
  <si>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</si>
  <si>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</si>
  <si>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</si>
  <si>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</si>
  <si>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</si>
  <si>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</si>
  <si>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</si>
  <si>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</si>
  <si>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</si>
  <si>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</si>
  <si>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</si>
  <si>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</si>
  <si>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</si>
  <si>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</si>
  <si>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</si>
  <si>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</si>
  <si>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</si>
  <si>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</si>
  <si>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</si>
  <si>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</si>
  <si>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</si>
  <si>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</si>
  <si>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</si>
  <si>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</si>
  <si>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</si>
  <si>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</si>
  <si>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</si>
  <si>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</si>
  <si>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</si>
  <si>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</si>
  <si>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</si>
  <si>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</si>
  <si>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</si>
  <si>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</si>
  <si>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</si>
  <si>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</si>
  <si>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</si>
  <si>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</si>
  <si>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</si>
  <si>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</si>
  <si>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</si>
  <si>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</si>
  <si>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</si>
  <si>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</si>
  <si>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</si>
  <si>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</si>
  <si>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</si>
  <si>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</si>
  <si>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</si>
  <si>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</si>
  <si>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</si>
  <si>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</si>
  <si>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</si>
  <si>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</si>
  <si>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</si>
  <si>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</si>
  <si>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</si>
  <si>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</si>
  <si>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</si>
  <si>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</si>
  <si>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</si>
  <si>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</si>
  <si>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</si>
  <si>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</si>
  <si>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</si>
  <si>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</si>
  <si>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</si>
  <si>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</si>
  <si>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</si>
  <si>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</si>
  <si>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</si>
  <si>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</si>
  <si>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</si>
  <si>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</si>
  <si>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</si>
  <si>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</si>
  <si>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</si>
  <si>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</si>
  <si>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</si>
  <si>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</si>
  <si>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</si>
  <si>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</si>
  <si>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</si>
  <si>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</si>
  <si>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</si>
  <si>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</si>
  <si>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</si>
  <si>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</si>
  <si>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</si>
  <si>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</si>
  <si>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</si>
  <si>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</si>
  <si>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</si>
  <si>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</si>
  <si>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</si>
  <si>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</si>
  <si>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</si>
  <si>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</si>
  <si>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</si>
  <si>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</si>
  <si>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</si>
  <si>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</si>
  <si>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</si>
  <si>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</si>
  <si>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</si>
  <si>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</si>
  <si>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</si>
  <si>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</si>
  <si>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</si>
  <si>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</si>
  <si>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</si>
  <si>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</si>
  <si>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</si>
  <si>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</si>
  <si>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</si>
  <si>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</si>
  <si>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</si>
  <si>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</si>
  <si>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</si>
  <si>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</si>
  <si>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</si>
  <si>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</si>
  <si>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</si>
  <si>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</si>
  <si>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</si>
  <si>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</si>
  <si>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</si>
  <si>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</si>
  <si>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</si>
  <si>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</si>
  <si>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</si>
  <si>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</si>
  <si>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</si>
  <si>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</si>
  <si>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</si>
  <si>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</si>
  <si>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</si>
  <si>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</si>
  <si>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</si>
  <si>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</si>
  <si>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</si>
  <si>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</si>
  <si>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</si>
  <si>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</si>
  <si>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</si>
  <si>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</si>
  <si>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</si>
  <si>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</si>
  <si>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</si>
  <si>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</si>
  <si>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</si>
  <si>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</si>
  <si>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</si>
  <si>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</si>
  <si>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</si>
  <si>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</si>
  <si>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</si>
  <si>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</si>
  <si>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</si>
  <si>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</si>
  <si>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</si>
  <si>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</si>
  <si>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</si>
  <si>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</si>
  <si>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</si>
  <si>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</si>
  <si>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</si>
  <si>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</si>
  <si>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</si>
  <si>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</si>
  <si>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</si>
  <si>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</si>
  <si>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</si>
  <si>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</si>
  <si>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</si>
  <si>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</si>
  <si>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</si>
  <si>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</si>
  <si>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</si>
  <si>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</si>
  <si>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</si>
  <si>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</si>
  <si>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</si>
  <si>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</si>
  <si>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</si>
  <si>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</si>
  <si>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</si>
  <si>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</si>
  <si>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</si>
  <si>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</si>
  <si>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</si>
  <si>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</si>
  <si>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</si>
  <si>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</si>
  <si>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</si>
  <si>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</si>
  <si>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</si>
  <si>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</si>
  <si>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</si>
  <si>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</si>
  <si>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</si>
  <si>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</si>
  <si>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</si>
  <si>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</si>
  <si>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</si>
  <si>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</si>
  <si>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</si>
  <si>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</si>
  <si>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</si>
  <si>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</si>
  <si>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</si>
  <si>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</si>
  <si>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</si>
  <si>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</si>
  <si>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</si>
  <si>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</si>
  <si>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</si>
  <si>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</si>
  <si>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</si>
  <si>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</si>
  <si>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</si>
  <si>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</si>
  <si>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</si>
  <si>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</si>
  <si>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</si>
  <si>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</si>
  <si>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</si>
  <si>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</si>
  <si>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</si>
  <si>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</si>
  <si>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</si>
  <si>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</si>
  <si>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</si>
  <si>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</si>
  <si>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</si>
  <si>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</si>
  <si>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</si>
  <si>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</si>
  <si>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</si>
  <si>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</si>
  <si>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</si>
  <si>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</si>
  <si>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</si>
  <si>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</si>
  <si>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</si>
  <si>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</si>
  <si>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</si>
  <si>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</si>
  <si>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</si>
  <si>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</si>
  <si>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</si>
  <si>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</si>
  <si>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</si>
  <si>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</si>
  <si>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</si>
  <si>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</si>
  <si>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</si>
  <si>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</si>
  <si>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</si>
  <si>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</si>
  <si>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</si>
  <si>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</si>
  <si>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</si>
  <si>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</si>
  <si>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</si>
  <si>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</si>
  <si>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</si>
  <si>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</si>
  <si>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</si>
  <si>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</si>
  <si>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</si>
  <si>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</si>
  <si>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</si>
  <si>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</si>
  <si>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</si>
  <si>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</si>
  <si>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</si>
  <si>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</si>
  <si>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</si>
  <si>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</si>
  <si>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</si>
  <si>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</si>
  <si>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</si>
  <si>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</si>
  <si>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</si>
  <si>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</si>
  <si>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</si>
  <si>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</si>
  <si>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</si>
  <si>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</si>
  <si>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</si>
  <si>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</si>
  <si>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</si>
  <si>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</si>
  <si>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</si>
  <si>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</si>
  <si>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</si>
  <si>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</si>
  <si>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</si>
  <si>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</si>
  <si>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</si>
  <si>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</si>
  <si>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</si>
  <si>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</si>
  <si>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</si>
  <si>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</si>
  <si>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</si>
  <si>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</si>
  <si>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</si>
  <si>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</si>
  <si>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</si>
  <si>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</si>
  <si>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</si>
  <si>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</si>
  <si>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</si>
  <si>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</si>
  <si>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</si>
  <si>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</si>
  <si>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</si>
  <si>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</si>
  <si>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</si>
  <si>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</si>
  <si>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</si>
  <si>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</si>
  <si>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</si>
  <si>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</si>
  <si>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</si>
  <si>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</si>
  <si>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</si>
  <si>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</si>
  <si>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</si>
  <si>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</si>
  <si>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</si>
  <si>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</si>
  <si>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</si>
  <si>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</si>
  <si>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</si>
  <si>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</si>
  <si>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</si>
  <si>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</si>
  <si>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</si>
  <si>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</si>
  <si>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</si>
  <si>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</si>
  <si>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</si>
  <si>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</si>
  <si>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</si>
  <si>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</si>
  <si>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</si>
  <si>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</si>
  <si>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</si>
  <si>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</si>
  <si>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</si>
  <si>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</si>
  <si>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</si>
  <si>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</si>
  <si>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</si>
  <si>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</si>
  <si>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</si>
  <si>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</si>
  <si>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</si>
  <si>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</si>
  <si>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</si>
  <si>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</si>
  <si>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</si>
  <si>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</si>
  <si>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</si>
  <si>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</si>
  <si>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</si>
  <si>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</si>
  <si>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</si>
  <si>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</si>
  <si>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</si>
  <si>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</si>
  <si>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</si>
  <si>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</si>
  <si>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</si>
  <si>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</si>
  <si>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</si>
  <si>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</si>
  <si>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</si>
  <si>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</si>
  <si>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</si>
  <si>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</si>
  <si>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</si>
  <si>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</si>
  <si>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</si>
  <si>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</si>
  <si>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</si>
  <si>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</si>
  <si>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</si>
  <si>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</si>
  <si>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</si>
  <si>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</si>
  <si>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</si>
  <si>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</si>
  <si>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</si>
  <si>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</si>
  <si>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</si>
  <si>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</si>
  <si>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</si>
  <si>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</si>
  <si>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</si>
  <si>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</si>
  <si>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</si>
  <si>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</si>
  <si>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</si>
  <si>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</si>
  <si>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</si>
  <si>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</si>
  <si>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</si>
  <si>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</si>
  <si>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</si>
  <si>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</si>
  <si>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</si>
  <si>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</si>
  <si>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</si>
  <si>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</si>
  <si>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</si>
  <si>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</si>
  <si>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</si>
  <si>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</si>
  <si>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</si>
  <si>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</si>
  <si>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</si>
  <si>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</si>
  <si>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</si>
  <si>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</si>
  <si>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</si>
  <si>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</si>
  <si>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</si>
  <si>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</si>
  <si>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</si>
  <si>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</si>
  <si>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</si>
  <si>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</si>
  <si>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</si>
  <si>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</si>
  <si>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</si>
  <si>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</si>
  <si>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</si>
  <si>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</si>
  <si>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</si>
  <si>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</si>
  <si>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</si>
  <si>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</si>
  <si>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</si>
  <si>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</si>
  <si>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</si>
  <si>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</si>
  <si>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</si>
  <si>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</si>
  <si>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</si>
  <si>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</si>
  <si>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</si>
  <si>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</si>
  <si>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</si>
  <si>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</si>
  <si>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</si>
  <si>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</si>
  <si>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</si>
  <si>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</si>
  <si>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</si>
  <si>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</si>
  <si>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</si>
  <si>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</si>
  <si>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</si>
  <si>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</si>
  <si>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</si>
  <si>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</si>
  <si>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</si>
  <si>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</si>
  <si>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</si>
  <si>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</si>
  <si>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</si>
  <si>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</si>
  <si>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</si>
  <si>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</si>
  <si>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</si>
  <si>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</si>
  <si>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</si>
  <si>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</si>
  <si>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</si>
  <si>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</si>
  <si>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</si>
  <si>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</si>
  <si>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</si>
  <si>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</si>
  <si>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</si>
  <si>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</si>
  <si>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</si>
  <si>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</si>
  <si>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</si>
  <si>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</si>
  <si>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</si>
  <si>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</si>
  <si>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</si>
  <si>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</si>
  <si>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</si>
  <si>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</si>
  <si>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</si>
  <si>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</si>
  <si>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</si>
  <si>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</si>
  <si>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</si>
  <si>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</si>
  <si>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</si>
  <si>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</si>
  <si>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</si>
  <si>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</si>
  <si>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</si>
  <si>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</si>
  <si>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</si>
  <si>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</si>
  <si>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</si>
  <si>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</si>
  <si>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</si>
  <si>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</si>
  <si>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</si>
  <si>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</si>
  <si>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</si>
  <si>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</si>
  <si>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</si>
  <si>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</si>
  <si>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</si>
  <si>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</si>
  <si>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</si>
  <si>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</si>
  <si>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</si>
  <si>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</si>
  <si>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</si>
  <si>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</si>
  <si>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</si>
  <si>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</si>
  <si>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</si>
  <si>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</si>
  <si>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</si>
  <si>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</si>
  <si>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</si>
  <si>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</si>
  <si>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</si>
  <si>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</si>
  <si>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</si>
  <si>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</si>
  <si>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</si>
  <si>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</si>
  <si>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</si>
  <si>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</si>
  <si>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</si>
  <si>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</si>
  <si>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</si>
  <si>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</si>
  <si>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</si>
  <si>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</si>
  <si>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</si>
  <si>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</si>
  <si>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</si>
  <si>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</si>
  <si>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</si>
  <si>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</si>
  <si>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</si>
  <si>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</si>
  <si>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</si>
  <si>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</si>
  <si>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</si>
  <si>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</si>
  <si>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</si>
  <si>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</si>
  <si>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</si>
  <si>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</si>
  <si>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</si>
  <si>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</si>
  <si>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</si>
  <si>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</si>
  <si>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</si>
  <si>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</si>
  <si>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</si>
  <si>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</si>
  <si>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</si>
  <si>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</si>
  <si>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</si>
  <si>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</si>
  <si>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</si>
  <si>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</si>
  <si>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</si>
  <si>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</si>
  <si>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</si>
  <si>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</si>
  <si>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</si>
  <si>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</si>
  <si>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</si>
  <si>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</si>
  <si>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</si>
  <si>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</si>
  <si>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</si>
  <si>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</si>
  <si>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</si>
  <si>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</si>
  <si>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</si>
  <si>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</si>
  <si>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</si>
  <si>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</si>
  <si>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</si>
  <si>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</si>
  <si>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</si>
  <si>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</si>
  <si>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</si>
  <si>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</si>
  <si>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</si>
  <si>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</si>
  <si>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</si>
  <si>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</si>
  <si>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</si>
  <si>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</si>
  <si>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</si>
  <si>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</si>
  <si>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</si>
  <si>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</si>
  <si>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</si>
  <si>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</si>
  <si>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</si>
  <si>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</si>
  <si>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</si>
  <si>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</si>
  <si>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</si>
  <si>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</si>
  <si>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</si>
  <si>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</si>
  <si>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</si>
  <si>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</si>
  <si>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</si>
  <si>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</si>
  <si>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</si>
  <si>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</si>
  <si>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</si>
  <si>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</si>
  <si>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</si>
  <si>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</si>
  <si>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</si>
  <si>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</si>
  <si>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</si>
  <si>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</si>
  <si>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</si>
  <si>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</si>
  <si>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</si>
  <si>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</si>
  <si>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</si>
  <si>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</si>
  <si>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</si>
  <si>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</si>
  <si>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</si>
  <si>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</si>
  <si>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</si>
  <si>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</si>
  <si>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</si>
  <si>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</si>
  <si>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</si>
  <si>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</si>
  <si>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</si>
  <si>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</si>
  <si>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</si>
  <si>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</si>
  <si>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</si>
  <si>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</si>
  <si>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</si>
  <si>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</si>
  <si>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</si>
  <si>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</si>
  <si>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</si>
  <si>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</si>
  <si>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</si>
  <si>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</si>
  <si>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</si>
  <si>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</si>
  <si>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</si>
  <si>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</si>
  <si>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</si>
  <si>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</si>
  <si>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</si>
  <si>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</si>
  <si>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</si>
  <si>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</si>
  <si>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</si>
  <si>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</si>
  <si>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</si>
  <si>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</si>
  <si>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</si>
  <si>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</si>
  <si>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</si>
  <si>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</si>
  <si>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</si>
  <si>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</si>
  <si>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</si>
  <si>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</si>
  <si>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</si>
  <si>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</si>
  <si>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</si>
  <si>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</si>
  <si>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</si>
  <si>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</si>
  <si>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</si>
  <si>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</si>
  <si>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</si>
  <si>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</si>
  <si>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</si>
  <si>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</si>
  <si>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</si>
  <si>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</si>
  <si>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</si>
  <si>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</si>
  <si>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</si>
  <si>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</si>
  <si>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</si>
  <si>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</si>
  <si>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</si>
  <si>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</si>
  <si>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</si>
  <si>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</si>
  <si>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</si>
  <si>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</si>
  <si>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</si>
  <si>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</si>
  <si>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</si>
  <si>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</si>
  <si>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</si>
  <si>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</si>
  <si>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</si>
  <si>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</si>
  <si>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</si>
  <si>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</si>
  <si>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</si>
  <si>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</si>
  <si>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</si>
  <si>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</si>
  <si>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</si>
  <si>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</si>
  <si>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</si>
  <si>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</si>
  <si>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</si>
  <si>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</si>
  <si>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</si>
  <si>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</si>
  <si>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</si>
  <si>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</si>
  <si>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</si>
  <si>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</si>
  <si>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</si>
  <si>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</si>
  <si>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</si>
  <si>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</si>
  <si>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</si>
  <si>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</si>
  <si>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</si>
  <si>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</si>
  <si>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</si>
  <si>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</si>
  <si>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</si>
  <si>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</si>
  <si>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</si>
  <si>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</si>
  <si>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</si>
  <si>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</si>
  <si>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</si>
  <si>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</si>
  <si>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</si>
  <si>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</si>
  <si>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</si>
  <si>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</si>
  <si>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</si>
  <si>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</si>
  <si>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</si>
  <si>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</si>
  <si>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</si>
  <si>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</si>
  <si>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</si>
  <si>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</si>
  <si>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</si>
  <si>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</si>
  <si>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</si>
  <si>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</si>
  <si>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</si>
  <si>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</si>
  <si>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</si>
  <si>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</si>
  <si>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</si>
  <si>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</si>
  <si>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</si>
  <si>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</si>
  <si>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</si>
  <si>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</si>
  <si>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</si>
  <si>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</si>
  <si>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</si>
  <si>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</si>
  <si>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</si>
  <si>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</si>
  <si>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</si>
  <si>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</si>
  <si>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</si>
  <si>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</si>
  <si>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</si>
  <si>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</si>
  <si>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</si>
  <si>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</si>
  <si>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</si>
  <si>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</si>
  <si>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</si>
  <si>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</si>
  <si>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</si>
  <si>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</si>
  <si>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</si>
  <si>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</si>
  <si>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</si>
  <si>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</si>
  <si>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</si>
  <si>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</si>
  <si>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</si>
  <si>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</si>
  <si>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</si>
  <si>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</si>
  <si>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</si>
  <si>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</si>
  <si>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</si>
  <si>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</si>
  <si>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</si>
  <si>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</si>
  <si>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</si>
  <si>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</si>
  <si>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</si>
  <si>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</si>
  <si>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</si>
  <si>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</si>
  <si>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</si>
  <si>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</si>
  <si>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</si>
  <si>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</si>
  <si>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</si>
  <si>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</si>
  <si>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</si>
  <si>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</si>
  <si>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</si>
  <si>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</si>
  <si>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</si>
  <si>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</si>
  <si>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</si>
  <si>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</si>
  <si>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</si>
  <si>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</si>
  <si>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</si>
  <si>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</si>
  <si>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</si>
  <si>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</si>
  <si>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</si>
  <si>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</si>
  <si>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</si>
  <si>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</si>
  <si>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</si>
  <si>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</si>
  <si>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</si>
  <si>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</si>
  <si>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</si>
  <si>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</si>
  <si>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</si>
  <si>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</si>
  <si>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</si>
  <si>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</si>
  <si>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</si>
  <si>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</si>
  <si>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</si>
  <si>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</si>
  <si>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</si>
  <si>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</si>
  <si>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</si>
  <si>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</si>
  <si>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</si>
  <si>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</si>
  <si>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</si>
  <si>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</si>
  <si>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</si>
  <si>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</si>
  <si>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</si>
  <si>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</si>
  <si>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</si>
  <si>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</si>
  <si>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</si>
  <si>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</si>
  <si>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</si>
  <si>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</si>
  <si>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</si>
  <si>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</si>
  <si>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</si>
  <si>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</si>
  <si>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</si>
  <si>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</si>
  <si>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</si>
  <si>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</si>
  <si>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</si>
  <si>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</si>
  <si>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</si>
  <si>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</si>
  <si>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</si>
  <si>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</si>
  <si>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</si>
  <si>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</si>
  <si>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</si>
  <si>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</si>
  <si>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</si>
  <si>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</si>
  <si>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</si>
  <si>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</si>
  <si>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</si>
  <si>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</si>
  <si>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</si>
  <si>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</si>
  <si>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</si>
  <si>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</si>
  <si>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</si>
  <si>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</si>
  <si>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</si>
  <si>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2013_Q4</t>
  </si>
  <si>
    <t>ABCD</t>
  </si>
  <si>
    <t>2014_Q1</t>
  </si>
  <si>
    <t>Not_Functional</t>
  </si>
  <si>
    <t>2014_Q2</t>
  </si>
  <si>
    <t>ACF, CDN</t>
  </si>
  <si>
    <t>AusAid</t>
  </si>
  <si>
    <t>2014_Q4</t>
  </si>
  <si>
    <t>ACTED</t>
  </si>
  <si>
    <t>2015_Q1</t>
  </si>
  <si>
    <t>Arche nova</t>
  </si>
  <si>
    <t>CIDA</t>
  </si>
  <si>
    <t>2015_Q2</t>
  </si>
  <si>
    <t>DANIDA</t>
  </si>
  <si>
    <t>2015_Q3</t>
  </si>
  <si>
    <t>CARE, CDN</t>
  </si>
  <si>
    <t>DFAT</t>
  </si>
  <si>
    <t>2015_Q4</t>
  </si>
  <si>
    <t>CDN, MA_UK</t>
  </si>
  <si>
    <t>2016_Q1</t>
  </si>
  <si>
    <t>Cesvi</t>
  </si>
  <si>
    <t>2016_Q2</t>
  </si>
  <si>
    <t>Cesvi, SI</t>
  </si>
  <si>
    <t>2016_Q3</t>
  </si>
  <si>
    <t>CNN</t>
  </si>
  <si>
    <t>Nawngmun</t>
  </si>
  <si>
    <t>2016_Q4</t>
  </si>
  <si>
    <t>2017_Q1</t>
  </si>
  <si>
    <t>DRD</t>
  </si>
  <si>
    <t>2017_Q2</t>
  </si>
  <si>
    <t>IRC</t>
  </si>
  <si>
    <t>2017_Q3</t>
  </si>
  <si>
    <t>Tsawlaw</t>
  </si>
  <si>
    <t>2018_Q1</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</si>
  <si>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</si>
  <si>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</si>
  <si>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</si>
  <si>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</si>
  <si>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</si>
  <si>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</si>
  <si>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</si>
  <si>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</si>
  <si>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</si>
  <si>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</si>
  <si>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</si>
  <si>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</si>
  <si>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</si>
  <si>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</si>
  <si>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</si>
  <si>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</si>
  <si>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</si>
  <si>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</si>
  <si>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</si>
  <si>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</si>
  <si>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</si>
  <si>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</si>
  <si>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</si>
  <si>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</si>
  <si>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</si>
  <si>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</si>
  <si>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</si>
  <si>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</si>
  <si>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</si>
  <si>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</si>
  <si>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</si>
  <si>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</si>
  <si>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</si>
  <si>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</si>
  <si>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</si>
  <si>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</si>
  <si>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</si>
  <si>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</si>
  <si>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</si>
  <si>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</si>
  <si>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</si>
  <si>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</si>
  <si>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</si>
  <si>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</si>
  <si>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</si>
  <si>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</si>
  <si>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</si>
  <si>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</si>
  <si>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</si>
  <si>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</si>
  <si>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</si>
  <si>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</si>
  <si>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</si>
  <si>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</si>
  <si>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</si>
  <si>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</si>
  <si>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</si>
  <si>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</si>
  <si>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</si>
  <si>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</si>
  <si>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</si>
  <si>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</si>
  <si>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</si>
  <si>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</si>
  <si>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</si>
  <si>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</si>
  <si>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</si>
  <si>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</si>
  <si>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</si>
  <si>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</si>
  <si>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</si>
  <si>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</si>
  <si>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</si>
  <si>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</si>
  <si>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</si>
  <si>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</si>
  <si>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</si>
  <si>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</si>
  <si>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</si>
  <si>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</si>
  <si>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</si>
  <si>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</si>
  <si>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</si>
  <si>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</si>
  <si>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</si>
  <si>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</si>
  <si>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</si>
  <si>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</si>
  <si>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</si>
  <si>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</si>
  <si>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</si>
  <si>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</si>
  <si>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</si>
  <si>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</si>
  <si>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</si>
  <si>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</si>
  <si>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</si>
  <si>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</si>
  <si>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</si>
  <si>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</si>
  <si>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</si>
  <si>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</si>
  <si>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</si>
  <si>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</si>
  <si>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</si>
  <si>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</si>
  <si>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</si>
  <si>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</si>
  <si>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</si>
  <si>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</si>
  <si>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</si>
  <si>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</si>
  <si>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</si>
  <si>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</si>
  <si>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</si>
  <si>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</si>
  <si>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</si>
  <si>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</si>
  <si>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</si>
  <si>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</si>
  <si>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</si>
  <si>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</si>
  <si>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</si>
  <si>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</si>
  <si>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</si>
  <si>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</si>
  <si>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</si>
  <si>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</si>
  <si>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</si>
  <si>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</si>
  <si>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</si>
  <si>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</si>
  <si>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</si>
  <si>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</si>
  <si>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</si>
  <si>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</si>
  <si>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</si>
  <si>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</si>
  <si>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</si>
  <si>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</si>
  <si>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</si>
  <si>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</si>
  <si>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</si>
  <si>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</si>
  <si>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</si>
  <si>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</si>
  <si>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</si>
  <si>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</si>
  <si>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</si>
  <si>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</si>
  <si>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</si>
  <si>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</si>
  <si>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</si>
  <si>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</si>
  <si>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</si>
  <si>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</si>
  <si>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</si>
  <si>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</si>
  <si>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</si>
  <si>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</si>
  <si>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</si>
  <si>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</si>
  <si>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</si>
  <si>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</si>
  <si>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</si>
  <si>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</si>
  <si>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</si>
  <si>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</si>
  <si>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</si>
  <si>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</si>
  <si>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</si>
  <si>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</si>
  <si>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</si>
  <si>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</si>
  <si>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</si>
  <si>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</si>
  <si>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</si>
  <si>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</si>
  <si>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</si>
  <si>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</si>
  <si>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</si>
  <si>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</si>
  <si>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</si>
  <si>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</si>
  <si>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</si>
  <si>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</si>
  <si>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</si>
  <si>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</si>
  <si>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</si>
  <si>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</si>
  <si>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</si>
  <si>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</si>
  <si>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</si>
  <si>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</si>
  <si>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</si>
  <si>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</si>
  <si>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</si>
  <si>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</si>
  <si>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</si>
  <si>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</si>
  <si>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</si>
  <si>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</si>
  <si>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</si>
  <si>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</si>
  <si>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</si>
  <si>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</si>
  <si>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</si>
  <si>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</si>
  <si>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</si>
  <si>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</si>
  <si>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</si>
  <si>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</si>
  <si>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</si>
  <si>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</si>
  <si>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</si>
  <si>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</si>
  <si>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</si>
  <si>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</si>
  <si>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</si>
  <si>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</si>
  <si>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</si>
  <si>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</si>
  <si>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</si>
  <si>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</si>
  <si>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</si>
  <si>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</si>
  <si>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</si>
  <si>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</si>
  <si>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</si>
  <si>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</si>
  <si>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</si>
  <si>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</si>
  <si>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</si>
  <si>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</si>
  <si>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</si>
  <si>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</si>
  <si>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</si>
  <si>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</si>
  <si>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</si>
  <si>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</si>
  <si>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</si>
  <si>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</si>
  <si>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</si>
  <si>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</si>
  <si>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</si>
  <si>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</si>
  <si>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</si>
  <si>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</si>
  <si>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</si>
  <si>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</si>
  <si>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</si>
  <si>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</si>
  <si>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</si>
  <si>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</si>
  <si>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</si>
  <si>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</si>
  <si>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</si>
  <si>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</si>
  <si>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</si>
  <si>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</si>
  <si>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</si>
  <si>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</si>
  <si>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</si>
  <si>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</si>
  <si>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</si>
  <si>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</si>
  <si>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</si>
  <si>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</si>
  <si>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</si>
  <si>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</si>
  <si>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</si>
  <si>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</si>
  <si>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</si>
  <si>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</si>
  <si>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</si>
  <si>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</si>
  <si>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</si>
  <si>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</si>
  <si>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</si>
  <si>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</si>
  <si>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</si>
  <si>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</si>
  <si>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</si>
  <si>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</si>
  <si>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</si>
  <si>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</si>
  <si>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</si>
  <si>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</si>
  <si>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</si>
  <si>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</si>
  <si>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</si>
  <si>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</si>
  <si>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</si>
  <si>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</si>
  <si>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</si>
  <si>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</si>
  <si>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</si>
  <si>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</si>
  <si>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</si>
  <si>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</si>
  <si>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</si>
  <si>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</si>
  <si>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</si>
  <si>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</si>
  <si>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</si>
  <si>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</si>
  <si>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</si>
  <si>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</si>
  <si>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</si>
  <si>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</si>
  <si>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</si>
  <si>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</si>
  <si>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</si>
  <si>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</si>
  <si>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</si>
  <si>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</si>
  <si>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</si>
  <si>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</si>
  <si>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</si>
  <si>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</si>
  <si>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</si>
  <si>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</si>
  <si>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</si>
  <si>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</si>
  <si>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</si>
  <si>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</si>
  <si>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</si>
  <si>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</si>
  <si>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</si>
  <si>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</si>
  <si>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</si>
  <si>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</si>
  <si>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</si>
  <si>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</si>
  <si>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</si>
  <si>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</si>
  <si>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</si>
  <si>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</si>
  <si>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</si>
  <si>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</si>
  <si>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</si>
  <si>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</si>
  <si>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</si>
  <si>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</si>
  <si>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</si>
  <si>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</si>
  <si>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</si>
  <si>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</si>
  <si>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</si>
  <si>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</si>
  <si>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</si>
  <si>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</si>
  <si>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</si>
  <si>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</si>
  <si>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</si>
  <si>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</si>
  <si>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</si>
  <si>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</si>
  <si>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</si>
  <si>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</si>
  <si>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</si>
  <si>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</si>
  <si>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</si>
  <si>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</si>
  <si>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</si>
  <si>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</si>
  <si>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</si>
  <si>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</si>
  <si>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</si>
  <si>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</si>
  <si>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</si>
  <si>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</si>
  <si>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</si>
  <si>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</si>
  <si>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</si>
  <si>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</si>
  <si>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</si>
  <si>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</si>
  <si>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</si>
  <si>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</si>
  <si>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</si>
  <si>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</si>
  <si>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</si>
  <si>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</si>
  <si>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</si>
  <si>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</si>
  <si>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</si>
  <si>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</si>
  <si>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</si>
  <si>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</si>
  <si>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</si>
  <si>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</si>
  <si>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</si>
  <si>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</si>
  <si>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</si>
  <si>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</si>
  <si>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</si>
  <si>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</si>
  <si>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</si>
  <si>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</si>
  <si>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</si>
  <si>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</si>
  <si>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</si>
  <si>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</si>
  <si>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</si>
  <si>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</si>
  <si>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</si>
  <si>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</si>
  <si>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</si>
  <si>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</si>
  <si>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</si>
  <si>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</si>
  <si>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</si>
  <si>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</si>
  <si>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</si>
  <si>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</si>
  <si>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%Equitable and continuous access to sufficient quantity of safe drinking water</t>
  </si>
  <si>
    <t>#Water points coverage</t>
  </si>
  <si>
    <t>#Potential required new water points</t>
  </si>
  <si>
    <t>Hygiene Coverage%</t>
  </si>
  <si>
    <t>Hygiene Gap%</t>
  </si>
  <si>
    <t>%people reached by regular dedicated hygiene promotion</t>
  </si>
  <si>
    <t>Standard amount of Soap and sanitary pad</t>
  </si>
  <si>
    <t>#People access to unimproved water sources</t>
  </si>
  <si>
    <t>Row Labels</t>
  </si>
  <si>
    <t>(Multiple Items)</t>
  </si>
  <si>
    <t>Grand Total</t>
  </si>
  <si>
    <t>Indicators</t>
  </si>
  <si>
    <t>State/Region</t>
  </si>
  <si>
    <t xml:space="preserve"> In Need</t>
  </si>
  <si>
    <t>Male 
(est 45%)</t>
  </si>
  <si>
    <t>Female 
(est 55%)</t>
  </si>
  <si>
    <t xml:space="preserve"> Children (&lt;18 yrs)
(est 35%)</t>
  </si>
  <si>
    <t xml:space="preserve"> Adult (18-59 yrs)
(est 40%)</t>
  </si>
  <si>
    <t xml:space="preserve"> Elderly (&gt;59 yrs)
(est 25%)</t>
  </si>
  <si>
    <t>Coverage</t>
  </si>
  <si>
    <t>Gap</t>
  </si>
  <si>
    <t>Robert -Middle school</t>
  </si>
  <si>
    <t>SCI, ADRA/CANADA</t>
  </si>
  <si>
    <t>Total Population reached</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</si>
  <si>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</si>
  <si>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</si>
  <si>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</si>
  <si>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</si>
  <si>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</si>
  <si>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</si>
  <si>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</si>
  <si>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</si>
  <si>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</si>
  <si>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</si>
  <si>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</si>
  <si>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</si>
  <si>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</si>
  <si>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</si>
  <si>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</si>
  <si>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</si>
  <si>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</si>
  <si>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</si>
  <si>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</si>
  <si>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</si>
  <si>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</si>
  <si>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</si>
  <si>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</si>
  <si>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</si>
  <si>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</si>
  <si>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</si>
  <si>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</si>
  <si>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</si>
  <si>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</si>
  <si>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</si>
  <si>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</si>
  <si>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</si>
  <si>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</si>
  <si>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</si>
  <si>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</si>
  <si>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</si>
  <si>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</si>
  <si>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</si>
  <si>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</si>
  <si>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</si>
  <si>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</si>
  <si>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</si>
  <si>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</si>
  <si>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</si>
  <si>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</si>
  <si>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</si>
  <si>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</si>
  <si>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</si>
  <si>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</si>
  <si>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</si>
  <si>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</si>
  <si>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</si>
  <si>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</si>
  <si>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</si>
  <si>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</si>
  <si>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</si>
  <si>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</si>
  <si>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</si>
  <si>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</si>
  <si>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</si>
  <si>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</si>
  <si>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</si>
  <si>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</si>
  <si>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</si>
  <si>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</si>
  <si>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</si>
  <si>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</si>
  <si>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</si>
  <si>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</si>
  <si>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</si>
  <si>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</si>
  <si>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</si>
  <si>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</si>
  <si>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</si>
  <si>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</si>
  <si>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</si>
  <si>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</si>
  <si>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</si>
  <si>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</si>
  <si>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</si>
  <si>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</si>
  <si>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</si>
  <si>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</si>
  <si>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</si>
  <si>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</si>
  <si>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</si>
  <si>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</si>
  <si>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</si>
  <si>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</si>
  <si>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</si>
  <si>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</si>
  <si>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</si>
  <si>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</si>
  <si>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</si>
  <si>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</si>
  <si>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</si>
  <si>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</si>
  <si>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</si>
  <si>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</si>
  <si>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</si>
  <si>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</si>
  <si>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</si>
  <si>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</si>
  <si>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</si>
  <si>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</si>
  <si>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</si>
  <si>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</si>
  <si>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</si>
  <si>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</si>
  <si>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</si>
  <si>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</si>
  <si>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</si>
  <si>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</si>
  <si>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</si>
  <si>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</si>
  <si>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</si>
  <si>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</si>
  <si>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</si>
  <si>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</si>
  <si>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</si>
  <si>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</si>
  <si>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</si>
  <si>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</si>
  <si>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</si>
  <si>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</si>
  <si>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</si>
  <si>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</si>
  <si>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</si>
  <si>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</si>
  <si>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</si>
  <si>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</si>
  <si>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</si>
  <si>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</si>
  <si>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</si>
  <si>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</si>
  <si>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</si>
  <si>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</si>
  <si>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</si>
  <si>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</si>
  <si>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</si>
  <si>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</si>
  <si>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</si>
  <si>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</si>
  <si>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</si>
  <si>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</si>
  <si>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</si>
  <si>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</si>
  <si>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</si>
  <si>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</si>
  <si>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</si>
  <si>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</si>
  <si>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</si>
  <si>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</si>
  <si>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</si>
  <si>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</si>
  <si>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</si>
  <si>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</si>
  <si>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</si>
  <si>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</si>
  <si>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</si>
  <si>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</si>
  <si>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</si>
  <si>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</si>
  <si>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</si>
  <si>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</si>
  <si>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</si>
  <si>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</si>
  <si>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</si>
  <si>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</si>
  <si>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</si>
  <si>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</si>
  <si>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</si>
  <si>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</si>
  <si>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</si>
  <si>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</si>
  <si>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</si>
  <si>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</si>
  <si>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</si>
  <si>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</si>
  <si>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</si>
  <si>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</si>
  <si>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</si>
  <si>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</si>
  <si>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</si>
  <si>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</si>
  <si>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</si>
  <si>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</si>
  <si>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</si>
  <si>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</si>
  <si>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</si>
  <si>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</si>
  <si>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</si>
  <si>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</si>
  <si>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</si>
  <si>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</si>
  <si>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</si>
  <si>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</si>
  <si>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</si>
  <si>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</si>
  <si>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</si>
  <si>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</si>
  <si>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</si>
  <si>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</si>
  <si>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</si>
  <si>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</si>
  <si>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</si>
  <si>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</si>
  <si>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</si>
  <si>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</si>
  <si>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</si>
  <si>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</si>
  <si>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</si>
  <si>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</si>
  <si>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</si>
  <si>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</si>
  <si>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</si>
  <si>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</si>
  <si>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</si>
  <si>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</si>
  <si>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</si>
  <si>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</si>
  <si>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</si>
  <si>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</si>
  <si>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</si>
  <si>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</si>
  <si>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</si>
  <si>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</si>
  <si>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</si>
  <si>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</si>
  <si>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</si>
  <si>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</si>
  <si>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</si>
  <si>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</si>
  <si>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Assume 5 people per hh. 100 hh per Hygiene promoters. So, 500 people per hygiene promotor</t>
  </si>
  <si>
    <t>Column Labels</t>
  </si>
  <si>
    <t>Values</t>
  </si>
  <si>
    <t>Access to unimproved water points</t>
  </si>
  <si>
    <t xml:space="preserve">PoP </t>
  </si>
  <si>
    <t>none</t>
  </si>
  <si>
    <t>Total population</t>
  </si>
  <si>
    <t>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</si>
  <si>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</si>
  <si>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</si>
  <si>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</si>
  <si>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</si>
  <si>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</si>
  <si>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</si>
  <si>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</si>
  <si>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</si>
  <si>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</si>
  <si>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</si>
  <si>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</si>
  <si>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</si>
  <si>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</si>
  <si>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</si>
  <si>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</si>
  <si>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SCI, Metta</t>
  </si>
  <si>
    <t xml:space="preserve"> Reached by Sex</t>
  </si>
  <si>
    <t xml:space="preserve">  Reached by Age</t>
  </si>
  <si>
    <t xml:space="preserve">Partners </t>
  </si>
  <si>
    <t># latrines (target)</t>
  </si>
  <si>
    <t># in villages (6:1)</t>
  </si>
  <si>
    <t>HRP target</t>
  </si>
  <si>
    <t>HHs</t>
  </si>
  <si>
    <t>Pops</t>
  </si>
  <si>
    <t>% WATER GAP</t>
  </si>
  <si>
    <t>% LATRINE GAP</t>
  </si>
  <si>
    <t>% HYGIENE GAP</t>
  </si>
  <si>
    <t>WinE</t>
  </si>
  <si>
    <t>GAP</t>
  </si>
  <si>
    <t>%equitable and continuous access to sufficient quantity of safe drinking and domestic water's GAP</t>
  </si>
  <si>
    <t>% of Latrine Gap</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</si>
  <si>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</si>
  <si>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</si>
  <si>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</si>
  <si>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</si>
  <si>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</si>
  <si>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</si>
  <si>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</si>
  <si>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</si>
  <si>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</si>
  <si>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</si>
  <si>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</si>
  <si>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</si>
  <si>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</si>
  <si>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</si>
  <si>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</si>
  <si>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</si>
  <si>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</si>
  <si>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</si>
  <si>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</si>
  <si>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</si>
  <si>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</si>
  <si>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</si>
  <si>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</si>
  <si>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</si>
  <si>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</si>
  <si>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</si>
  <si>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</si>
  <si>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</si>
  <si>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</si>
  <si>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</si>
  <si>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</si>
  <si>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</si>
  <si>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</si>
  <si>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</si>
  <si>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</si>
  <si>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</si>
  <si>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</si>
  <si>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</si>
  <si>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</si>
  <si>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</si>
  <si>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</si>
  <si>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</si>
  <si>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</si>
  <si>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2018_Q2</t>
  </si>
  <si>
    <t>V39</t>
  </si>
  <si>
    <t>V40</t>
  </si>
  <si>
    <t>စခန္းအတြင္း အဖြဲ႕အစည္းမွ အခေၾကးေငြျဖင့္ခန္႔ထားေသာ (က်ြမ္းက်င္) WASH ၀န္ထမ္း အေရအတြက္</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</si>
  <si>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</si>
  <si>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</si>
  <si>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</si>
  <si>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</si>
  <si>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</si>
  <si>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</si>
  <si>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</si>
  <si>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</si>
  <si>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</si>
  <si>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</si>
  <si>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</si>
  <si>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</si>
  <si>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</si>
  <si>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</si>
  <si>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</si>
  <si>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</si>
  <si>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</si>
  <si>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</si>
  <si>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</si>
  <si>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</si>
  <si>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</si>
  <si>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National</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</si>
  <si>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</si>
  <si>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</si>
  <si>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</si>
  <si>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</si>
  <si>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</si>
  <si>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</si>
  <si>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</si>
  <si>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</si>
  <si>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</si>
  <si>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</si>
  <si>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</si>
  <si>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</si>
  <si>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</si>
  <si>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</si>
  <si>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</si>
  <si>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</si>
  <si>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</si>
  <si>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Pang Hkawn Yang</t>
  </si>
  <si>
    <t>Lone Khin Catholic Church</t>
  </si>
  <si>
    <t>Momauk IDP new Extension camp
(Alen Kawng Lawk)</t>
  </si>
  <si>
    <t>Namatee AG</t>
  </si>
  <si>
    <t>Mohyin</t>
  </si>
  <si>
    <t>Zupra</t>
  </si>
  <si>
    <t>Ban Dang</t>
  </si>
  <si>
    <t>Sut Chyai</t>
  </si>
  <si>
    <t>Da Wei</t>
  </si>
  <si>
    <t>Htai Ra Yang</t>
  </si>
  <si>
    <t>Lawt Awng</t>
  </si>
  <si>
    <t>Unimproved water source</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</si>
  <si>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</si>
  <si>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</si>
  <si>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</si>
  <si>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</si>
  <si>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</si>
  <si>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</si>
  <si>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</si>
  <si>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</si>
  <si>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</si>
  <si>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</si>
  <si>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</si>
  <si>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</si>
  <si>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</si>
  <si>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</si>
  <si>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</si>
  <si>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</si>
  <si>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</si>
  <si>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</si>
  <si>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</si>
  <si>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</si>
  <si>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</si>
  <si>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</si>
  <si>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</si>
  <si>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</si>
  <si>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</si>
  <si>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</si>
  <si>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</si>
  <si>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</si>
  <si>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</si>
  <si>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</si>
  <si>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</si>
  <si>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</si>
  <si>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</si>
  <si>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</si>
  <si>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</si>
  <si>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</si>
  <si>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</si>
  <si>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</si>
  <si>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</si>
  <si>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</si>
  <si>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</si>
  <si>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</si>
  <si>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</si>
  <si>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</si>
  <si>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</si>
  <si>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</si>
  <si>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</si>
  <si>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</si>
  <si>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</si>
  <si>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</si>
  <si>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</si>
  <si>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</si>
  <si>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</si>
  <si>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</si>
  <si>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</si>
  <si>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</si>
  <si>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</si>
  <si>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</si>
  <si>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</si>
  <si>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</si>
  <si>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</si>
  <si>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</si>
  <si>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</si>
  <si>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</si>
  <si>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</si>
  <si>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</si>
  <si>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</si>
  <si>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</si>
  <si>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</si>
  <si>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</si>
  <si>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</si>
  <si>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</si>
  <si>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</si>
  <si>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</si>
  <si>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</si>
  <si>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</si>
  <si>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(in active villages)</t>
  </si>
  <si>
    <t>Gap in active villages/ Township</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</si>
  <si>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</si>
  <si>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</si>
  <si>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</si>
  <si>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</si>
  <si>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</si>
  <si>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</si>
  <si>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</si>
  <si>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</si>
  <si>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</si>
  <si>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</si>
  <si>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</si>
  <si>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</si>
  <si>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</si>
  <si>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</si>
  <si>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</si>
  <si>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</si>
  <si>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</si>
  <si>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</si>
  <si>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</si>
  <si>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</si>
  <si>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</si>
  <si>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</si>
  <si>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</si>
  <si>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</si>
  <si>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</si>
  <si>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</si>
  <si>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</si>
  <si>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</si>
  <si>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</si>
  <si>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</si>
  <si>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</si>
  <si>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</si>
  <si>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</si>
  <si>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</si>
  <si>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</si>
  <si>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</si>
  <si>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</si>
  <si>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</si>
  <si>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</si>
  <si>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</si>
  <si>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</si>
  <si>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</si>
  <si>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</si>
  <si>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</si>
  <si>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</si>
  <si>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</si>
  <si>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</si>
  <si>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</si>
  <si>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</si>
  <si>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</si>
  <si>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</si>
  <si>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</si>
  <si>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</si>
  <si>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</si>
  <si>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</si>
  <si>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</si>
  <si>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</si>
  <si>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</si>
  <si>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</si>
  <si>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</si>
  <si>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</si>
  <si>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</si>
  <si>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</si>
  <si>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</si>
  <si>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</si>
  <si>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</si>
  <si>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</si>
  <si>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</si>
  <si>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</si>
  <si>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</si>
  <si>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</si>
  <si>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</si>
  <si>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</si>
  <si>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</si>
  <si>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</si>
  <si>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</si>
  <si>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</si>
  <si>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</si>
  <si>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</si>
  <si>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</si>
  <si>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</si>
  <si>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</si>
  <si>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</si>
  <si>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</si>
  <si>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</si>
  <si>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</si>
  <si>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</si>
  <si>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</si>
  <si>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</si>
  <si>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</si>
  <si>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</si>
  <si>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</si>
  <si>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</si>
  <si>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</si>
  <si>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</si>
  <si>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</si>
  <si>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</si>
  <si>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</si>
  <si>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</si>
  <si>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</si>
  <si>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</si>
  <si>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</si>
  <si>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</si>
  <si>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</si>
  <si>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</si>
  <si>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</si>
  <si>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</si>
  <si>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</si>
  <si>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</si>
  <si>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</si>
  <si>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2018_Q3</t>
  </si>
  <si>
    <t>2018_Q4</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</si>
  <si>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</si>
  <si>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</si>
  <si>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</si>
  <si>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</si>
  <si>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</si>
  <si>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</si>
  <si>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</si>
  <si>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</si>
  <si>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</si>
  <si>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</si>
  <si>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</si>
  <si>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</si>
  <si>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</si>
  <si>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</si>
  <si>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</si>
  <si>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</si>
  <si>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</si>
  <si>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</si>
  <si>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</si>
  <si>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</si>
  <si>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</si>
  <si>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</si>
  <si>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</si>
  <si>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</si>
  <si>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</si>
  <si>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</si>
  <si>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</si>
  <si>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</si>
  <si>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</si>
  <si>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</si>
  <si>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</si>
  <si>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</si>
  <si>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</si>
  <si>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</si>
  <si>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</si>
  <si>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</si>
  <si>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</si>
  <si>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</si>
  <si>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</si>
  <si>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</si>
  <si>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</si>
  <si>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</si>
  <si>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</si>
  <si>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</si>
  <si>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</si>
  <si>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</si>
  <si>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</si>
  <si>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</si>
  <si>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</si>
  <si>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</si>
  <si>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</si>
  <si>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</si>
  <si>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</si>
  <si>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</si>
  <si>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</si>
  <si>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</si>
  <si>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</si>
  <si>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</si>
  <si>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</si>
  <si>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</si>
  <si>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</si>
  <si>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</si>
  <si>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</si>
  <si>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</si>
  <si>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</si>
  <si>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</si>
  <si>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</si>
  <si>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</si>
  <si>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</si>
  <si>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(Oxfam)</t>
  </si>
  <si>
    <t>OXSI (SI)</t>
  </si>
  <si>
    <t xml:space="preserve"> # of hand washing stations with sufficient soap</t>
  </si>
  <si>
    <t>Khaung Doke Khar 1</t>
  </si>
  <si>
    <t>Khaung Doke Khar 2 (Hmanzi)</t>
  </si>
  <si>
    <t>Phwe Yar Kone (Say Tha Mar Gyi)</t>
  </si>
  <si>
    <t>CCCM_2018Dec</t>
  </si>
  <si>
    <t>4W Activities (2019)</t>
  </si>
  <si>
    <t>Activity
Measurement</t>
  </si>
  <si>
    <t>Output
Measurement</t>
  </si>
  <si>
    <t>State
(Rakhine, Kachin-Shan, All)</t>
  </si>
  <si>
    <t>Reporting period</t>
  </si>
  <si>
    <t>All</t>
  </si>
  <si>
    <t>WASH project agency</t>
  </si>
  <si>
    <t>Name of WASH program agency (program agency and implementing agency may be the same)</t>
  </si>
  <si>
    <t>WASH implementing agency</t>
  </si>
  <si>
    <t>Name of WASH implementing agency (program agency and implementing agency may be the same)</t>
  </si>
  <si>
    <t>Donors</t>
  </si>
  <si>
    <t>Named from Myanmar national naming conventions</t>
  </si>
  <si>
    <t>Site type (camp or village)</t>
  </si>
  <si>
    <t>The site may be either a CCCM registered camp or a village</t>
  </si>
  <si>
    <t xml:space="preserve">Site name </t>
  </si>
  <si>
    <t>All camp names need to be aligned with CCCM naming conventions</t>
  </si>
  <si>
    <t>Project start date</t>
  </si>
  <si>
    <t>Current project start date</t>
  </si>
  <si>
    <t>Project end date</t>
  </si>
  <si>
    <t>Current project end date</t>
  </si>
  <si>
    <t>Person work days lost due to access restrictions to the site</t>
  </si>
  <si>
    <t>drop down
(Yes, No)</t>
  </si>
  <si>
    <t>Estimate liters/person/day</t>
  </si>
  <si>
    <t>HRP1: Percentage of women, men, boys and girls benefitting from safe/improved drinking water, meeting demand for domestic purposes, at minimum/agreed standards</t>
  </si>
  <si>
    <t>HRP 1 (unimproved sources)</t>
  </si>
  <si>
    <t>HRP  (unimproved sources)</t>
  </si>
  <si>
    <t>HRP 2 (latrine X 20 ppl)</t>
  </si>
  <si>
    <t>HRP 2 (latrine X 6 ppl)</t>
  </si>
  <si>
    <t xml:space="preserve">HRP2: Percentage of targeted women, men, boys and girls benefitting from a functional excreta disposal system, reducing safety/public health/environmental risks
</t>
  </si>
  <si>
    <t>V42</t>
  </si>
  <si>
    <t>V43</t>
  </si>
  <si>
    <t>V44</t>
  </si>
  <si>
    <t>V45</t>
  </si>
  <si>
    <t>HRP 2 (Latrine X 20 ppl)</t>
  </si>
  <si>
    <t>V46</t>
  </si>
  <si>
    <t>V47</t>
  </si>
  <si>
    <t>V48</t>
  </si>
  <si>
    <t>V49</t>
  </si>
  <si>
    <t>V50</t>
  </si>
  <si>
    <t>V51</t>
  </si>
  <si>
    <t>V52</t>
  </si>
  <si>
    <t>V53</t>
  </si>
  <si>
    <t>V54</t>
  </si>
  <si>
    <t>V55</t>
  </si>
  <si>
    <t>V56</t>
  </si>
  <si>
    <t>V57</t>
  </si>
  <si>
    <t>HRP 3 (1:100 HHs)</t>
  </si>
  <si>
    <t>HRP35 (1:100 HHs)</t>
  </si>
  <si>
    <t>HRP3: Percentage of targeted women, men, boys and girls benefitting from timely/adequate/tailored personal hygiene items and receiving appropriate/ community tailored messages that enable health seeking behavior</t>
  </si>
  <si>
    <t>V58</t>
  </si>
  <si>
    <t>V59</t>
  </si>
  <si>
    <t>HRP 3 (11ks / HH / Qtr)</t>
  </si>
  <si>
    <t>V60</t>
  </si>
  <si>
    <t>HRP 3 (45 sanitary pads / menstrating age female / HH / quater)</t>
  </si>
  <si>
    <t>V61</t>
  </si>
  <si>
    <t>V62</t>
  </si>
  <si>
    <t>V63</t>
  </si>
  <si>
    <t>2019 HRP Calculation</t>
  </si>
  <si>
    <t xml:space="preserve">HRP 2019 Indicators </t>
  </si>
  <si>
    <t>Percentage of women, men, boys and girls benefitting from safe/improved drinking water, meeting demand for domestic purposes, at minimum/agreed standards</t>
  </si>
  <si>
    <t>Percentage of targeted women, men, boys and girls benefitting from a functional excreta disposal system, reducing safety/public health/environmental risks</t>
  </si>
  <si>
    <t>Camp figures is needed to align with CCCM</t>
  </si>
  <si>
    <t>Site information</t>
  </si>
  <si>
    <t>Project Duration</t>
  </si>
  <si>
    <t>WASH Partner &amp; Donor information</t>
  </si>
  <si>
    <t>2019_Q1</t>
  </si>
  <si>
    <t>2019_Q2</t>
  </si>
  <si>
    <t>2019_Q3</t>
  </si>
  <si>
    <t>2019_Q4</t>
  </si>
  <si>
    <t>2019 HRP Indicators</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</si>
  <si>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</si>
  <si>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</si>
  <si>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</si>
  <si>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</si>
  <si>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</si>
  <si>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</si>
  <si>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</si>
  <si>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</si>
  <si>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</si>
  <si>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</si>
  <si>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</si>
  <si>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</si>
  <si>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</si>
  <si>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</si>
  <si>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</si>
  <si>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</si>
  <si>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</si>
  <si>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</si>
  <si>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</si>
  <si>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ေရ သယ္ယူေထာက္ပံ႔ျခင္းလုပ္ငန္း ( ကားျဖင္႔ (သို႔မဟုတ္) ေလွျဖင္႔ )</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</si>
  <si>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</si>
  <si>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</si>
  <si>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</si>
  <si>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</si>
  <si>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</si>
  <si>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</si>
  <si>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</si>
  <si>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</si>
  <si>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</si>
  <si>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</si>
  <si>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</si>
  <si>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</si>
  <si>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</si>
  <si>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</si>
  <si>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</si>
  <si>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</si>
  <si>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</si>
  <si>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</si>
  <si>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</si>
  <si>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</si>
  <si>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တစ္လလွ်င္ လူတစ္ဦး ရသင္႔ေသာ စံခ်ိန္စံညြန္းအတိုင္း အမ်ိဳးသမီးလစဥ္သံုး ပစၥည္း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</si>
  <si>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</si>
  <si>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</si>
  <si>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</si>
  <si>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</si>
  <si>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</si>
  <si>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</si>
  <si>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</si>
  <si>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</si>
  <si>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</si>
  <si>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</si>
  <si>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 Liters/person/day</t>
  </si>
  <si>
    <t>drop down (Yes,No)</t>
  </si>
  <si>
    <t>Dropdown (Functional,Not_Functional,No,NA)</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</si>
  <si>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</si>
  <si>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</si>
  <si>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</si>
  <si>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</si>
  <si>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</si>
  <si>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</si>
  <si>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ေရထြက္ပင္ရင္းအားေရစမ္းသပ္ျပီးေနာက္ ကလိုရင္းေဆး ျဖင္႔ပိုးသတ္ျခင္းျပဳလုပ္သည္႔အေရအတြက္</t>
  </si>
  <si>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</si>
  <si>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</si>
  <si>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</si>
  <si>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 xml:space="preserve">အစီရင္ခံစာ ေပးပို႔သည္႔ကာလအတြင္း ေသာက္သံုးေရတြင္ ပိုးပါေသာ အိမ္ေထာင္စုမ်ားအားျပဳလုပ္ေသာေနာက္ဆက္တြဲ လုပ္ငန္းစဥ္ အၾကိမ္ အေရအတြက္ ( တကိုယ္ေရသန္႔ရွင္းေရး ေသာက္သံုးေရသန္႔ရွင္းေရးပညာေပး၊ ကလိုရင္းေဆးခတ္ျခင္း ) </t>
  </si>
  <si>
    <t>အစီရင္ခံစာ ေပးပို႔သည္႔ကာလအတြင္း မိသားစုသံုး ေသာက္ေရမွ ေရနမူနာယူျပီး ေရစမ္းသပ္ျခင္း</t>
  </si>
  <si>
    <t>အစီရင္ခံစာ ေပးပို႔သည္႔ကာလအတြင္း ေသာက္သံုးေရတြင္ ပိုးပါေသာ အိမ္ေထာင္စုမ်ားအားျပဳလုပ္ေသာေနာက္ဆက္တြဲ လုပ္ငန္းစဥ္</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</si>
  <si>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</si>
  <si>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</si>
  <si>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</si>
  <si>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</si>
  <si>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</si>
  <si>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</si>
  <si>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</si>
  <si>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</si>
  <si>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Rakhine/Kachin</t>
  </si>
  <si>
    <t>site A</t>
  </si>
  <si>
    <t>auto calculation</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</si>
  <si>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</si>
  <si>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</si>
  <si>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</si>
  <si>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V64</t>
  </si>
  <si>
    <t>V65</t>
  </si>
  <si>
    <t>Donors should be filled WASH program agency's donor if WASH project agency and WASH implementing agency is different.</t>
  </si>
  <si>
    <r>
      <t xml:space="preserve">Hygiene Gap %
</t>
    </r>
    <r>
      <rPr>
        <b/>
        <sz val="10"/>
        <color rgb="FFFF0000"/>
        <rFont val="Crobel"/>
      </rPr>
      <t>Red &gt;=30%,</t>
    </r>
    <r>
      <rPr>
        <b/>
        <sz val="10"/>
        <color theme="0"/>
        <rFont val="Crobel"/>
      </rPr>
      <t xml:space="preserve">
</t>
    </r>
    <r>
      <rPr>
        <b/>
        <sz val="10"/>
        <color rgb="FFFFC000"/>
        <rFont val="Crobel"/>
      </rPr>
      <t>Orange 0%~29%,</t>
    </r>
    <r>
      <rPr>
        <b/>
        <sz val="10"/>
        <color theme="0"/>
        <rFont val="Crobel"/>
      </rPr>
      <t xml:space="preserve"> 
</t>
    </r>
    <r>
      <rPr>
        <b/>
        <sz val="10"/>
        <color theme="9" tint="-0.499984740745262"/>
        <rFont val="Crobel"/>
      </rPr>
      <t>Green =0%</t>
    </r>
  </si>
  <si>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</si>
  <si>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</si>
  <si>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</si>
  <si>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</si>
  <si>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</si>
  <si>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</si>
  <si>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</si>
  <si>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</si>
  <si>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</si>
  <si>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</si>
  <si>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</si>
  <si>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</si>
  <si>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</si>
  <si>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</si>
  <si>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Number of person days</t>
  </si>
  <si>
    <r>
      <rPr>
        <b/>
        <sz val="10"/>
        <rFont val="Corbel"/>
        <family val="2"/>
      </rPr>
      <t>Example:</t>
    </r>
    <r>
      <rPr>
        <sz val="10"/>
        <rFont val="Corbel"/>
        <family val="2"/>
      </rPr>
      <t xml:space="preserve"> If one paid employee could not access the site for 3 days and one paid employee could not access for 1 day due to access restrictions, total = 4 days lost (not 2 people)</t>
    </r>
  </si>
  <si>
    <t>#cubic meters</t>
  </si>
  <si>
    <t>Estimate liters/person/day (cubic meters)</t>
  </si>
  <si>
    <t>Kachin/Shan</t>
  </si>
  <si>
    <t>V66</t>
  </si>
  <si>
    <t>V67</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</si>
  <si>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</si>
  <si>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</si>
  <si>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</si>
  <si>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</si>
  <si>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</si>
  <si>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</si>
  <si>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တဆင္ ့ ေရျဖန္႔ျဖဴးေသာ စနစ္</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</si>
  <si>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</si>
  <si>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</si>
  <si>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</si>
  <si>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</si>
  <si>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ယာယီ ေက်ာင္းေဆာင္မ်ား ႏွင့္ ကေလးေပ်ာ္ေနရာမ်ား တြင္ ရွိေသာ လက္ေဆးစင္ အေရအတြက္</t>
  </si>
  <si>
    <t>ယာယီ ေက်ာင္းေဆာင္မ်ား နွင့္ ကေလးေပ်ာ္ေနရာမ်ားတြင္ ေဆာက္လုပ္ၿပီးစီးသည္႔ လက္ေဆးစင္ အေရအတြက္</t>
  </si>
  <si>
    <t>ယာယီ ေက်ာင္းေဆာင္မ်ား နွင့္ ကေလးေပ်ာ္ေနရာမ်ားတြင္ ေဆာက္လုပ္ထားေသာ ေရထြက္ပင္ရင္း ေရသံုးရန္ ေနရာ</t>
  </si>
  <si>
    <t>ယာယီ ေက်ာင္းေဆာင္မ်ား နွင့္ ကေလးေပ်ာ္ေနရာမ်ားတြင္ ေဆာက္လုပ္ထားေသာ ေရထြက္ပင္ရင္း ေရသံုးရန္ ေနရာ ေဆာက္လုပ္ျပီးစီးသည္႔ အေရအတြက္ (သို႔) ျပဳျပင္ေပးသည္႔ အေရအတြက္</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</si>
  <si>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</si>
  <si>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</si>
  <si>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</si>
  <si>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</si>
  <si>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</si>
  <si>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</si>
  <si>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</si>
  <si>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 xml:space="preserve">စခန္းတြင္းရွိ ယာယီစာသင္ေက်ာင္းမ်ား နွင့္ ကေလးေပ်ာ္ေနရာမ်ား တြင္ရွိေသာ အိမ္သာအေရအတြက္ </t>
  </si>
  <si>
    <t>စခန္းတြင္းရွိ ယာယီစာသင္ေက်ာင္းမ်ား နွင့္ ကေလးေပ်ာ္ေနရာမ်ား တြင္ရွိေသာ အိမ္သာ  အေရအတြက္ (  တံခါး အေရအတြက္အတိုင္း ေကာက္ယူပါမည္)</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</si>
  <si>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</si>
  <si>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</si>
  <si>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Percentage of targeted women, men, boys and girls benefitting from timely/adequate/tailored personal hygiene items and receiving appropriate/ community tailored messages that enable health seeking behavior</t>
  </si>
  <si>
    <t>Safe drinking water</t>
  </si>
  <si>
    <t>% Equitable and continuous access to sufficient quantity of domestic water</t>
  </si>
  <si>
    <t># people with equitable and continuous access to sufficient quantity of safe drinking water</t>
  </si>
  <si>
    <t>Number of women, men, boys and girls benefitting from safe/improved drinking water, meeting demand for domestic purposes, at minimum/agreed standards</t>
  </si>
  <si>
    <t># people needs equitable and continuous access to sufficient quantity of safe drinking and domestic water GAP</t>
  </si>
  <si>
    <t>water point gap</t>
  </si>
  <si>
    <r>
      <t>WATER GAP</t>
    </r>
    <r>
      <rPr>
        <b/>
        <sz val="12"/>
        <color rgb="FFFF0000"/>
        <rFont val="Corbel"/>
        <family val="2"/>
      </rPr>
      <t/>
    </r>
  </si>
  <si>
    <t># students access to functioning school latrines</t>
  </si>
  <si>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</si>
  <si>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</si>
  <si>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</si>
  <si>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HRP3</t>
  </si>
  <si>
    <t>HRP 3b</t>
  </si>
  <si>
    <t xml:space="preserve"> # of women, men, boys and girls benefitting from timely/adequate/tailored personal hygiene items and receiving appropriate/ community tailored messages that enable health seeking behavior</t>
  </si>
  <si>
    <t xml:space="preserve"> HRP1</t>
  </si>
  <si>
    <t xml:space="preserve"> HRP2</t>
  </si>
  <si>
    <t xml:space="preserve"> HRP3</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</si>
  <si>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</si>
  <si>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</si>
  <si>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</si>
  <si>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</si>
  <si>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</si>
  <si>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</si>
  <si>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</si>
  <si>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</si>
  <si>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</si>
  <si>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</si>
  <si>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</si>
  <si>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</si>
  <si>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</si>
  <si>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</si>
  <si>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</si>
  <si>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</si>
  <si>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</si>
  <si>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</si>
  <si>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</si>
  <si>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</si>
  <si>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</si>
  <si>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</si>
  <si>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</si>
  <si>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</si>
  <si>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</si>
  <si>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</si>
  <si>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</si>
  <si>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Na Htoe Pyin</t>
  </si>
  <si>
    <t>Yar Taik</t>
  </si>
  <si>
    <t>Yae Hnyin Chaung</t>
  </si>
  <si>
    <t>Kyu Yaw Chaing</t>
  </si>
  <si>
    <t>Ku Lar Te</t>
  </si>
  <si>
    <t>Auk Thin Pone Than/ Phar Kywe</t>
  </si>
  <si>
    <t> A Htet Myat Lay</t>
  </si>
  <si>
    <t>Tha Lu Chaung</t>
  </si>
  <si>
    <t xml:space="preserve"> Zay Ywar </t>
  </si>
  <si>
    <t>Nga Pha Yone</t>
  </si>
  <si>
    <t xml:space="preserve">Wah Net Yone </t>
  </si>
  <si>
    <t>Ma La Kyun</t>
  </si>
  <si>
    <t>Dway Cha</t>
  </si>
  <si>
    <t>YinYeKan</t>
  </si>
  <si>
    <t>OhnHnanChaung</t>
  </si>
  <si>
    <t>ThonePetChaing</t>
  </si>
  <si>
    <t>MiGyaungTet</t>
  </si>
  <si>
    <t>KaLarChaung</t>
  </si>
  <si>
    <t>PyunTo</t>
  </si>
  <si>
    <t>Sar Pyin</t>
  </si>
  <si>
    <t>Nga Khu Chaung</t>
  </si>
  <si>
    <t>Tha Yet Cho</t>
  </si>
  <si>
    <t>Tha Yet</t>
  </si>
  <si>
    <t>NgweTwinDway</t>
  </si>
  <si>
    <t>NgaWetSway</t>
  </si>
  <si>
    <t>HlaKhaing</t>
  </si>
  <si>
    <t>MinPauk</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</si>
  <si>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</si>
  <si>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</si>
  <si>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</si>
  <si>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</si>
  <si>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</si>
  <si>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</si>
  <si>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</si>
  <si>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</si>
  <si>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</si>
  <si>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</si>
  <si>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</si>
  <si>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</si>
  <si>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</si>
  <si>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</si>
  <si>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</si>
  <si>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</si>
  <si>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</si>
  <si>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</si>
  <si>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</si>
  <si>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</si>
  <si>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</si>
  <si>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</si>
  <si>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</si>
  <si>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</si>
  <si>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</si>
  <si>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</si>
  <si>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</si>
  <si>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</si>
  <si>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</si>
  <si>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</si>
  <si>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</si>
  <si>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</si>
  <si>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</si>
  <si>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</si>
  <si>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</si>
  <si>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</si>
  <si>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</si>
  <si>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</si>
  <si>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</si>
  <si>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</si>
  <si>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</si>
  <si>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</si>
  <si>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</si>
  <si>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</si>
  <si>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</si>
  <si>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</si>
  <si>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</si>
  <si>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</si>
  <si>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</si>
  <si>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</si>
  <si>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</si>
  <si>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</si>
  <si>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</si>
  <si>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</si>
  <si>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</si>
  <si>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</si>
  <si>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</si>
  <si>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</si>
  <si>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</si>
  <si>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</si>
  <si>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</si>
  <si>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</si>
  <si>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</si>
  <si>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</si>
  <si>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</si>
  <si>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</si>
  <si>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</si>
  <si>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</si>
  <si>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</si>
  <si>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</si>
  <si>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</si>
  <si>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</si>
  <si>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</si>
  <si>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</si>
  <si>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</si>
  <si>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</si>
  <si>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</si>
  <si>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</si>
  <si>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Boe Taw monastery</t>
  </si>
  <si>
    <t>Man Li</t>
  </si>
  <si>
    <t>Sasana 2500 monastery</t>
  </si>
  <si>
    <t>Baw Du Pha Village (IDP in host families)</t>
  </si>
  <si>
    <t>OXSI (OXFAM)</t>
  </si>
  <si>
    <t>camp + village + new IDP</t>
  </si>
  <si>
    <t>Northern Rakhine</t>
  </si>
  <si>
    <t>Central Rakhine</t>
  </si>
  <si>
    <t>Central Rakhine Total</t>
  </si>
  <si>
    <t>Targeted population provided with sanitation or hygiene kits or key hygiene items</t>
  </si>
  <si>
    <t>Temporary location_Town</t>
  </si>
  <si>
    <t>New Temporary Site</t>
  </si>
  <si>
    <t>% Access to unimproved water points</t>
  </si>
  <si>
    <t>it is included non-functioning latrines</t>
  </si>
  <si>
    <r>
      <t>% of Latrine</t>
    </r>
    <r>
      <rPr>
        <b/>
        <sz val="10"/>
        <color theme="5" tint="-0.249977111117893"/>
        <rFont val="Crobel"/>
      </rPr>
      <t xml:space="preserve"> Gap</t>
    </r>
    <r>
      <rPr>
        <b/>
        <sz val="10"/>
        <color theme="0"/>
        <rFont val="Crobel"/>
      </rPr>
      <t xml:space="preserve">
</t>
    </r>
    <r>
      <rPr>
        <b/>
        <sz val="10"/>
        <color rgb="FFFF0000"/>
        <rFont val="Crobel"/>
      </rPr>
      <t>Red &gt;=10%,</t>
    </r>
    <r>
      <rPr>
        <b/>
        <sz val="10"/>
        <color theme="0"/>
        <rFont val="Crobel"/>
      </rPr>
      <t xml:space="preserve">
</t>
    </r>
    <r>
      <rPr>
        <b/>
        <sz val="10"/>
        <color theme="5"/>
        <rFont val="Crobel"/>
      </rPr>
      <t>Orange 0%~9%,</t>
    </r>
    <r>
      <rPr>
        <b/>
        <sz val="10"/>
        <color theme="0"/>
        <rFont val="Crobel"/>
      </rPr>
      <t xml:space="preserve">
</t>
    </r>
    <r>
      <rPr>
        <b/>
        <sz val="10"/>
        <color rgb="FF00B050"/>
        <rFont val="Crobel"/>
      </rPr>
      <t>Green =0%</t>
    </r>
  </si>
  <si>
    <t>% people access to functioning Latrine</t>
  </si>
  <si>
    <t>Closed_cccm2019Apr</t>
  </si>
  <si>
    <t xml:space="preserve">Hka Garan Yang </t>
  </si>
  <si>
    <t>MMR001CMP272</t>
  </si>
  <si>
    <t>KBC-BMO</t>
  </si>
  <si>
    <t>KBC-MYT</t>
  </si>
  <si>
    <t>KBC-NSS</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</si>
  <si>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</si>
  <si>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</si>
  <si>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</si>
  <si>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 Hygiene Promotion activities (sessions) in TLS</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</si>
  <si>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</si>
  <si>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</si>
  <si>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</si>
  <si>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</si>
  <si>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</si>
  <si>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</si>
  <si>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</si>
  <si>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</si>
  <si>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</si>
  <si>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</si>
  <si>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</si>
  <si>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</si>
  <si>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</si>
  <si>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</si>
  <si>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</si>
  <si>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</si>
  <si>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</si>
  <si>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</si>
  <si>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</si>
  <si>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</si>
  <si>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</si>
  <si>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</si>
  <si>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</si>
  <si>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</si>
  <si>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</si>
  <si>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</si>
  <si>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</si>
  <si>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</si>
  <si>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</si>
  <si>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</si>
  <si>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</si>
  <si>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</si>
  <si>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</si>
  <si>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</si>
  <si>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</si>
  <si>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</si>
  <si>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</si>
  <si>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</si>
  <si>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SCI, SI</t>
  </si>
  <si>
    <t># of People adopt basic personal and community hygiene practices</t>
  </si>
  <si>
    <t># of people access to functioning  sanitation facilities</t>
  </si>
  <si>
    <t># of people Equitable and continuous access to sufficient quantity of domestic water</t>
  </si>
  <si>
    <t>remove from db, ipds moved to lawa rc church</t>
  </si>
  <si>
    <t>HH
(Rakhine-CCCM as of 31st Jan 2019)
(Kachin/Shan-CCCM as of 31st March 2019)</t>
  </si>
  <si>
    <t>Pop
(Rakhine-CCCM as of 31st Jan 2019)
(Kachin/Shan-CCCM as of 31st March 2019)</t>
  </si>
  <si>
    <t>CCCM_2019Jan</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</si>
  <si>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</si>
  <si>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</si>
  <si>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Ah Htet Thin Pone Tan</t>
  </si>
  <si>
    <t>Yoe Ta Yote</t>
  </si>
  <si>
    <t>Sin Thi Pein Hne Taw (Sin Tae)</t>
  </si>
  <si>
    <t>Kan Sauk</t>
  </si>
  <si>
    <t>Taung Min Ku Lar</t>
  </si>
  <si>
    <t>Kyun Taw</t>
  </si>
  <si>
    <t>Say Oe Kya ( Host+ Displaced)</t>
  </si>
  <si>
    <t>Thay Kan Gwa Sone ( Host)</t>
  </si>
  <si>
    <t>Zay Di Taung  ( Host + Displaced)</t>
  </si>
  <si>
    <t>Pan Myaung (Aung Mingalar Monastery)</t>
  </si>
  <si>
    <t>Gye Kyaung</t>
  </si>
  <si>
    <t>Win Zar</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</si>
  <si>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</si>
  <si>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</si>
  <si>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</si>
  <si>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</si>
  <si>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</si>
  <si>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</si>
  <si>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</si>
  <si>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</si>
  <si>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</si>
  <si>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</si>
  <si>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</si>
  <si>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</si>
  <si>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</si>
  <si>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</si>
  <si>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</si>
  <si>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</si>
  <si>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</si>
  <si>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</si>
  <si>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</si>
  <si>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</si>
  <si>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</si>
  <si>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</si>
  <si>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</si>
  <si>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</si>
  <si>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</si>
  <si>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</si>
  <si>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</si>
  <si>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</si>
  <si>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</si>
  <si>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</si>
  <si>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</si>
  <si>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</si>
  <si>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</si>
  <si>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</si>
  <si>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</si>
  <si>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</si>
  <si>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</si>
  <si>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</si>
  <si>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</si>
  <si>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</si>
  <si>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</si>
  <si>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</si>
  <si>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</si>
  <si>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</si>
  <si>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</si>
  <si>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</si>
  <si>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</si>
  <si>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</si>
  <si>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 xml:space="preserve"> % Water GAP</t>
  </si>
  <si>
    <t xml:space="preserve"> % Sanitation GAP</t>
  </si>
  <si>
    <t xml:space="preserve"> % Hygiene Gap</t>
  </si>
  <si>
    <t xml:space="preserve">  % Hygiene Gap</t>
  </si>
  <si>
    <t xml:space="preserve">  % Latrine Coverage</t>
  </si>
  <si>
    <t xml:space="preserve">  % Latrine GAP</t>
  </si>
  <si>
    <t xml:space="preserve">  % Hygiene Coverage</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</si>
  <si>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</si>
  <si>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</si>
  <si>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</si>
  <si>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</si>
  <si>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</si>
  <si>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</si>
  <si>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</si>
  <si>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</si>
  <si>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</si>
  <si>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</si>
  <si>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</si>
  <si>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</si>
  <si>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</si>
  <si>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</si>
  <si>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</si>
  <si>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</si>
  <si>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</si>
  <si>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</si>
  <si>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</si>
  <si>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</si>
  <si>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</si>
  <si>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</si>
  <si>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</si>
  <si>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</si>
  <si>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 xml:space="preserve">Sum of Total PoP </t>
  </si>
  <si>
    <t>Ywa Thit</t>
  </si>
  <si>
    <t>Teik Tu Pauk</t>
  </si>
  <si>
    <t>Kan Thar Yar</t>
  </si>
  <si>
    <t>Shwe Baho+Sein P M</t>
  </si>
  <si>
    <t>Tat U Chaung (West)</t>
  </si>
  <si>
    <t>WVI</t>
  </si>
  <si>
    <t>Zay Di Taung (Rakhine)</t>
  </si>
  <si>
    <t>Bar Ri Zar</t>
  </si>
  <si>
    <t>Tat U Chaung</t>
  </si>
  <si>
    <t>Pyar Pyin Thein Tan</t>
  </si>
  <si>
    <t>cccm_2019May</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</si>
  <si>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</si>
  <si>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</si>
  <si>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</si>
  <si>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</si>
  <si>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</si>
  <si>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Frequency</t>
  </si>
  <si>
    <t>Quarterly</t>
  </si>
  <si>
    <t>WATER Comments                                         
(If you have gaps or questions)</t>
  </si>
  <si>
    <t>SANITATION Comments                                               
(If you have gaps or questions)</t>
  </si>
  <si>
    <t>HYGIENE Comments                                                               
(If you have gaps or questions)</t>
  </si>
  <si>
    <t># Existing protected/fenced ponds</t>
  </si>
  <si>
    <t># of functional public open wells with sealed walls with water flowing/available all day used for drinking/domestic water</t>
  </si>
  <si>
    <t># of functional public wells/boreholes ( deep tube well, shallow tube well) with water flowing/available all day with a functional flowrate</t>
  </si>
  <si>
    <t xml:space="preserve">Protected/fenced ponds do not count as improved water source or safe drinking water </t>
  </si>
  <si>
    <t>number of waterpoints which you  plan on building or repairing,  (target) OR the numbers you have built of have rehabilitated (current)</t>
  </si>
  <si>
    <r>
      <t xml:space="preserve"># of people accessing to </t>
    </r>
    <r>
      <rPr>
        <b/>
        <u/>
        <sz val="10"/>
        <rFont val="Corbel"/>
        <family val="2"/>
      </rPr>
      <t>other types of un-improved water</t>
    </r>
    <r>
      <rPr>
        <sz val="10"/>
        <rFont val="Corbel"/>
        <family val="2"/>
      </rPr>
      <t xml:space="preserve"> sources (river, spring) during the reporting period.</t>
    </r>
  </si>
  <si>
    <r>
      <t xml:space="preserve"># Functioning </t>
    </r>
    <r>
      <rPr>
        <b/>
        <u/>
        <sz val="10"/>
        <rFont val="Corbel"/>
        <family val="2"/>
      </rPr>
      <t>Tube wells/boreholes/hand pump</t>
    </r>
    <r>
      <rPr>
        <sz val="10"/>
        <rFont val="Corbel"/>
        <family val="2"/>
      </rPr>
      <t>s including community's own hand pumps during the reporting period.</t>
    </r>
  </si>
  <si>
    <r>
      <t># Functioning</t>
    </r>
    <r>
      <rPr>
        <b/>
        <u/>
        <sz val="10"/>
        <rFont val="Corbel"/>
        <family val="2"/>
      </rPr>
      <t xml:space="preserve"> protected hand dug well/open well</t>
    </r>
    <r>
      <rPr>
        <sz val="10"/>
        <rFont val="Corbel"/>
        <family val="2"/>
      </rPr>
      <t xml:space="preserve"> during the reporting period.</t>
    </r>
  </si>
  <si>
    <t>Availability of drainage in school compound (Yes or No)</t>
  </si>
  <si>
    <r>
      <t># of</t>
    </r>
    <r>
      <rPr>
        <b/>
        <u/>
        <sz val="10"/>
        <rFont val="Corbel"/>
        <family val="2"/>
      </rPr>
      <t xml:space="preserve"> sanitary fly-proof HH latrines</t>
    </r>
  </si>
  <si>
    <t># Functioning water points at school</t>
  </si>
  <si>
    <r>
      <t xml:space="preserve"># of </t>
    </r>
    <r>
      <rPr>
        <b/>
        <u/>
        <sz val="10"/>
        <rFont val="Corbel"/>
        <family val="2"/>
      </rPr>
      <t>Functioning latrines in school</t>
    </r>
  </si>
  <si>
    <r>
      <t># of</t>
    </r>
    <r>
      <rPr>
        <b/>
        <u/>
        <sz val="10"/>
        <rFont val="Corbel"/>
        <family val="2"/>
      </rPr>
      <t xml:space="preserve"> person with disabilities at village</t>
    </r>
  </si>
  <si>
    <r>
      <t xml:space="preserve"># of </t>
    </r>
    <r>
      <rPr>
        <b/>
        <u/>
        <sz val="10"/>
        <rFont val="Corbel"/>
        <family val="2"/>
      </rPr>
      <t>person with disabilities at school</t>
    </r>
  </si>
  <si>
    <r>
      <t xml:space="preserve"># of </t>
    </r>
    <r>
      <rPr>
        <b/>
        <u/>
        <sz val="10"/>
        <rFont val="Corbel"/>
        <family val="2"/>
      </rPr>
      <t xml:space="preserve">persons with disabilities with adapted sanitation option at HH level </t>
    </r>
  </si>
  <si>
    <r>
      <t xml:space="preserve"># of </t>
    </r>
    <r>
      <rPr>
        <b/>
        <u/>
        <sz val="10"/>
        <rFont val="Corbel"/>
        <family val="2"/>
      </rPr>
      <t>person with disabilities with access to adapted sanitation option at School</t>
    </r>
  </si>
  <si>
    <t># of Men who received appropirate/community tailored hygiene messages</t>
  </si>
  <si>
    <t># of Women who received appropirate/community tailored hygiene messages</t>
  </si>
  <si>
    <t># of Boys who received appropirate/community tailored hygiene messages</t>
  </si>
  <si>
    <t># of Girls who received appropirate/community tailored hygiene messages</t>
  </si>
  <si>
    <t># of students (boys) who received appropirate hygiene messages</t>
  </si>
  <si>
    <t># of students (girls) who received appropirate hygiene messages</t>
  </si>
  <si>
    <t># of functional handwashing facilities at HH level?? (CDN implementing in HH level)</t>
  </si>
  <si>
    <t># of functional handwashing facilities at school</t>
  </si>
  <si>
    <t>% of affected people surveyed who feel informed about the WASH services available to them (To incorporate AAP questions in monitoring tool)</t>
  </si>
  <si>
    <t>% of people surveryed who know how to and feel comfortable to make suggestions or complaints (To incorporate AAP questions in monitoring tool)</t>
  </si>
  <si>
    <t>% of people surveryed who know how to and feel comfortable to make suggestions or complaints</t>
  </si>
  <si>
    <r>
      <t xml:space="preserve">% of affected people surveyed </t>
    </r>
    <r>
      <rPr>
        <b/>
        <u/>
        <sz val="10"/>
        <rFont val="Corbel"/>
        <family val="2"/>
      </rPr>
      <t>who feel informed</t>
    </r>
    <r>
      <rPr>
        <sz val="10"/>
        <rFont val="Corbel"/>
        <family val="2"/>
      </rPr>
      <t xml:space="preserve"> about the WASH services available to them</t>
    </r>
  </si>
  <si>
    <t>Yearly</t>
  </si>
  <si>
    <t>#_Existing_protected/fenced_ponds</t>
  </si>
  <si>
    <t>#_Functioning_water_points_at_school</t>
  </si>
  <si>
    <t>#_Functioning_protected_hand_dug_well/open_well</t>
  </si>
  <si>
    <t>#_Functioning_Tube_wells/boreholes/hand_pumps_including_community's_own_hand_pumps</t>
  </si>
  <si>
    <t>#_of_people_accessing_to_other_types_of_un-improved_water_sources_(river,_spring)</t>
  </si>
  <si>
    <t>WATER_Comments</t>
  </si>
  <si>
    <t>#_of_sanitary_fly-proof_HH_latrines</t>
  </si>
  <si>
    <t>Availability_of_drainage_in_school_compound_(Yes_or_No)</t>
  </si>
  <si>
    <t>#_of_Functioning_latrines_in_school</t>
  </si>
  <si>
    <t>#_of_PWD_at_school</t>
  </si>
  <si>
    <t>#_of_PWD_at_village</t>
  </si>
  <si>
    <t>#_of_PWD_with_adapted_sanitation_option_at_HH_level_</t>
  </si>
  <si>
    <t>#_of_PWD_with_access_to_adapted_sanitation_option_at_School</t>
  </si>
  <si>
    <t>SANITATION_Comment</t>
  </si>
  <si>
    <t>#_of_Men_who_received_appropirate/community_tailored_hygiene_messages</t>
  </si>
  <si>
    <t>#_of_Women_who_received_appropirate/community_tailored_hygiene_messages</t>
  </si>
  <si>
    <t>#_of_Boys_who_received_appropirate/community_tailored_hygiene_messages</t>
  </si>
  <si>
    <t>#_of_Girls_who_received_appropirate/community_tailored_hygiene_messages</t>
  </si>
  <si>
    <t>#_of_students_(boys)_who_received_appropirate_hygiene_messages</t>
  </si>
  <si>
    <t>#_of_students_(girls)_who_received_appropirate_hygiene_messages</t>
  </si>
  <si>
    <t>#_of_functional_handwashing_facilities_at_school</t>
  </si>
  <si>
    <t>%_of_affected_people_surveyed_who_feel_informed_about_the_WASH_services_available_to_them</t>
  </si>
  <si>
    <t>%_of_people_surveryed_who_know_how_to_and_feel_comfortable_to_make_suggestions_or_complaints</t>
  </si>
  <si>
    <t>#_of_functional_handwashing_facilities_at_HH_level</t>
  </si>
  <si>
    <t># of functional handwashing facilities at HH level</t>
  </si>
  <si>
    <t>HYGIENE_Comments</t>
  </si>
  <si>
    <t>V15, 16, 17, 18, 19</t>
  </si>
  <si>
    <t># Functioning protected hand dug well/open well during the reporting period.
# Functioning Tube wells/boreholes/hand pumps including community's own hand pumps during the reporting period.
# Existing protected/fenced ponds
# of people accessing to other types of un-improved water sources (river, spring) during the reporting period.
# Functioning water points at school</t>
  </si>
  <si>
    <r>
      <t xml:space="preserve">
</t>
    </r>
    <r>
      <rPr>
        <b/>
        <sz val="12"/>
        <color rgb="FF2C2C2C"/>
        <rFont val="Gill Sans MT"/>
        <family val="2"/>
      </rPr>
      <t>Village:</t>
    </r>
    <r>
      <rPr>
        <sz val="12"/>
        <color rgb="FF2C2C2C"/>
        <rFont val="Gill Sans MT"/>
        <family val="2"/>
      </rPr>
      <t xml:space="preserve"> Hand dug well/open well 250 PPL, Hand Pump 250 PPL, Pond=15L/P/D </t>
    </r>
  </si>
  <si>
    <t xml:space="preserve">
Village:HH latrine; 6 PPL:1
</t>
  </si>
  <si>
    <t>Village name</t>
  </si>
  <si>
    <t>#of students in school</t>
  </si>
  <si>
    <t>Person work days lost due to access restrictions to the village</t>
  </si>
  <si>
    <t>Total number of people who is accessing to other types of un-improved water sources (river, spring) during the reporting period.</t>
  </si>
  <si>
    <t>The number of men who attend focus group sessions, community meetings and hygiene awareness sessions (excluding mass campaigns).  Count unique beneficiaries (each person should only be counted once).</t>
  </si>
  <si>
    <t>The number of women who attend focus group sessions, community meetings and hygiene awareness sessions (excluding mass campaigns).  Count unique beneficiaries (each person should only be counted once).</t>
  </si>
  <si>
    <t>The number of boys (&lt;18) who attend focus group sessions, community meetings and hygiene awareness sessions (excluding mass campaigns).  Count unique beneficiaries (each person should only be counted once).</t>
  </si>
  <si>
    <t>The number of girls (&lt;18) who attend focus group sessions, community meetings and hygiene awareness sessions (excluding mass campaigns).  Count unique beneficiaries (each person should only be counted once).</t>
  </si>
  <si>
    <t>Village  Name</t>
  </si>
  <si>
    <t># people access to functional handwashing facilities</t>
  </si>
  <si>
    <t># people reached by regular dedicated hygiene promotion</t>
  </si>
  <si>
    <t>Village with School</t>
  </si>
  <si>
    <t>x3</t>
  </si>
  <si>
    <t>Men</t>
  </si>
  <si>
    <t>Women</t>
  </si>
  <si>
    <t>Boys</t>
  </si>
  <si>
    <t>Girls</t>
  </si>
  <si>
    <t>Count of Village  Name</t>
  </si>
  <si>
    <t>Village-Overall HRP Target</t>
  </si>
  <si>
    <t>Village-Overall reached</t>
  </si>
  <si>
    <t xml:space="preserve">  #of students in school</t>
  </si>
  <si>
    <t>HPM</t>
  </si>
  <si>
    <t>Ku La Thein</t>
  </si>
  <si>
    <t>Hpa Yar Pyin</t>
  </si>
  <si>
    <t>Pi Htu</t>
  </si>
  <si>
    <t>War Lan</t>
  </si>
  <si>
    <t>War Lan Kone</t>
  </si>
  <si>
    <t>Sum of #_of_sanitary_fly-proof_HH_latrines</t>
  </si>
  <si>
    <t>Count of Availability_of_drainage_in_school_compound_(Yes_or_No)</t>
  </si>
  <si>
    <t>Count of Village with School</t>
  </si>
  <si>
    <t>Village With No School</t>
  </si>
  <si>
    <t>Sum of #of students in school</t>
  </si>
  <si>
    <t>Sum of #_of_Functioning_latrines_in_school</t>
  </si>
  <si>
    <t>Required latrines in school</t>
  </si>
  <si>
    <t xml:space="preserve"> # of students in school</t>
  </si>
  <si>
    <t xml:space="preserve"> # of hand washing stations for school</t>
  </si>
  <si>
    <t>Sum of #_of_functional_handwashing_facilities_at_school</t>
  </si>
  <si>
    <t>Sum of #_Functioning_water_points_at_school</t>
  </si>
  <si>
    <t xml:space="preserve"> # of latrines in schools</t>
  </si>
  <si>
    <t xml:space="preserve">  Total PoP </t>
  </si>
  <si>
    <t>No drainage in school compound</t>
  </si>
  <si>
    <t>Drainage in school compound</t>
  </si>
  <si>
    <t>Reached</t>
  </si>
  <si>
    <t>No Reached</t>
  </si>
  <si>
    <t>Sum of #_of_functional_handwashing_facilities_at_HH_level</t>
  </si>
  <si>
    <r>
      <t xml:space="preserve"># of affected households receiving a </t>
    </r>
    <r>
      <rPr>
        <b/>
        <u/>
        <sz val="10"/>
        <rFont val="Corbel"/>
        <family val="2"/>
      </rPr>
      <t>sufficient quantity</t>
    </r>
    <r>
      <rPr>
        <sz val="10"/>
        <rFont val="Corbel"/>
        <family val="2"/>
      </rPr>
      <t xml:space="preserve"> of </t>
    </r>
    <r>
      <rPr>
        <b/>
        <u/>
        <sz val="10"/>
        <rFont val="Corbel"/>
        <family val="2"/>
      </rPr>
      <t>soap</t>
    </r>
    <r>
      <rPr>
        <sz val="10"/>
        <rFont val="Corbel"/>
        <family val="2"/>
      </rPr>
      <t xml:space="preserve"> during the reporting period</t>
    </r>
  </si>
  <si>
    <r>
      <t xml:space="preserve"># of affected women and girls receiving a </t>
    </r>
    <r>
      <rPr>
        <b/>
        <u/>
        <sz val="10"/>
        <rFont val="Corbel"/>
        <family val="2"/>
      </rPr>
      <t>sufficient quantity</t>
    </r>
    <r>
      <rPr>
        <sz val="10"/>
        <rFont val="Corbel"/>
        <family val="2"/>
      </rPr>
      <t xml:space="preserve"> of </t>
    </r>
    <r>
      <rPr>
        <b/>
        <u/>
        <sz val="10"/>
        <rFont val="Corbel"/>
        <family val="2"/>
      </rPr>
      <t>sanitary pads</t>
    </r>
    <r>
      <rPr>
        <sz val="10"/>
        <rFont val="Corbel"/>
        <family val="2"/>
      </rPr>
      <t xml:space="preserve"> during the reporting period</t>
    </r>
  </si>
  <si>
    <t># of affected households receiving a sufficient quantity of soap during the reporting period</t>
  </si>
  <si>
    <t># of affected women and girls receiving a sufficient quantity of sanitary pads during the reporting period</t>
  </si>
  <si>
    <t>#_of_affected_households_receiving_a_sufficient_quantity_of_soap</t>
  </si>
  <si>
    <t>#_of_affected_women_and_girls_receiving_a_sufficient_quantity_of_sanitary_pads</t>
  </si>
  <si>
    <t>AAP</t>
  </si>
  <si>
    <t>Min Te</t>
  </si>
  <si>
    <t>Myar Lee Kan</t>
  </si>
  <si>
    <t>Tha Zin</t>
  </si>
  <si>
    <t>Taw Pan Zin</t>
  </si>
  <si>
    <t># People with access to soap</t>
  </si>
  <si>
    <t># People with access to Sanity Pads</t>
  </si>
  <si>
    <t># People received regular supply of hygiene items</t>
  </si>
  <si>
    <t xml:space="preserve"> # People received regular supply of hygiene items</t>
  </si>
  <si>
    <t>Oak Ta Ma</t>
  </si>
  <si>
    <t>Chaung Du</t>
  </si>
  <si>
    <t>Nar Yi Kan</t>
  </si>
  <si>
    <t>Shwe Pyi Thar</t>
  </si>
  <si>
    <t>Min Gan 1</t>
  </si>
  <si>
    <t>Par Taw</t>
  </si>
  <si>
    <t>Ta Yar Thee Su Ward</t>
  </si>
  <si>
    <t>MMR012001701508</t>
  </si>
  <si>
    <t>MMR012001701522</t>
  </si>
  <si>
    <t>Aung Min Ga Lar Ward</t>
  </si>
  <si>
    <t>MMR012001701530</t>
  </si>
  <si>
    <t>MMR012001701532</t>
  </si>
  <si>
    <t>U Sun Taung</t>
  </si>
  <si>
    <t>Yin Dar</t>
  </si>
  <si>
    <t>Q3_2019</t>
  </si>
  <si>
    <t>Nan Tet</t>
  </si>
  <si>
    <t>Nan Kya (Nan Kyar)</t>
  </si>
  <si>
    <t>Kyauk Kyat</t>
  </si>
  <si>
    <t>Taung U</t>
  </si>
  <si>
    <t>Hteik Wa Pyin</t>
  </si>
  <si>
    <t>Bu Ywet Ma Nyoe</t>
  </si>
  <si>
    <t>Chaung Hpyar</t>
  </si>
  <si>
    <t>Ah Shey</t>
  </si>
  <si>
    <t>Kyee Kan Pyin (South)</t>
  </si>
  <si>
    <t>Kan Thar Yar(Upper)</t>
  </si>
  <si>
    <t>Kan Thar Yar(Lower)</t>
  </si>
  <si>
    <t>Kine Gyi (Myo)</t>
  </si>
  <si>
    <t>Min Gyi</t>
  </si>
  <si>
    <t>Da Pyu Chaung</t>
  </si>
  <si>
    <t>Inn Gyin Myaing (NaTaLa)</t>
  </si>
  <si>
    <t>Laung Chaung</t>
  </si>
  <si>
    <t>Nga Kyin Tauk</t>
  </si>
  <si>
    <t>Pae Youne (NaTaLa)</t>
  </si>
  <si>
    <t>Inn Din</t>
  </si>
  <si>
    <t>Har Bi (West)</t>
  </si>
  <si>
    <t>Zay Kone Tan</t>
  </si>
  <si>
    <t>Tat Min Chaung (Muslim)</t>
  </si>
  <si>
    <t>Tat Min Chaung (Daing Net/Rakhine)</t>
  </si>
  <si>
    <t>Gu Dar Pyin</t>
  </si>
  <si>
    <t>Tha Peik Taung (Rakhine)</t>
  </si>
  <si>
    <t>Rakhine, Daing Net</t>
  </si>
  <si>
    <t>Nga Yant Chaung</t>
  </si>
  <si>
    <t>Dar Paing Sa Yar</t>
  </si>
  <si>
    <t>Mee Kyaung Khaung Swea</t>
  </si>
  <si>
    <t># of total (Liters) stored in Constructed/Existing water storage tank with gravity fed reticulation system</t>
  </si>
  <si>
    <t># liters</t>
  </si>
  <si>
    <t>#_of_total_(Liters)_stored_in_Constructed/Existing_water_storage_tank_with_gravity_fed_reticulation_system</t>
  </si>
  <si>
    <t>HPA</t>
  </si>
  <si>
    <t>JI Guan #1 Village</t>
  </si>
  <si>
    <t>Longdong Yicun</t>
  </si>
  <si>
    <t>#5 Village</t>
  </si>
  <si>
    <t xml:space="preserve">Aik Chan School </t>
  </si>
  <si>
    <t>Long Kong Village</t>
  </si>
  <si>
    <t>Long Man Village</t>
  </si>
  <si>
    <t>Licong Village</t>
  </si>
  <si>
    <t>Yong Lai Village</t>
  </si>
  <si>
    <t>Peng Cai School</t>
  </si>
  <si>
    <t>Yin Pan Zhong Mian You Hao School</t>
  </si>
  <si>
    <t>Nam Hkam Wu</t>
  </si>
  <si>
    <t>Kuankong village</t>
  </si>
  <si>
    <t xml:space="preserve">Nanpa Shiwu </t>
  </si>
  <si>
    <t xml:space="preserve"> Nanpa Niwa </t>
  </si>
  <si>
    <t xml:space="preserve">Yongshang Niwa village </t>
  </si>
  <si>
    <t>Lare Yongbula Village</t>
  </si>
  <si>
    <t xml:space="preserve">Xitong Lengkang </t>
  </si>
  <si>
    <t>WA</t>
  </si>
  <si>
    <t>Gongcong No.2</t>
  </si>
  <si>
    <t>Gongcong No.3</t>
  </si>
  <si>
    <t>Yongben</t>
  </si>
  <si>
    <t>Longdong Ercun</t>
  </si>
  <si>
    <t>Longdong Sancun</t>
  </si>
  <si>
    <t>Yongben/Longdong Sicun</t>
  </si>
  <si>
    <t>Yongyue</t>
  </si>
  <si>
    <t>Yongran</t>
  </si>
  <si>
    <t>Yongkao</t>
  </si>
  <si>
    <t>Shandong Sancun</t>
  </si>
  <si>
    <t>Shandong Sicun</t>
  </si>
  <si>
    <t>Bagedi Qicun</t>
  </si>
  <si>
    <t>Bagedi Bacun</t>
  </si>
  <si>
    <t>Bagedi Ercun</t>
  </si>
  <si>
    <t>Bagedi Yicun</t>
  </si>
  <si>
    <t>Daxisuo Yicun</t>
  </si>
  <si>
    <t>Daxisuo Ercun</t>
  </si>
  <si>
    <t>Laojie</t>
  </si>
  <si>
    <t>Guanyang</t>
  </si>
  <si>
    <t>Yongbang</t>
  </si>
  <si>
    <t>SR4</t>
  </si>
  <si>
    <t>Wan Hui</t>
  </si>
  <si>
    <t>Bang Ma Pai</t>
  </si>
  <si>
    <t>Wan Nan</t>
  </si>
  <si>
    <t>An Ka</t>
  </si>
  <si>
    <t>Bo He</t>
  </si>
  <si>
    <t>Wan Gang Long</t>
  </si>
  <si>
    <t>Ba Lie</t>
  </si>
  <si>
    <t>Jing Yan</t>
  </si>
  <si>
    <t>Suo Yi</t>
  </si>
  <si>
    <t>Meng Suo</t>
  </si>
  <si>
    <t>Yang Lan</t>
  </si>
  <si>
    <t>Wan Ru Gan</t>
  </si>
  <si>
    <t>Ta Ban Long</t>
  </si>
  <si>
    <t>Wan Nuo Da</t>
  </si>
  <si>
    <t>Wan Jing</t>
  </si>
  <si>
    <t>Ake Man Yang</t>
  </si>
  <si>
    <t>Wan Gu</t>
  </si>
  <si>
    <t>Wan Gong</t>
  </si>
  <si>
    <t>Ga Lan</t>
  </si>
  <si>
    <t>Nuo Mei</t>
  </si>
  <si>
    <t>Ta Ban Dang</t>
  </si>
  <si>
    <t>Ta Ban Ga</t>
  </si>
  <si>
    <t>Ta Long</t>
  </si>
  <si>
    <t>Nuo Bing</t>
  </si>
  <si>
    <t>Nuo Ka</t>
  </si>
  <si>
    <t>Meng La</t>
  </si>
  <si>
    <t>Lei Long</t>
  </si>
  <si>
    <t>Pu Du</t>
  </si>
  <si>
    <t>Nan Me Man</t>
  </si>
  <si>
    <t>Nan Ken</t>
  </si>
  <si>
    <t>Bo Hei Xinzhai</t>
  </si>
  <si>
    <t>Man San</t>
  </si>
  <si>
    <t>Nan Duo Man</t>
  </si>
  <si>
    <t>Bo Hei Laozhai</t>
  </si>
  <si>
    <t>KOK</t>
  </si>
  <si>
    <t>Mone Gon</t>
  </si>
  <si>
    <t>Pa Lin</t>
  </si>
  <si>
    <t>Nao Ou</t>
  </si>
  <si>
    <t>Shui Wa</t>
  </si>
  <si>
    <t>Yao Sa Na</t>
  </si>
  <si>
    <t>Nan Bi</t>
  </si>
  <si>
    <t>Mong Hong</t>
  </si>
  <si>
    <t>Ho Pin Kyaing</t>
  </si>
  <si>
    <t>Ban Mon</t>
  </si>
  <si>
    <t>Nan Mong</t>
  </si>
  <si>
    <t>Kaung San</t>
  </si>
  <si>
    <t>Nan Ma Kaw</t>
  </si>
  <si>
    <t>Ban Lot</t>
  </si>
  <si>
    <t>Xi Cun Ba</t>
  </si>
  <si>
    <t>Shi Ma Shan</t>
  </si>
  <si>
    <t>Qiu Shui</t>
  </si>
  <si>
    <t>Shou Gong</t>
  </si>
  <si>
    <t>Shui Jin Tu</t>
  </si>
  <si>
    <t>Dong Ma Ga</t>
  </si>
  <si>
    <t>Shuang Pa</t>
  </si>
  <si>
    <t>Pa Ha (Lisu)</t>
  </si>
  <si>
    <t>Pa Jiu</t>
  </si>
  <si>
    <t>Nan Ba Qi</t>
  </si>
  <si>
    <t>Ban Mo</t>
  </si>
  <si>
    <t>Da Jiu Zhai</t>
  </si>
  <si>
    <t>Da Mian Si</t>
  </si>
  <si>
    <t>Ma Mu Shu</t>
  </si>
  <si>
    <t>Huang Tian</t>
  </si>
  <si>
    <t>Niu Chang</t>
  </si>
  <si>
    <t>Yang Kuang</t>
  </si>
  <si>
    <t>Xia Man Le</t>
  </si>
  <si>
    <t>Chang Liu Shui</t>
  </si>
  <si>
    <t>Xiao Ming Shan</t>
  </si>
  <si>
    <t>Q4_2019</t>
  </si>
  <si>
    <t>Ci He village</t>
  </si>
  <si>
    <t>Lian Bang village</t>
  </si>
  <si>
    <t>Lian He village</t>
  </si>
  <si>
    <t>New Man Jiu village</t>
  </si>
  <si>
    <t>Set Oe</t>
  </si>
  <si>
    <t>Maw Thi Nyar</t>
  </si>
  <si>
    <t>Tin Bi</t>
  </si>
  <si>
    <t>Na Kan (weat)</t>
  </si>
  <si>
    <t xml:space="preserve">Pya Hla </t>
  </si>
  <si>
    <t>Koe Na Win</t>
  </si>
  <si>
    <t>Pya Hla</t>
  </si>
  <si>
    <t>Na Kan</t>
  </si>
  <si>
    <t>Pu Zun Hpe</t>
  </si>
  <si>
    <t>Ku Lar Chaung</t>
  </si>
  <si>
    <t>Lahkum</t>
  </si>
  <si>
    <t>N-gum La</t>
  </si>
  <si>
    <t>Dam ( Zup Ngai Yang)</t>
  </si>
  <si>
    <t>Um Uma</t>
  </si>
  <si>
    <t>Bum Run</t>
  </si>
  <si>
    <t>N-bau Tu</t>
  </si>
  <si>
    <t>Monastery</t>
  </si>
  <si>
    <t>Shan (North) Total</t>
  </si>
  <si>
    <t>Kar Pi Chaung</t>
  </si>
  <si>
    <t>U Gar Dein</t>
  </si>
  <si>
    <t># of sanitation facilities (latrines) built/repaired/rehabilitated following risk-sensitive programming and consultation with communities and/or GBV risk-sensitive programming</t>
  </si>
  <si>
    <t>HRP4: Number of vulnerable people that are consulted, and their concerns are addressed, through dignified and inclusive WASH services.</t>
  </si>
  <si>
    <t># of sanitation facilities (HH sanitation devices) distributed following risk-sensitive programming and consultation with communities and/or GBV risk-sensitive programming</t>
  </si>
  <si>
    <t># of sanitation facilities (bathing spaces) built following risk-sensitive programming and consultation with communities</t>
  </si>
  <si>
    <t>GENERAL</t>
  </si>
  <si>
    <t>WASHinProtection</t>
  </si>
  <si>
    <t>Number of women, men, boys and girls benefitting from safe/ improved drinking water, meeting demand for domestic purposes, at minimum/agreed standards.</t>
  </si>
  <si>
    <t>Number of women, men, boys and girls benefitting from functional excre-ta disposal system, reducing safety/public health/environmental risks.</t>
  </si>
  <si>
    <t>Number of women, men, boys and girls benefitting from timely/ade-quate/tailored personal hygiene items and receiving appropriate/ community tailored messages that enable health seeking behaviour.</t>
  </si>
  <si>
    <t>HRP 4</t>
  </si>
  <si>
    <t>Number of vulnerable people that are consulted, and their concerns are addressed, through dignified and inclusive WASH services.</t>
  </si>
  <si>
    <t>HRP 5</t>
  </si>
  <si>
    <t>Number of women, men, girls and boys accessing WASH services in temporary health facilities and learn-ing spaces which received support from the WASH Cluster.</t>
  </si>
  <si>
    <t xml:space="preserve"># of sanitation facilities (latrines) built/repaired/rehabilitated following risk-sensitive programming and consultation with communities and/or GBV risk-sensitive programming
# of sanitation facilities (HH sanitation devices) distributed following risk-sensitive programming and consultation with communities and/or GBV risk-sensitive programming
</t>
  </si>
  <si>
    <t>HRP1: Number of women, men, boys and girls benefitting from safe/ improved drinking water, meeting demand for domestic purposes, at minimum/agreed standards.</t>
  </si>
  <si>
    <t xml:space="preserve">HRP2: Number of women, men, boys and girls benefitting from functional excre-ta disposal system, reducing safety/public health/environmental risks.
</t>
  </si>
  <si>
    <t>HRP3:Number of women, men, boys and girls benefitting from timely/ade-quate/tailored personal hygiene items and receiving appropriate/ community tailored messages that enable health seeking behaviour.</t>
  </si>
  <si>
    <t xml:space="preserve"># of Men who received appropirate/community tailored hygiene messages
# of Women who received appropirate/community tailored hygiene messages
# of Boys who received appropirate/community tailored hygiene messages
# of Girls who received appropirate/community tailored hygiene messages
# of students (boys) who received appropirate hygiene messages
# of students (girls) who received appropirate hygiene messages
# of affected households receiving a sufficient quantity of soap during the reporting period
# of affected women and girls receiving a sufficient quantity of sanitary pads during the reporting period
</t>
  </si>
  <si>
    <t>V30, 31, 32, 33, 34, 35, 38, 39</t>
  </si>
  <si>
    <t>V43, 44, 45</t>
  </si>
  <si>
    <t>#_of_sanitation_facilities_(latrines)_built/repaired/rehabilitated_following_risk-sensitive_programming_and_consultation_with_communities_and/or_GBV_risk-sensitive_programming</t>
  </si>
  <si>
    <t>#_of_sanitation_facilities_(HH_sanitation_devices)_distributed_following_risk-sensitive_programming_and_consultation_with_communities_and/or_GBV_risk-sensitive_programming</t>
  </si>
  <si>
    <t>#_of_sanitation_facilities_(bathing_spaces)_built_following_risk-sensitive_programming_and_consultation_with_communities</t>
  </si>
  <si>
    <t>2020_Q1</t>
  </si>
  <si>
    <t>ECHO, OFDA, CDC</t>
  </si>
  <si>
    <t>MA-UK</t>
  </si>
  <si>
    <t>HQ</t>
  </si>
  <si>
    <t>Chaing Pyin</t>
  </si>
  <si>
    <t>Hpaung Khar</t>
  </si>
  <si>
    <t xml:space="preserve"> 02/28/2021</t>
  </si>
  <si>
    <t>Byar Lar</t>
  </si>
  <si>
    <t>Thar Dar Seik</t>
  </si>
  <si>
    <t>Nyaung Pin Chaing</t>
  </si>
  <si>
    <t>Pyin Boke</t>
  </si>
  <si>
    <t xml:space="preserve">data  about PSN should be provide by CMA </t>
  </si>
  <si>
    <t>HP session od SI targeted the all population od ANYv 2050</t>
  </si>
  <si>
    <t>Q1_2020</t>
  </si>
  <si>
    <t>Kyan Khin</t>
  </si>
  <si>
    <t>Thea Khon</t>
  </si>
  <si>
    <t>Ba Ra War</t>
  </si>
  <si>
    <t>Day Wun</t>
  </si>
  <si>
    <t>Saung Du</t>
  </si>
  <si>
    <t>Mee Yat Pyin</t>
  </si>
  <si>
    <t>Pan Hpe Chaung</t>
  </si>
  <si>
    <t>Ywet Nyoe Taung</t>
  </si>
  <si>
    <t>Sin Oe Chaing Ywar Thit</t>
  </si>
  <si>
    <t>Shin Oe Chaing- Old</t>
  </si>
  <si>
    <t xml:space="preserve"># of sanitary fly-proof HH latrines
# of persons with disabilities with adapted sanitation option at HH level 
</t>
  </si>
  <si>
    <t>V22, 26</t>
  </si>
  <si>
    <t>WV' Korea</t>
  </si>
  <si>
    <t>Nam Khaung</t>
  </si>
  <si>
    <t>Nyaung Pin Tar</t>
  </si>
  <si>
    <t>Sut Yang</t>
  </si>
  <si>
    <t>Nawng Mun</t>
  </si>
  <si>
    <t>Htwei San Yang</t>
  </si>
  <si>
    <t>Inn Shan Hku</t>
  </si>
  <si>
    <t>Htat Queen Baw Sar Dee</t>
  </si>
  <si>
    <t>Jat Mai Yang</t>
  </si>
  <si>
    <t>Mang Shang</t>
  </si>
  <si>
    <t>Wu Ra Yang</t>
  </si>
  <si>
    <t>Bum Taung</t>
  </si>
  <si>
    <t>Mar Kyar</t>
  </si>
  <si>
    <t>Lu Myang Ward (3)</t>
  </si>
  <si>
    <t>La Kyaung</t>
  </si>
  <si>
    <t>Hkang Bu</t>
  </si>
  <si>
    <t>N Pawn/ Hang Gaw</t>
  </si>
  <si>
    <t>Ni Ku De</t>
  </si>
  <si>
    <t>Zi Kaw</t>
  </si>
  <si>
    <t>Din Gum Yang</t>
  </si>
  <si>
    <t>Shang Len Yang</t>
  </si>
  <si>
    <t>Q1-2020</t>
  </si>
  <si>
    <t>Kachin Total</t>
  </si>
  <si>
    <t>2020_Q2</t>
  </si>
  <si>
    <t>2020_Q3</t>
  </si>
  <si>
    <t>2020_Q4</t>
  </si>
  <si>
    <t>CDN, MA-UK, OXSI(Oxfam), OXSI(SI)</t>
  </si>
  <si>
    <t>Sum of #_of_PWD_at_village</t>
  </si>
  <si>
    <t>Sum of #_of_PWD_with_adapted_sanitation_option_at_HH_level_</t>
  </si>
  <si>
    <t># of PWD at village</t>
  </si>
  <si>
    <t xml:space="preserve"> # of PWD with adapted sanitation option at HH level</t>
  </si>
  <si>
    <t>Sum of HRP2</t>
  </si>
  <si>
    <t>Access</t>
  </si>
  <si>
    <t>No Access</t>
  </si>
  <si>
    <t xml:space="preserve">Accessed </t>
  </si>
  <si>
    <t xml:space="preserve">No access </t>
  </si>
  <si>
    <t># Water points in School</t>
  </si>
  <si>
    <t>Sum of # People with access to soap</t>
  </si>
  <si>
    <t>Sum of # People with access to Sanity Pads</t>
  </si>
  <si>
    <t xml:space="preserve"> # People with access to soap</t>
  </si>
  <si>
    <t xml:space="preserve"> # People with access to Sanity Pads</t>
  </si>
  <si>
    <t>Accessed</t>
  </si>
  <si>
    <t xml:space="preserve"> % People benefitting from safe/improved drinking water, meeting demand for domestic purposes, at minimum/agreed standards</t>
  </si>
  <si>
    <t xml:space="preserve"> % People benefitting from a functional excreta disposal system, reducing safety/public health/environmental risks</t>
  </si>
  <si>
    <t xml:space="preserve"> %People benefitting from personal hygiene items and receiving appropriate hygiene message</t>
  </si>
  <si>
    <t xml:space="preserve"> % People benefitting from safe/improved drinking water, meeting demand for domestic purposes</t>
  </si>
  <si>
    <t>Sum of #People access to unimproved water sources</t>
  </si>
  <si>
    <t xml:space="preserve"> Total PoP </t>
  </si>
  <si>
    <t>Sum of # people with equitable and continuous access to sufficient quantity of safe drinking water</t>
  </si>
  <si>
    <t># people access to sufficient quantity of safe drinking water</t>
  </si>
  <si>
    <t>No access</t>
  </si>
  <si>
    <t># People accessed to unimproved water sources</t>
  </si>
  <si>
    <t xml:space="preserve"> # Functioning protected hand dug well/open well</t>
  </si>
  <si>
    <t xml:space="preserve"> # Functioning Tube wells/boreholes/hand_pumps</t>
  </si>
  <si>
    <t xml:space="preserve">  # Existing protected/fenced_ponds</t>
  </si>
  <si>
    <t>Sum of #_of_people_accessing_to_other_types_of_un-improved_water_sources_(river,_spring)</t>
  </si>
  <si>
    <t>WCM</t>
  </si>
  <si>
    <t>Htara Zup</t>
  </si>
  <si>
    <t>Ka Kyee Htu</t>
  </si>
  <si>
    <t>In Yaw Kawng</t>
  </si>
  <si>
    <t xml:space="preserve">Jar Htu Yang </t>
  </si>
  <si>
    <t>Daw Lang Kawng</t>
  </si>
  <si>
    <t>Bum Yar</t>
  </si>
  <si>
    <t>N Byine Gar</t>
  </si>
  <si>
    <t>Bum Rong</t>
  </si>
  <si>
    <t>La Zee</t>
  </si>
  <si>
    <t>La Yang</t>
  </si>
  <si>
    <t>Sut Ja</t>
  </si>
  <si>
    <t>In Pauk Chet</t>
  </si>
  <si>
    <t>Au Ra Ka Htaung</t>
  </si>
  <si>
    <t>In Bang Bum</t>
  </si>
  <si>
    <t xml:space="preserve">In Lat Jar </t>
  </si>
  <si>
    <t xml:space="preserve">Kawng San </t>
  </si>
  <si>
    <t>Bum Noi</t>
  </si>
  <si>
    <t>Hkin Du Yang</t>
  </si>
  <si>
    <t>Long Wan</t>
  </si>
  <si>
    <t>Aum Hta San Htu</t>
  </si>
  <si>
    <t>In Ding Ding Sa</t>
  </si>
  <si>
    <t>Hting Bu Kawng</t>
  </si>
  <si>
    <t>In Hkai</t>
  </si>
  <si>
    <t>Hkin Dawng</t>
  </si>
  <si>
    <t>Wa Wan Gar</t>
  </si>
  <si>
    <t>Mali Kawng Ja</t>
  </si>
  <si>
    <t>Dam Gar</t>
  </si>
  <si>
    <t>Ma Li Sut</t>
  </si>
  <si>
    <t>World Concern</t>
  </si>
  <si>
    <t>Pang Hlut Lawng</t>
  </si>
  <si>
    <t>Kawng Kaw</t>
  </si>
  <si>
    <t>Ho Lawng</t>
  </si>
  <si>
    <t>Man Myaing</t>
  </si>
  <si>
    <t>Pei Huong</t>
  </si>
  <si>
    <t xml:space="preserve">Chauk Maing </t>
  </si>
  <si>
    <t>Hkain Chin</t>
  </si>
  <si>
    <t>Nam Maw Sin</t>
  </si>
  <si>
    <t>Kone Hsar</t>
  </si>
  <si>
    <t>(All)</t>
  </si>
  <si>
    <t>5-1-2019</t>
  </si>
  <si>
    <t>12-31-2020</t>
  </si>
  <si>
    <t>Kayin</t>
  </si>
  <si>
    <t>Hlaing Bwe</t>
  </si>
  <si>
    <t>Yar Sa</t>
  </si>
  <si>
    <t>Yar Ki</t>
  </si>
  <si>
    <t>Naung Kha Lone</t>
  </si>
  <si>
    <t>Yar The Yar</t>
  </si>
  <si>
    <t>Yar Htut Khel</t>
  </si>
  <si>
    <t>Yaw Hta</t>
  </si>
  <si>
    <t>Tar Ka Lel Ni</t>
  </si>
  <si>
    <t>War Kyal</t>
  </si>
  <si>
    <t>Naung Taing Khee</t>
  </si>
  <si>
    <t>Htee Poe War Mae</t>
  </si>
  <si>
    <t>Naung Taing</t>
  </si>
  <si>
    <t>Ahr Ku Ka Yaung</t>
  </si>
  <si>
    <t>Kyaung Taw</t>
  </si>
  <si>
    <t>Ka Nel Haw War</t>
  </si>
  <si>
    <t>Htaing Boke</t>
  </si>
  <si>
    <t>Kwee Hpar Taw</t>
  </si>
  <si>
    <t>Kayin Total</t>
  </si>
  <si>
    <t>Q2_2020</t>
  </si>
  <si>
    <t>DRA</t>
  </si>
  <si>
    <t>USAID/OFDA</t>
  </si>
  <si>
    <t>HP session of SI targeted the all population od ANYv 2228 / 5 Hand Washing station have been installed in the pubblic space in ANYvillage</t>
  </si>
  <si>
    <t>HARP-F</t>
  </si>
  <si>
    <t>Koe Soung 1</t>
  </si>
  <si>
    <t>Koe Soung 2</t>
  </si>
  <si>
    <t>Maw La Wee Kyan</t>
  </si>
  <si>
    <t>Pyar Lay Chaung</t>
  </si>
  <si>
    <t>Than Daw Li</t>
  </si>
  <si>
    <t>Gant Gaw Kyun</t>
  </si>
  <si>
    <t>Koe Saung</t>
  </si>
  <si>
    <t>Ohn Yae Paw</t>
  </si>
  <si>
    <t>Thar Yar Kone Ka Man</t>
  </si>
  <si>
    <t>Taung Ka Lay</t>
  </si>
  <si>
    <t>Htauk Ka Yar</t>
  </si>
  <si>
    <t>Shauk Kone</t>
  </si>
  <si>
    <t>Shan Gone</t>
  </si>
  <si>
    <t xml:space="preserve">  # People received regular supply of hygiene items</t>
  </si>
  <si>
    <t>RAKHINE STATE - non-IDP Sites  (2020 - Qtr 2 - 4W Analysis, as of 30 June 2020)</t>
  </si>
  <si>
    <t>2020-2nd Qtr 4W by site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</si>
</sst>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_(* #,##0_);_(* \(#,##0\);_(* &quot;-&quot;??_);_(@_)"/>
    <numFmt numFmtId="165" formatCode="[$-409]d\-mmm\-yy;@"/>
    <numFmt numFmtId="166" formatCode="[$-409]d/mmm/yy;@"/>
    <numFmt numFmtId="167" formatCode="yyyy/mm/dd"/>
    <numFmt numFmtId="168" formatCode="[$-409]d\-mmm\-yyyy;@"/>
  </numFmts>
  <fonts count="148">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1"/>
      <color theme="5" tint="0.79998168889431442"/>
      <name val="Calibri"/>
      <family val="2"/>
      <scheme val="minor"/>
    </font>
    <font>
      <sz val="11"/>
      <color theme="9" tint="0.79998168889431442"/>
      <name val="Calibri"/>
      <family val="2"/>
      <scheme val="minor"/>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i/>
      <sz val="11"/>
      <color theme="1"/>
      <name val="Calibri"/>
      <family val="2"/>
      <scheme val="minor"/>
    </font>
    <font>
      <b/>
      <sz val="12"/>
      <color theme="0"/>
      <name val="Calibri"/>
      <family val="2"/>
      <scheme val="minor"/>
    </font>
    <font>
      <sz val="10"/>
      <color theme="1"/>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sz val="10"/>
      <color theme="1"/>
      <name val="Calibri"/>
      <family val="2"/>
      <scheme val="minor"/>
    </font>
    <font>
      <sz val="10"/>
      <color theme="1"/>
      <name val="Calibri"/>
      <family val="2"/>
      <scheme val="minor"/>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b/>
      <sz val="10"/>
      <name val="Crobel"/>
    </font>
    <font>
      <b/>
      <sz val="10"/>
      <color theme="0"/>
      <name val="Crobel"/>
    </font>
    <font>
      <b/>
      <sz val="10"/>
      <color rgb="FFFF0000"/>
      <name val="Crobel"/>
    </font>
    <font>
      <b/>
      <sz val="10"/>
      <color theme="5" tint="-0.249977111117893"/>
      <name val="Crobel"/>
    </font>
    <font>
      <b/>
      <sz val="10"/>
      <color rgb="FF00B050"/>
      <name val="Crobel"/>
    </font>
    <font>
      <b/>
      <sz val="10"/>
      <color rgb="FFFFC000"/>
      <name val="Crobel"/>
    </font>
    <font>
      <b/>
      <sz val="10"/>
      <color theme="9" tint="-0.499984740745262"/>
      <name val="Crobel"/>
    </font>
    <font>
      <sz val="10"/>
      <color theme="1"/>
      <name val="Crobel"/>
    </font>
    <font>
      <sz val="18"/>
      <name val="Corbel"/>
      <family val="2"/>
    </font>
    <font>
      <sz val="11"/>
      <name val="Calibri"/>
      <family val="2"/>
    </font>
    <font>
      <sz val="18"/>
      <name val="zawgyi1"/>
      <family val="2"/>
    </font>
    <font>
      <sz val="11"/>
      <name val="zawgyi1"/>
      <family val="2"/>
    </font>
    <font>
      <sz val="8"/>
      <color rgb="FF2C2C2C"/>
      <name val="Zawgyi-One"/>
      <family val="2"/>
    </font>
    <font>
      <sz val="8"/>
      <name val="Zawgyi-One"/>
      <family val="2"/>
    </font>
    <font>
      <sz val="8"/>
      <color theme="1"/>
      <name val="Zawgyi-One"/>
      <family val="2"/>
    </font>
    <font>
      <b/>
      <sz val="10"/>
      <color theme="0"/>
      <name val="Corbel"/>
      <family val="2"/>
    </font>
    <font>
      <b/>
      <sz val="10"/>
      <color rgb="FF0070C0"/>
      <name val="Crobel"/>
    </font>
    <font>
      <b/>
      <sz val="14"/>
      <color theme="0"/>
      <name val="zawgyi1"/>
      <family val="2"/>
    </font>
    <font>
      <b/>
      <sz val="14"/>
      <color rgb="FFFFC000"/>
      <name val="zawgyi1"/>
      <family val="2"/>
    </font>
    <font>
      <sz val="12"/>
      <name val="Calibri"/>
      <family val="2"/>
      <scheme val="minor"/>
    </font>
    <font>
      <b/>
      <sz val="11"/>
      <color theme="0"/>
      <name val="Calibri"/>
      <family val="2"/>
      <scheme val="minor"/>
    </font>
    <font>
      <b/>
      <sz val="10"/>
      <color theme="5"/>
      <name val="Crobel"/>
    </font>
    <font>
      <sz val="10"/>
      <color theme="1"/>
      <name val="Calibri"/>
      <family val="2"/>
      <scheme val="minor"/>
    </font>
    <font>
      <sz val="11"/>
      <color theme="1"/>
      <name val="Calibri"/>
      <family val="2"/>
      <scheme val="minor"/>
    </font>
    <font>
      <sz val="10"/>
      <color theme="1"/>
      <name val="Calibri"/>
      <family val="2"/>
      <scheme val="minor"/>
    </font>
    <font>
      <b/>
      <u/>
      <sz val="10"/>
      <name val="Corbel"/>
      <family val="2"/>
    </font>
    <font>
      <sz val="10"/>
      <color theme="0"/>
      <name val="Corbel"/>
      <family val="2"/>
    </font>
    <font>
      <sz val="11"/>
      <color theme="9" tint="-0.249977111117893"/>
      <name val="Calibri"/>
      <family val="2"/>
      <scheme val="minor"/>
    </font>
    <font>
      <sz val="10"/>
      <color rgb="FF2C2C2C"/>
      <name val="Corbel"/>
      <family val="2"/>
    </font>
    <font>
      <sz val="10"/>
      <color theme="1"/>
      <name val="Calibri"/>
      <family val="2"/>
      <scheme val="minor"/>
    </font>
    <font>
      <sz val="10"/>
      <color theme="1"/>
      <name val="Calibri"/>
      <family val="2"/>
      <scheme val="minor"/>
    </font>
    <font>
      <sz val="12"/>
      <color theme="1"/>
      <name val="Calibri"/>
      <family val="2"/>
      <scheme val="minor"/>
    </font>
    <font>
      <sz val="11"/>
      <color theme="1"/>
      <name val="Calibri"/>
      <family val="2"/>
      <scheme val="minor"/>
    </font>
    <font>
      <sz val="8"/>
      <name val="Times New Roman"/>
      <family val="2"/>
    </font>
    <font>
      <sz val="10"/>
      <color rgb="FF2C2C2C"/>
      <name val="Corbel"/>
      <family val="2"/>
    </font>
    <font>
      <sz val="10"/>
      <color theme="1"/>
      <name val="Calibri"/>
      <family val="2"/>
      <scheme val="minor"/>
    </font>
    <font>
      <sz val="10"/>
      <color rgb="FF2C2C2C"/>
      <name val="Corbel"/>
      <family val="2"/>
    </font>
    <font>
      <sz val="11"/>
      <color theme="1"/>
      <name val="Calibri"/>
      <family val="2"/>
      <scheme val="minor"/>
    </font>
    <font>
      <sz val="11"/>
      <color theme="5" tint="-0.249977111117893"/>
      <name val="Calibri"/>
      <family val="2"/>
      <scheme val="minor"/>
    </font>
    <font>
      <sz val="11"/>
      <color theme="9" tint="-0.249977111117893"/>
      <name val="Calibri"/>
      <family val="2"/>
      <scheme val="minor"/>
    </font>
    <font>
      <sz val="10"/>
      <color theme="1"/>
      <name val="Calibri"/>
      <family val="2"/>
      <scheme val="minor"/>
    </font>
    <font>
      <sz val="10"/>
      <color indexed="8"/>
      <name val="Corbel"/>
      <family val="2"/>
    </font>
    <font>
      <sz val="12"/>
      <color theme="1"/>
      <name val="Calibri"/>
      <scheme val="minor"/>
    </font>
    <font>
      <sz val="10"/>
      <color theme="1"/>
      <name val="Calibri"/>
      <scheme val="minor"/>
    </font>
    <font>
      <sz val="11"/>
      <color theme="1"/>
      <name val="Calibri"/>
      <scheme val="minor"/>
    </font>
    <font>
      <b/>
      <sz val="11"/>
      <color theme="0"/>
      <name val="Calibri"/>
      <scheme val="minor"/>
    </font>
    <font>
      <sz val="12"/>
      <color theme="0"/>
      <name val="Calibri"/>
      <scheme val="minor"/>
    </font>
    <font>
      <b/>
      <sz val="12"/>
      <color theme="0"/>
      <name val="Calibri"/>
      <scheme val="minor"/>
    </font>
  </fonts>
  <fills count="49">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theme="9" tint="-0.249977111117893"/>
        <bgColor theme="9" tint="-0.249977111117893"/>
      </patternFill>
    </fill>
    <fill>
      <patternFill patternType="solid">
        <fgColor rgb="FFFFFF00"/>
        <bgColor indexed="64"/>
      </patternFill>
    </fill>
    <fill>
      <patternFill patternType="solid">
        <fgColor theme="7" tint="0.59999389629810485"/>
        <bgColor indexed="64"/>
      </patternFill>
    </fill>
  </fills>
  <borders count="114">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theme="4"/>
      </left>
      <right style="thin">
        <color theme="4"/>
      </right>
      <top style="medium">
        <color theme="4"/>
      </top>
      <bottom style="medium">
        <color theme="4"/>
      </bottom>
      <diagonal/>
    </border>
    <border>
      <left style="thin">
        <color theme="4"/>
      </left>
      <right style="thin">
        <color theme="4"/>
      </right>
      <top/>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39994506668294322"/>
      </left>
      <right style="thin">
        <color theme="4" tint="0.39994506668294322"/>
      </right>
      <top/>
      <bottom/>
      <diagonal/>
    </border>
    <border>
      <left style="thin">
        <color theme="4" tint="0.39994506668294322"/>
      </left>
      <right style="thin">
        <color theme="4"/>
      </right>
      <top/>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medium">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medium">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style="thin">
        <color theme="4"/>
      </left>
      <right style="thin">
        <color theme="4"/>
      </right>
      <top/>
      <bottom style="thin">
        <color theme="4"/>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double">
        <color theme="8"/>
      </top>
      <bottom/>
      <diagonal/>
    </border>
    <border>
      <left style="thin">
        <color theme="8"/>
      </left>
      <right style="thin">
        <color theme="8"/>
      </right>
      <top style="double">
        <color theme="8"/>
      </top>
      <bottom/>
      <diagonal/>
    </border>
    <border>
      <left style="thin">
        <color theme="8"/>
      </left>
      <right/>
      <top style="double">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bottom style="thin">
        <color theme="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14996795556505021"/>
      </left>
      <right/>
      <top style="thin">
        <color theme="0" tint="-0.14996795556505021"/>
      </top>
      <bottom style="thin">
        <color theme="0" tint="-0.14996795556505021"/>
      </bottom>
      <diagonal/>
    </border>
    <border>
      <left style="medium">
        <color theme="0"/>
      </left>
      <right/>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style="thin">
        <color theme="0"/>
      </right>
      <top style="thin">
        <color theme="0"/>
      </top>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right/>
      <top style="thin">
        <color theme="0"/>
      </top>
      <bottom/>
      <diagonal/>
    </border>
    <border>
      <left/>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right style="medium">
        <color rgb="FF0070C0"/>
      </right>
      <top/>
      <bottom/>
      <diagonal/>
    </border>
    <border>
      <left style="thin">
        <color theme="0" tint="-0.249977111117893"/>
      </left>
      <right style="thin">
        <color theme="0" tint="-0.249977111117893"/>
      </right>
      <top/>
      <bottom/>
      <diagonal/>
    </border>
    <border>
      <left style="medium">
        <color rgb="FF0070C0"/>
      </left>
      <right style="thin">
        <color rgb="FF0070C0"/>
      </right>
      <top style="thin">
        <color rgb="FF0070C0"/>
      </top>
      <bottom/>
      <diagonal/>
    </border>
    <border>
      <left style="medium">
        <color rgb="FF0070C0"/>
      </left>
      <right style="thin">
        <color rgb="FF0070C0"/>
      </right>
      <top/>
      <bottom style="thin">
        <color rgb="FF0070C0"/>
      </bottom>
      <diagonal/>
    </border>
    <border>
      <left style="medium">
        <color rgb="FF0070C0"/>
      </left>
      <right style="thin">
        <color rgb="FF0070C0"/>
      </right>
      <top/>
      <bottom/>
      <diagonal/>
    </border>
    <border>
      <left style="medium">
        <color rgb="FF0070C0"/>
      </left>
      <right/>
      <top/>
      <bottom/>
      <diagonal/>
    </border>
    <border>
      <left style="thin">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
      <left style="medium">
        <color rgb="FF0070C0"/>
      </left>
      <right/>
      <top style="thin">
        <color rgb="FF0070C0"/>
      </top>
      <bottom/>
      <diagonal/>
    </border>
    <border>
      <left style="medium">
        <color rgb="FF0070C0"/>
      </left>
      <right/>
      <top/>
      <bottom style="thin">
        <color rgb="FF0070C0"/>
      </bottom>
      <diagonal/>
    </border>
    <border>
      <left style="thin">
        <color theme="5"/>
      </left>
      <right style="thin">
        <color theme="5"/>
      </right>
      <top/>
      <bottom/>
      <diagonal/>
    </border>
    <border>
      <left style="thin">
        <color theme="5"/>
      </left>
      <right style="thin">
        <color theme="5"/>
      </right>
      <top/>
      <bottom style="thin">
        <color theme="5"/>
      </bottom>
      <diagonal/>
    </border>
    <border>
      <left/>
      <right style="thin">
        <color theme="9"/>
      </right>
      <top style="thin">
        <color theme="9" tint="0.59996337778862885"/>
      </top>
      <bottom/>
      <diagonal/>
    </border>
    <border>
      <left/>
      <right style="thin">
        <color theme="9"/>
      </right>
      <top style="thin">
        <color theme="9" tint="0.59996337778862885"/>
      </top>
      <bottom style="thin">
        <color theme="9" tint="0.59996337778862885"/>
      </bottom>
      <diagonal/>
    </border>
    <border>
      <left style="thin">
        <color theme="9" tint="0.59996337778862885"/>
      </left>
      <right/>
      <top style="thin">
        <color theme="9" tint="0.59996337778862885"/>
      </top>
      <bottom/>
      <diagonal/>
    </border>
    <border>
      <left style="thin">
        <color theme="9" tint="0.59996337778862885"/>
      </left>
      <right/>
      <top style="thin">
        <color theme="9" tint="0.59996337778862885"/>
      </top>
      <bottom style="thin">
        <color theme="9" tint="0.59996337778862885"/>
      </bottom>
      <diagonal/>
    </border>
    <border>
      <left style="thin">
        <color rgb="FF0070C0"/>
      </left>
      <right/>
      <top style="thin">
        <color rgb="FF0070C0"/>
      </top>
      <bottom style="thin">
        <color rgb="FF0070C0"/>
      </bottom>
      <diagonal/>
    </border>
    <border>
      <left style="thin">
        <color theme="4" tint="0.39994506668294322"/>
      </left>
      <right style="thin">
        <color theme="4"/>
      </right>
      <top style="thin">
        <color theme="4"/>
      </top>
      <bottom style="thin">
        <color theme="4"/>
      </bottom>
      <diagonal/>
    </border>
  </borders>
  <cellStyleXfs count="70">
    <xf numFmtId="0" fontId="0" fillId="0" borderId="0"/>
    <xf numFmtId="9" fontId="15" fillId="0" borderId="0" applyFont="0" applyFill="0" applyBorder="0" applyAlignment="0" applyProtection="0"/>
    <xf numFmtId="0" fontId="16" fillId="0" borderId="0"/>
    <xf numFmtId="9"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166" fontId="16" fillId="0" borderId="0"/>
    <xf numFmtId="0" fontId="42" fillId="0" borderId="0"/>
    <xf numFmtId="0" fontId="42" fillId="0" borderId="0"/>
    <xf numFmtId="0" fontId="14" fillId="0" borderId="0"/>
    <xf numFmtId="9" fontId="14" fillId="0" borderId="0" applyFont="0" applyFill="0" applyBorder="0" applyAlignment="0" applyProtection="0"/>
    <xf numFmtId="0" fontId="63" fillId="0" borderId="29" applyNumberFormat="0" applyFill="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166" fontId="12" fillId="0" borderId="0"/>
    <xf numFmtId="0" fontId="13" fillId="0" borderId="0"/>
    <xf numFmtId="9" fontId="13" fillId="0" borderId="0" applyFont="0" applyFill="0" applyBorder="0" applyAlignment="0" applyProtection="0"/>
    <xf numFmtId="0" fontId="42" fillId="0" borderId="0"/>
    <xf numFmtId="0" fontId="15" fillId="0" borderId="0"/>
    <xf numFmtId="0" fontId="47" fillId="24" borderId="0" applyNumberFormat="0" applyBorder="0" applyAlignment="0" applyProtection="0"/>
    <xf numFmtId="0" fontId="48" fillId="25" borderId="0" applyNumberFormat="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166"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166" fontId="11"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166"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166" fontId="7"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6"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6"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6"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6"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6" fontId="1" fillId="0" borderId="0"/>
  </cellStyleXfs>
  <cellXfs count="913">
    <xf numFmtId="0" fontId="0" fillId="0" borderId="0" xfId="0"/>
    <xf numFmtId="0" fontId="19" fillId="2" borderId="1" xfId="0" applyFont="1" applyFill="1" applyBorder="1" applyAlignment="1">
      <alignment horizontal="left" vertical="center" readingOrder="1"/>
    </xf>
    <xf numFmtId="0" fontId="19" fillId="5" borderId="2" xfId="0" applyFont="1" applyFill="1" applyBorder="1" applyAlignment="1">
      <alignment horizontal="left" vertical="center" readingOrder="1"/>
    </xf>
    <xf numFmtId="0" fontId="19" fillId="8" borderId="2" xfId="0" applyFont="1" applyFill="1" applyBorder="1" applyAlignment="1">
      <alignment horizontal="left" vertical="center" readingOrder="1"/>
    </xf>
    <xf numFmtId="0" fontId="19" fillId="8" borderId="3" xfId="0" applyFont="1" applyFill="1" applyBorder="1" applyAlignment="1">
      <alignment horizontal="left" vertical="center" readingOrder="1"/>
    </xf>
    <xf numFmtId="0" fontId="19" fillId="9" borderId="2" xfId="0" applyFont="1" applyFill="1" applyBorder="1" applyAlignment="1">
      <alignment horizontal="left" vertical="center" readingOrder="1"/>
    </xf>
    <xf numFmtId="0" fontId="20" fillId="3" borderId="1" xfId="0" applyFont="1" applyFill="1" applyBorder="1" applyAlignment="1">
      <alignment horizontal="left" vertical="center" readingOrder="1"/>
    </xf>
    <xf numFmtId="0" fontId="20" fillId="4" borderId="2" xfId="0" applyFont="1" applyFill="1" applyBorder="1" applyAlignment="1">
      <alignment horizontal="left" vertical="center" readingOrder="1"/>
    </xf>
    <xf numFmtId="0" fontId="20" fillId="3" borderId="2" xfId="0" applyFont="1" applyFill="1" applyBorder="1" applyAlignment="1">
      <alignment horizontal="left" vertical="center" readingOrder="1"/>
    </xf>
    <xf numFmtId="0" fontId="20" fillId="3" borderId="3" xfId="0" applyFont="1" applyFill="1" applyBorder="1" applyAlignment="1">
      <alignment horizontal="left" vertical="center" readingOrder="1"/>
    </xf>
    <xf numFmtId="14" fontId="20" fillId="3" borderId="2" xfId="0" applyNumberFormat="1" applyFont="1" applyFill="1" applyBorder="1" applyAlignment="1">
      <alignment horizontal="left" vertical="center" readingOrder="1"/>
    </xf>
    <xf numFmtId="14" fontId="20" fillId="6" borderId="2" xfId="0" applyNumberFormat="1" applyFont="1" applyFill="1" applyBorder="1" applyAlignment="1">
      <alignment horizontal="left" vertical="center" readingOrder="1"/>
    </xf>
    <xf numFmtId="0" fontId="20" fillId="7" borderId="2" xfId="0" applyFont="1" applyFill="1" applyBorder="1" applyAlignment="1">
      <alignment horizontal="left" vertical="center" readingOrder="1"/>
    </xf>
    <xf numFmtId="0" fontId="23" fillId="7" borderId="2" xfId="0" applyFont="1" applyFill="1" applyBorder="1" applyAlignment="1">
      <alignment horizontal="left" vertical="top" wrapText="1" readingOrder="1"/>
    </xf>
    <xf numFmtId="14" fontId="23" fillId="6" borderId="1" xfId="0" applyNumberFormat="1" applyFont="1" applyFill="1" applyBorder="1" applyAlignment="1">
      <alignment horizontal="left" vertical="top" wrapText="1" readingOrder="1"/>
    </xf>
    <xf numFmtId="9" fontId="20" fillId="3" borderId="2" xfId="1" applyFont="1" applyFill="1" applyBorder="1" applyAlignment="1">
      <alignment horizontal="left" vertical="center" readingOrder="1"/>
    </xf>
    <xf numFmtId="9" fontId="20" fillId="6" borderId="1" xfId="1" applyFont="1" applyFill="1" applyBorder="1" applyAlignment="1">
      <alignment horizontal="left" vertical="top" wrapText="1" readingOrder="1"/>
    </xf>
    <xf numFmtId="0" fontId="28" fillId="0" borderId="0" xfId="0" applyFont="1"/>
    <xf numFmtId="0" fontId="26" fillId="0" borderId="0" xfId="0" applyFont="1"/>
    <xf numFmtId="0" fontId="31" fillId="0" borderId="0" xfId="0" applyFont="1" applyAlignment="1"/>
    <xf numFmtId="0" fontId="31" fillId="0" borderId="0" xfId="0" applyFont="1" applyFill="1" applyAlignment="1"/>
    <xf numFmtId="166" fontId="16" fillId="13" borderId="0" xfId="8" applyFill="1"/>
    <xf numFmtId="166" fontId="16" fillId="13" borderId="0" xfId="8" applyFill="1" applyAlignment="1">
      <alignment horizontal="center" vertical="center"/>
    </xf>
    <xf numFmtId="166" fontId="16" fillId="20" borderId="8" xfId="8" applyFill="1" applyBorder="1"/>
    <xf numFmtId="166" fontId="16" fillId="20" borderId="0" xfId="8" applyFill="1" applyBorder="1"/>
    <xf numFmtId="166" fontId="16" fillId="20" borderId="9" xfId="8" applyFill="1" applyBorder="1"/>
    <xf numFmtId="166" fontId="25" fillId="20" borderId="0" xfId="8" applyFont="1" applyFill="1" applyBorder="1"/>
    <xf numFmtId="166" fontId="16" fillId="20" borderId="10" xfId="8" applyFill="1" applyBorder="1"/>
    <xf numFmtId="166" fontId="16" fillId="20" borderId="11" xfId="8" applyFill="1" applyBorder="1"/>
    <xf numFmtId="166" fontId="16" fillId="20" borderId="12" xfId="8" applyFill="1" applyBorder="1"/>
    <xf numFmtId="0" fontId="20" fillId="0" borderId="0" xfId="0" applyFont="1" applyFill="1" applyBorder="1" applyAlignment="1">
      <alignment horizontal="left" vertical="center" readingOrder="1"/>
    </xf>
    <xf numFmtId="9" fontId="31" fillId="0" borderId="0" xfId="0" applyNumberFormat="1" applyFont="1" applyFill="1" applyAlignment="1"/>
    <xf numFmtId="9" fontId="31" fillId="0" borderId="0" xfId="1" applyFont="1" applyFill="1" applyAlignment="1"/>
    <xf numFmtId="1" fontId="31" fillId="0" borderId="0" xfId="0" applyNumberFormat="1" applyFont="1" applyFill="1" applyAlignment="1"/>
    <xf numFmtId="14" fontId="31" fillId="0" borderId="0" xfId="0" applyNumberFormat="1" applyFont="1" applyFill="1" applyAlignment="1"/>
    <xf numFmtId="1" fontId="31" fillId="0" borderId="0" xfId="1" applyNumberFormat="1" applyFont="1" applyFill="1" applyAlignment="1"/>
    <xf numFmtId="0" fontId="31" fillId="0" borderId="0" xfId="1" applyNumberFormat="1" applyFont="1" applyFill="1" applyAlignment="1"/>
    <xf numFmtId="0" fontId="31" fillId="0" borderId="0" xfId="0" applyNumberFormat="1" applyFont="1" applyFill="1" applyAlignment="1"/>
    <xf numFmtId="1" fontId="31" fillId="0" borderId="0" xfId="0" applyNumberFormat="1" applyFont="1" applyFill="1" applyAlignment="1">
      <alignment horizontal="left"/>
    </xf>
    <xf numFmtId="0" fontId="20" fillId="3" borderId="0" xfId="0" applyFont="1" applyFill="1" applyBorder="1" applyAlignment="1">
      <alignment horizontal="left" vertical="center" readingOrder="1"/>
    </xf>
    <xf numFmtId="0" fontId="20" fillId="0" borderId="1" xfId="0" applyFont="1" applyFill="1" applyBorder="1" applyAlignment="1">
      <alignment horizontal="left" vertical="center" readingOrder="1"/>
    </xf>
    <xf numFmtId="14" fontId="20" fillId="3" borderId="17" xfId="0" applyNumberFormat="1" applyFont="1" applyFill="1" applyBorder="1" applyAlignment="1">
      <alignment horizontal="left" vertical="center" readingOrder="1"/>
    </xf>
    <xf numFmtId="0" fontId="28" fillId="0" borderId="0" xfId="0" applyNumberFormat="1" applyFont="1"/>
    <xf numFmtId="1" fontId="28" fillId="0" borderId="0" xfId="0" applyNumberFormat="1" applyFont="1"/>
    <xf numFmtId="0" fontId="28" fillId="0" borderId="0" xfId="0" applyFont="1" applyAlignment="1">
      <alignment wrapText="1" readingOrder="1"/>
    </xf>
    <xf numFmtId="0" fontId="20" fillId="7" borderId="0" xfId="0" applyFont="1" applyFill="1" applyBorder="1" applyAlignment="1">
      <alignment horizontal="left" vertical="center" readingOrder="1"/>
    </xf>
    <xf numFmtId="0" fontId="19" fillId="9" borderId="14" xfId="0" applyFont="1" applyFill="1" applyBorder="1" applyAlignment="1">
      <alignment horizontal="left" vertical="center" readingOrder="1"/>
    </xf>
    <xf numFmtId="0" fontId="20" fillId="7" borderId="14" xfId="0" applyFont="1" applyFill="1" applyBorder="1" applyAlignment="1">
      <alignment horizontal="left" vertical="center" readingOrder="1"/>
    </xf>
    <xf numFmtId="0" fontId="45" fillId="2" borderId="1" xfId="0" applyFont="1" applyFill="1" applyBorder="1" applyAlignment="1">
      <alignment horizontal="left" vertical="center" readingOrder="1"/>
    </xf>
    <xf numFmtId="14" fontId="46" fillId="6" borderId="2" xfId="0" applyNumberFormat="1" applyFont="1" applyFill="1" applyBorder="1" applyAlignment="1">
      <alignment horizontal="left" vertical="center" readingOrder="1"/>
    </xf>
    <xf numFmtId="14" fontId="45" fillId="6" borderId="1" xfId="0" applyNumberFormat="1" applyFont="1" applyFill="1" applyBorder="1" applyAlignment="1">
      <alignment horizontal="left" vertical="top" wrapText="1" readingOrder="1"/>
    </xf>
    <xf numFmtId="0" fontId="46" fillId="3" borderId="2" xfId="0" applyFont="1" applyFill="1" applyBorder="1" applyAlignment="1">
      <alignment horizontal="left" vertical="center" readingOrder="1"/>
    </xf>
    <xf numFmtId="0" fontId="46" fillId="7" borderId="2" xfId="0" applyFont="1" applyFill="1" applyBorder="1" applyAlignment="1">
      <alignment horizontal="left" vertical="center" readingOrder="1"/>
    </xf>
    <xf numFmtId="0" fontId="46" fillId="7" borderId="2" xfId="0" applyFont="1" applyFill="1" applyBorder="1" applyAlignment="1">
      <alignment horizontal="left" vertical="top" wrapText="1" readingOrder="1"/>
    </xf>
    <xf numFmtId="0" fontId="20" fillId="3" borderId="15" xfId="0" applyFont="1" applyFill="1" applyBorder="1" applyAlignment="1">
      <alignment horizontal="left" vertical="center" readingOrder="1"/>
    </xf>
    <xf numFmtId="165" fontId="20" fillId="0" borderId="0" xfId="0" applyNumberFormat="1" applyFont="1" applyFill="1" applyAlignment="1">
      <alignment horizontal="left" vertical="center" readingOrder="1"/>
    </xf>
    <xf numFmtId="0" fontId="23" fillId="7" borderId="14" xfId="0" applyFont="1" applyFill="1" applyBorder="1" applyAlignment="1">
      <alignment horizontal="left" vertical="top" wrapText="1" readingOrder="1"/>
    </xf>
    <xf numFmtId="0" fontId="20" fillId="3" borderId="14" xfId="0" applyFont="1" applyFill="1" applyBorder="1" applyAlignment="1">
      <alignment horizontal="left" vertical="center" readingOrder="1"/>
    </xf>
    <xf numFmtId="0" fontId="61" fillId="0" borderId="0" xfId="0" applyFont="1"/>
    <xf numFmtId="0" fontId="61" fillId="0" borderId="0" xfId="0" applyFont="1" applyAlignment="1">
      <alignment wrapText="1"/>
    </xf>
    <xf numFmtId="164" fontId="61" fillId="0" borderId="0" xfId="0" applyNumberFormat="1" applyFont="1"/>
    <xf numFmtId="0" fontId="26" fillId="0" borderId="20" xfId="0" applyFont="1" applyFill="1" applyBorder="1"/>
    <xf numFmtId="0" fontId="26" fillId="0" borderId="28" xfId="0" applyFont="1" applyFill="1" applyBorder="1"/>
    <xf numFmtId="0" fontId="26" fillId="0" borderId="26" xfId="0" applyFont="1" applyFill="1" applyBorder="1"/>
    <xf numFmtId="0" fontId="26" fillId="0" borderId="0" xfId="0" applyFont="1" applyBorder="1"/>
    <xf numFmtId="0" fontId="46" fillId="0" borderId="0" xfId="0" applyFont="1"/>
    <xf numFmtId="0" fontId="46" fillId="0" borderId="0" xfId="0" applyFont="1" applyAlignment="1"/>
    <xf numFmtId="0" fontId="28" fillId="0" borderId="0" xfId="0" applyNumberFormat="1" applyFont="1" applyAlignment="1">
      <alignment wrapText="1"/>
    </xf>
    <xf numFmtId="0" fontId="28" fillId="0" borderId="0" xfId="0" applyFont="1" applyFill="1"/>
    <xf numFmtId="14" fontId="35" fillId="16" borderId="0" xfId="0" applyNumberFormat="1" applyFont="1" applyFill="1" applyBorder="1" applyAlignment="1">
      <alignment horizontal="left"/>
    </xf>
    <xf numFmtId="9" fontId="65" fillId="23" borderId="0" xfId="0" applyNumberFormat="1" applyFont="1" applyFill="1" applyBorder="1" applyAlignment="1">
      <alignment vertical="center"/>
    </xf>
    <xf numFmtId="0" fontId="28" fillId="0" borderId="0" xfId="0" applyFont="1" applyFill="1" applyBorder="1"/>
    <xf numFmtId="1" fontId="65" fillId="23" borderId="0" xfId="0" applyNumberFormat="1" applyFont="1" applyFill="1" applyBorder="1" applyAlignment="1">
      <alignment vertical="center"/>
    </xf>
    <xf numFmtId="0" fontId="61" fillId="18" borderId="23" xfId="0" applyFont="1" applyFill="1" applyBorder="1" applyAlignment="1">
      <alignment horizontal="center"/>
    </xf>
    <xf numFmtId="0" fontId="61" fillId="18" borderId="24" xfId="0" applyFont="1" applyFill="1" applyBorder="1" applyAlignment="1">
      <alignment horizontal="center"/>
    </xf>
    <xf numFmtId="0" fontId="61" fillId="18" borderId="25" xfId="0" applyFont="1" applyFill="1" applyBorder="1" applyAlignment="1">
      <alignment horizontal="center"/>
    </xf>
    <xf numFmtId="0" fontId="68" fillId="33" borderId="35" xfId="0" applyFont="1" applyFill="1" applyBorder="1" applyAlignment="1">
      <alignment horizontal="center" vertical="center" wrapText="1"/>
    </xf>
    <xf numFmtId="0" fontId="68" fillId="33" borderId="31" xfId="0" applyFont="1" applyFill="1" applyBorder="1" applyAlignment="1">
      <alignment horizontal="center" vertical="center" wrapText="1"/>
    </xf>
    <xf numFmtId="0" fontId="68" fillId="33" borderId="36" xfId="0" applyFont="1" applyFill="1" applyBorder="1" applyAlignment="1">
      <alignment horizontal="center" vertical="center" wrapText="1"/>
    </xf>
    <xf numFmtId="0" fontId="62" fillId="0" borderId="32" xfId="0" applyFont="1" applyBorder="1" applyAlignment="1">
      <alignment horizontal="center" vertical="center"/>
    </xf>
    <xf numFmtId="0" fontId="68" fillId="0" borderId="33" xfId="0" applyFont="1" applyBorder="1" applyAlignment="1">
      <alignment horizontal="center" vertical="center" wrapText="1"/>
    </xf>
    <xf numFmtId="0" fontId="68" fillId="13" borderId="33" xfId="0" applyFont="1" applyFill="1" applyBorder="1" applyAlignment="1">
      <alignment horizontal="center" vertical="center" wrapText="1"/>
    </xf>
    <xf numFmtId="0" fontId="69" fillId="13" borderId="34" xfId="0" applyFont="1" applyFill="1" applyBorder="1" applyAlignment="1">
      <alignment horizontal="center" vertical="center" wrapText="1"/>
    </xf>
    <xf numFmtId="0" fontId="67" fillId="8" borderId="22" xfId="0" applyFont="1" applyFill="1" applyBorder="1" applyAlignment="1">
      <alignment horizontal="center" vertical="center" wrapText="1"/>
    </xf>
    <xf numFmtId="0" fontId="67" fillId="36" borderId="22" xfId="0" applyFont="1" applyFill="1" applyBorder="1" applyAlignment="1">
      <alignment horizontal="center" vertical="center" wrapText="1"/>
    </xf>
    <xf numFmtId="0" fontId="0" fillId="0" borderId="22" xfId="0" applyBorder="1"/>
    <xf numFmtId="0" fontId="61" fillId="0" borderId="22" xfId="0" applyFont="1" applyBorder="1"/>
    <xf numFmtId="0" fontId="67" fillId="14" borderId="22" xfId="0" applyFont="1" applyFill="1" applyBorder="1" applyAlignment="1">
      <alignment horizontal="center" vertical="center" wrapText="1"/>
    </xf>
    <xf numFmtId="0" fontId="0" fillId="37" borderId="22" xfId="0" applyFill="1" applyBorder="1"/>
    <xf numFmtId="164" fontId="67" fillId="14" borderId="22" xfId="4" applyNumberFormat="1" applyFont="1" applyFill="1" applyBorder="1" applyAlignment="1">
      <alignment horizontal="right" vertical="center"/>
    </xf>
    <xf numFmtId="164" fontId="67" fillId="8" borderId="22" xfId="4" applyNumberFormat="1" applyFont="1" applyFill="1" applyBorder="1" applyAlignment="1">
      <alignment horizontal="right" vertical="center"/>
    </xf>
    <xf numFmtId="164" fontId="67" fillId="36" borderId="22" xfId="4" applyNumberFormat="1" applyFont="1" applyFill="1" applyBorder="1" applyAlignment="1">
      <alignment horizontal="right" vertical="center"/>
    </xf>
    <xf numFmtId="0" fontId="28" fillId="27" borderId="0" xfId="0" applyFont="1" applyFill="1"/>
    <xf numFmtId="166" fontId="12" fillId="20" borderId="0" xfId="8" applyFont="1" applyFill="1" applyBorder="1"/>
    <xf numFmtId="0" fontId="61" fillId="0" borderId="0" xfId="0" applyFont="1" applyAlignment="1">
      <alignment horizontal="center" vertical="center" wrapText="1"/>
    </xf>
    <xf numFmtId="0" fontId="28" fillId="0" borderId="0" xfId="0" applyNumberFormat="1" applyFont="1" applyFill="1"/>
    <xf numFmtId="1" fontId="28" fillId="0" borderId="0" xfId="0" applyNumberFormat="1" applyFont="1" applyFill="1"/>
    <xf numFmtId="0" fontId="28" fillId="0" borderId="0" xfId="0" applyFont="1" applyFill="1" applyAlignment="1">
      <alignment wrapText="1" readingOrder="1"/>
    </xf>
    <xf numFmtId="0" fontId="0" fillId="0" borderId="0" xfId="0" applyFill="1"/>
    <xf numFmtId="14" fontId="28" fillId="0" borderId="0" xfId="0" applyNumberFormat="1" applyFont="1"/>
    <xf numFmtId="165" fontId="28" fillId="0" borderId="0" xfId="0" applyNumberFormat="1" applyFont="1"/>
    <xf numFmtId="165" fontId="28" fillId="0" borderId="0" xfId="0" applyNumberFormat="1" applyFont="1" applyFill="1"/>
    <xf numFmtId="0" fontId="72" fillId="8" borderId="0" xfId="0" applyFont="1" applyFill="1"/>
    <xf numFmtId="0" fontId="72" fillId="38" borderId="0" xfId="0" applyFont="1" applyFill="1"/>
    <xf numFmtId="0" fontId="12" fillId="0" borderId="0" xfId="0" applyFont="1"/>
    <xf numFmtId="0" fontId="25" fillId="0" borderId="0" xfId="0" applyFont="1"/>
    <xf numFmtId="0" fontId="12" fillId="0" borderId="0" xfId="0" applyFont="1" applyAlignment="1">
      <alignment horizontal="left"/>
    </xf>
    <xf numFmtId="9" fontId="12" fillId="0" borderId="0" xfId="0" applyNumberFormat="1" applyFont="1"/>
    <xf numFmtId="0" fontId="12" fillId="0" borderId="0" xfId="0" applyNumberFormat="1" applyFont="1"/>
    <xf numFmtId="0" fontId="12" fillId="0" borderId="0" xfId="0" applyFont="1" applyAlignment="1">
      <alignment wrapText="1"/>
    </xf>
    <xf numFmtId="164" fontId="12" fillId="0" borderId="0" xfId="0" applyNumberFormat="1" applyFont="1"/>
    <xf numFmtId="0" fontId="74" fillId="0" borderId="0" xfId="0" applyFont="1"/>
    <xf numFmtId="0" fontId="73" fillId="14" borderId="0" xfId="0" applyFont="1" applyFill="1"/>
    <xf numFmtId="1" fontId="12" fillId="0" borderId="0" xfId="0" applyNumberFormat="1" applyFont="1"/>
    <xf numFmtId="0" fontId="12" fillId="0" borderId="0" xfId="0" applyFont="1" applyFill="1"/>
    <xf numFmtId="0" fontId="12" fillId="0" borderId="0" xfId="0" applyFont="1" applyFill="1" applyBorder="1" applyAlignment="1">
      <alignment horizontal="left"/>
    </xf>
    <xf numFmtId="0" fontId="12" fillId="0" borderId="0" xfId="0" applyNumberFormat="1" applyFont="1" applyFill="1" applyBorder="1"/>
    <xf numFmtId="9" fontId="12" fillId="0" borderId="0" xfId="0" applyNumberFormat="1" applyFont="1" applyFill="1"/>
    <xf numFmtId="0" fontId="12" fillId="0" borderId="0" xfId="0" applyNumberFormat="1" applyFont="1" applyFill="1"/>
    <xf numFmtId="0" fontId="12" fillId="34" borderId="0" xfId="0" applyFont="1" applyFill="1"/>
    <xf numFmtId="0" fontId="25" fillId="10" borderId="0" xfId="0" applyFont="1" applyFill="1"/>
    <xf numFmtId="0" fontId="75" fillId="0" borderId="41" xfId="0" applyFont="1" applyBorder="1" applyAlignment="1">
      <alignment horizontal="left"/>
    </xf>
    <xf numFmtId="0" fontId="75" fillId="0" borderId="38" xfId="0" applyFont="1" applyBorder="1" applyAlignment="1">
      <alignment horizontal="left"/>
    </xf>
    <xf numFmtId="0" fontId="72" fillId="8" borderId="0" xfId="0" applyFont="1" applyFill="1" applyAlignment="1">
      <alignment horizontal="left"/>
    </xf>
    <xf numFmtId="9" fontId="72" fillId="8" borderId="0" xfId="0" applyNumberFormat="1" applyFont="1" applyFill="1"/>
    <xf numFmtId="0" fontId="72" fillId="8" borderId="0" xfId="0" applyNumberFormat="1" applyFont="1" applyFill="1"/>
    <xf numFmtId="0" fontId="70" fillId="0" borderId="0" xfId="0" applyFont="1"/>
    <xf numFmtId="0" fontId="64" fillId="0" borderId="0" xfId="0" applyFont="1"/>
    <xf numFmtId="0" fontId="73" fillId="29" borderId="45" xfId="0" applyFont="1" applyFill="1" applyBorder="1"/>
    <xf numFmtId="164" fontId="25" fillId="0" borderId="46" xfId="4" applyNumberFormat="1" applyFont="1" applyBorder="1"/>
    <xf numFmtId="164" fontId="76" fillId="0" borderId="47" xfId="4" applyNumberFormat="1" applyFont="1" applyBorder="1" applyAlignment="1">
      <alignment horizontal="left" wrapText="1"/>
    </xf>
    <xf numFmtId="164" fontId="76" fillId="0" borderId="48" xfId="4" applyNumberFormat="1" applyFont="1" applyBorder="1" applyAlignment="1">
      <alignment horizontal="left" wrapText="1"/>
    </xf>
    <xf numFmtId="0" fontId="76" fillId="0" borderId="49" xfId="0" applyFont="1" applyBorder="1" applyAlignment="1">
      <alignment horizontal="left"/>
    </xf>
    <xf numFmtId="0" fontId="76" fillId="0" borderId="0" xfId="0" applyFont="1" applyBorder="1" applyAlignment="1">
      <alignment horizontal="left"/>
    </xf>
    <xf numFmtId="0" fontId="76" fillId="0" borderId="0" xfId="0" applyNumberFormat="1" applyFont="1" applyBorder="1"/>
    <xf numFmtId="0" fontId="77" fillId="9" borderId="0" xfId="0" applyFont="1" applyFill="1"/>
    <xf numFmtId="0" fontId="73" fillId="32" borderId="0" xfId="0" applyFont="1" applyFill="1"/>
    <xf numFmtId="0" fontId="72" fillId="14" borderId="0" xfId="0" applyFont="1" applyFill="1"/>
    <xf numFmtId="0" fontId="72" fillId="9" borderId="0" xfId="0" applyFont="1" applyFill="1"/>
    <xf numFmtId="0" fontId="70" fillId="34" borderId="0" xfId="0" applyFont="1" applyFill="1"/>
    <xf numFmtId="0" fontId="72" fillId="32" borderId="0" xfId="0" applyFont="1" applyFill="1"/>
    <xf numFmtId="0" fontId="70" fillId="10" borderId="0" xfId="0" applyFont="1" applyFill="1"/>
    <xf numFmtId="0" fontId="78" fillId="0" borderId="0" xfId="0" applyFont="1"/>
    <xf numFmtId="0" fontId="35" fillId="21" borderId="0" xfId="0" applyNumberFormat="1" applyFont="1" applyFill="1" applyBorder="1" applyAlignment="1">
      <alignment horizontal="center"/>
    </xf>
    <xf numFmtId="0" fontId="68" fillId="0" borderId="32" xfId="0" applyFont="1" applyBorder="1" applyAlignment="1">
      <alignment vertical="center" wrapText="1"/>
    </xf>
    <xf numFmtId="0" fontId="68" fillId="0" borderId="33" xfId="0" applyFont="1" applyBorder="1" applyAlignment="1">
      <alignment vertical="center" wrapText="1"/>
    </xf>
    <xf numFmtId="0" fontId="61" fillId="0" borderId="0" xfId="0" applyFont="1" applyFill="1"/>
    <xf numFmtId="0" fontId="79" fillId="26" borderId="52" xfId="0" applyFont="1" applyFill="1" applyBorder="1"/>
    <xf numFmtId="0" fontId="72" fillId="41" borderId="0" xfId="0" applyFont="1" applyFill="1" applyAlignment="1">
      <alignment vertical="center"/>
    </xf>
    <xf numFmtId="1" fontId="80" fillId="0" borderId="0" xfId="0" applyNumberFormat="1" applyFont="1" applyFill="1"/>
    <xf numFmtId="0" fontId="80" fillId="0" borderId="0" xfId="0" applyFont="1" applyFill="1"/>
    <xf numFmtId="0" fontId="80" fillId="0" borderId="0" xfId="0" applyNumberFormat="1" applyFont="1" applyFill="1" applyAlignment="1">
      <alignment wrapText="1" readingOrder="1"/>
    </xf>
    <xf numFmtId="165" fontId="80" fillId="0" borderId="0" xfId="0" applyNumberFormat="1" applyFont="1" applyFill="1"/>
    <xf numFmtId="0" fontId="80" fillId="0" borderId="0" xfId="0" applyFont="1" applyFill="1" applyAlignment="1">
      <alignment wrapText="1" readingOrder="1"/>
    </xf>
    <xf numFmtId="0" fontId="80" fillId="0" borderId="0" xfId="0" applyNumberFormat="1" applyFont="1" applyFill="1" applyBorder="1"/>
    <xf numFmtId="0" fontId="80" fillId="0" borderId="26" xfId="0" applyNumberFormat="1" applyFont="1" applyFill="1" applyBorder="1"/>
    <xf numFmtId="1" fontId="80" fillId="0" borderId="27" xfId="0" applyNumberFormat="1" applyFont="1" applyFill="1" applyBorder="1"/>
    <xf numFmtId="164" fontId="61" fillId="0" borderId="0" xfId="4" applyNumberFormat="1" applyFont="1"/>
    <xf numFmtId="0" fontId="84" fillId="0" borderId="0" xfId="0" applyFont="1"/>
    <xf numFmtId="164" fontId="75" fillId="0" borderId="42" xfId="4" applyNumberFormat="1" applyFont="1" applyBorder="1"/>
    <xf numFmtId="164" fontId="75" fillId="0" borderId="43" xfId="4" applyNumberFormat="1" applyFont="1" applyBorder="1"/>
    <xf numFmtId="164" fontId="75" fillId="0" borderId="44" xfId="4" applyNumberFormat="1" applyFont="1" applyBorder="1"/>
    <xf numFmtId="1" fontId="87" fillId="0" borderId="0" xfId="0" applyNumberFormat="1" applyFont="1" applyFill="1"/>
    <xf numFmtId="0" fontId="87" fillId="0" borderId="0" xfId="0" applyFont="1" applyFill="1"/>
    <xf numFmtId="0" fontId="87" fillId="0" borderId="0" xfId="0" applyNumberFormat="1" applyFont="1" applyFill="1" applyAlignment="1">
      <alignment wrapText="1" readingOrder="1"/>
    </xf>
    <xf numFmtId="165" fontId="87" fillId="0" borderId="0" xfId="0" applyNumberFormat="1" applyFont="1" applyFill="1"/>
    <xf numFmtId="0" fontId="87" fillId="0" borderId="0" xfId="0" applyFont="1" applyFill="1" applyAlignment="1">
      <alignment wrapText="1" readingOrder="1"/>
    </xf>
    <xf numFmtId="0" fontId="87" fillId="0" borderId="0" xfId="0" applyNumberFormat="1" applyFont="1" applyFill="1" applyBorder="1"/>
    <xf numFmtId="1" fontId="87" fillId="0" borderId="0" xfId="0" applyNumberFormat="1" applyFont="1" applyFill="1" applyBorder="1"/>
    <xf numFmtId="49" fontId="86" fillId="0" borderId="0" xfId="21" applyNumberFormat="1" applyFont="1" applyFill="1" applyBorder="1" applyAlignment="1">
      <alignment horizontal="left" vertical="center" wrapText="1"/>
    </xf>
    <xf numFmtId="1" fontId="88" fillId="0" borderId="0" xfId="0" applyNumberFormat="1" applyFont="1" applyFill="1"/>
    <xf numFmtId="0" fontId="88" fillId="0" borderId="0" xfId="0" applyFont="1" applyFill="1"/>
    <xf numFmtId="0" fontId="88" fillId="0" borderId="0" xfId="0" applyNumberFormat="1" applyFont="1" applyFill="1" applyAlignment="1">
      <alignment wrapText="1" readingOrder="1"/>
    </xf>
    <xf numFmtId="165" fontId="88" fillId="0" borderId="0" xfId="0" applyNumberFormat="1" applyFont="1" applyFill="1"/>
    <xf numFmtId="0" fontId="88" fillId="0" borderId="0" xfId="0" applyFont="1" applyFill="1" applyAlignment="1">
      <alignment wrapText="1" readingOrder="1"/>
    </xf>
    <xf numFmtId="0" fontId="88" fillId="0" borderId="0" xfId="0" applyNumberFormat="1" applyFont="1" applyFill="1" applyBorder="1"/>
    <xf numFmtId="1" fontId="88" fillId="0" borderId="0" xfId="0" applyNumberFormat="1" applyFont="1" applyFill="1" applyBorder="1"/>
    <xf numFmtId="0" fontId="84" fillId="31" borderId="28" xfId="0" applyFont="1" applyFill="1" applyBorder="1"/>
    <xf numFmtId="0" fontId="25" fillId="0" borderId="55" xfId="0" applyFont="1" applyFill="1" applyBorder="1" applyAlignment="1">
      <alignment horizontal="left" vertical="center"/>
    </xf>
    <xf numFmtId="9" fontId="25" fillId="0" borderId="56" xfId="0" applyNumberFormat="1" applyFont="1" applyFill="1" applyBorder="1" applyAlignment="1">
      <alignment horizontal="center" vertical="center"/>
    </xf>
    <xf numFmtId="9" fontId="25" fillId="0" borderId="57" xfId="0" applyNumberFormat="1" applyFont="1" applyFill="1" applyBorder="1" applyAlignment="1">
      <alignment horizontal="center" vertical="center"/>
    </xf>
    <xf numFmtId="0" fontId="13" fillId="0" borderId="0" xfId="19" applyFont="1" applyAlignment="1">
      <alignment horizontal="left" vertical="center"/>
    </xf>
    <xf numFmtId="0" fontId="26" fillId="0" borderId="0" xfId="22" applyFont="1" applyAlignment="1">
      <alignment horizontal="left" vertical="center"/>
    </xf>
    <xf numFmtId="0" fontId="13" fillId="0" borderId="0" xfId="19" applyAlignment="1">
      <alignment horizontal="left" vertical="center"/>
    </xf>
    <xf numFmtId="0" fontId="49" fillId="24" borderId="61" xfId="23" applyFont="1" applyBorder="1" applyAlignment="1">
      <alignment horizontal="center" vertical="center" wrapText="1"/>
    </xf>
    <xf numFmtId="0" fontId="50" fillId="25" borderId="61" xfId="24" applyFont="1" applyBorder="1" applyAlignment="1">
      <alignment horizontal="center" vertical="center" wrapText="1"/>
    </xf>
    <xf numFmtId="0" fontId="51" fillId="26" borderId="61" xfId="22" applyFont="1" applyFill="1" applyBorder="1" applyAlignment="1">
      <alignment horizontal="center" vertical="center"/>
    </xf>
    <xf numFmtId="0" fontId="47" fillId="24" borderId="61" xfId="23" applyBorder="1" applyAlignment="1">
      <alignment horizontal="left" vertical="center"/>
    </xf>
    <xf numFmtId="0" fontId="48" fillId="25" borderId="61" xfId="24" applyBorder="1" applyAlignment="1">
      <alignment horizontal="left" vertical="center"/>
    </xf>
    <xf numFmtId="0" fontId="26" fillId="43" borderId="61" xfId="22" applyFont="1" applyFill="1" applyBorder="1" applyAlignment="1">
      <alignment horizontal="left" vertical="center"/>
    </xf>
    <xf numFmtId="0" fontId="27" fillId="18" borderId="61" xfId="19" applyFont="1" applyFill="1" applyBorder="1" applyAlignment="1">
      <alignment horizontal="left" vertical="center" wrapText="1" readingOrder="1"/>
    </xf>
    <xf numFmtId="0" fontId="55" fillId="5" borderId="61" xfId="23" applyFont="1" applyFill="1" applyBorder="1" applyAlignment="1">
      <alignment horizontal="left" vertical="center"/>
    </xf>
    <xf numFmtId="0" fontId="55" fillId="5" borderId="61" xfId="24" applyFont="1" applyFill="1" applyBorder="1" applyAlignment="1">
      <alignment horizontal="left" vertical="center"/>
    </xf>
    <xf numFmtId="0" fontId="52" fillId="26" borderId="61" xfId="22" applyFont="1" applyFill="1" applyBorder="1" applyAlignment="1">
      <alignment horizontal="left" vertical="center" wrapText="1"/>
    </xf>
    <xf numFmtId="1" fontId="27" fillId="18" borderId="61" xfId="19" applyNumberFormat="1" applyFont="1" applyFill="1" applyBorder="1" applyAlignment="1">
      <alignment horizontal="left" vertical="center" wrapText="1" readingOrder="1"/>
    </xf>
    <xf numFmtId="0" fontId="47" fillId="24" borderId="64" xfId="23" applyBorder="1" applyAlignment="1">
      <alignment horizontal="left" vertical="center"/>
    </xf>
    <xf numFmtId="0" fontId="48" fillId="25" borderId="64" xfId="24" applyBorder="1" applyAlignment="1">
      <alignment horizontal="left" vertical="center"/>
    </xf>
    <xf numFmtId="9" fontId="27" fillId="18" borderId="61" xfId="19" applyNumberFormat="1" applyFont="1" applyFill="1" applyBorder="1" applyAlignment="1">
      <alignment horizontal="left" vertical="center" wrapText="1" readingOrder="1"/>
    </xf>
    <xf numFmtId="9" fontId="27" fillId="18" borderId="61" xfId="20" applyNumberFormat="1" applyFont="1" applyFill="1" applyBorder="1" applyAlignment="1">
      <alignment horizontal="left" vertical="center" wrapText="1" readingOrder="1"/>
    </xf>
    <xf numFmtId="0" fontId="56" fillId="8" borderId="61" xfId="23" applyFont="1" applyFill="1" applyBorder="1" applyAlignment="1">
      <alignment horizontal="left" vertical="center"/>
    </xf>
    <xf numFmtId="0" fontId="56" fillId="8" borderId="61" xfId="24" applyFont="1" applyFill="1" applyBorder="1" applyAlignment="1">
      <alignment horizontal="left" vertical="center"/>
    </xf>
    <xf numFmtId="0" fontId="53" fillId="26" borderId="61" xfId="22" applyFont="1" applyFill="1" applyBorder="1" applyAlignment="1">
      <alignment horizontal="left" vertical="center" wrapText="1"/>
    </xf>
    <xf numFmtId="1" fontId="27" fillId="7" borderId="61" xfId="19" applyNumberFormat="1" applyFont="1" applyFill="1" applyBorder="1" applyAlignment="1">
      <alignment horizontal="left" vertical="center" wrapText="1" readingOrder="1"/>
    </xf>
    <xf numFmtId="0" fontId="57" fillId="36" borderId="61" xfId="23" applyFont="1" applyFill="1" applyBorder="1" applyAlignment="1">
      <alignment horizontal="left" vertical="center"/>
    </xf>
    <xf numFmtId="0" fontId="57" fillId="36" borderId="61" xfId="24" applyFont="1" applyFill="1" applyBorder="1" applyAlignment="1">
      <alignment horizontal="left" vertical="center"/>
    </xf>
    <xf numFmtId="0" fontId="54" fillId="26" borderId="61" xfId="22" applyFont="1" applyFill="1" applyBorder="1" applyAlignment="1">
      <alignment horizontal="left" vertical="center" wrapText="1"/>
    </xf>
    <xf numFmtId="0" fontId="77" fillId="36" borderId="61" xfId="23" applyFont="1" applyFill="1" applyBorder="1" applyAlignment="1">
      <alignment horizontal="left" vertical="center" wrapText="1"/>
    </xf>
    <xf numFmtId="0" fontId="26" fillId="43" borderId="64" xfId="22" applyFont="1" applyFill="1" applyBorder="1" applyAlignment="1">
      <alignment horizontal="left" vertical="center"/>
    </xf>
    <xf numFmtId="0" fontId="15" fillId="0" borderId="0" xfId="22" applyAlignment="1">
      <alignment vertical="top" wrapText="1"/>
    </xf>
    <xf numFmtId="0" fontId="40" fillId="0" borderId="0" xfId="22" applyFont="1" applyAlignment="1">
      <alignment vertical="top" wrapText="1"/>
    </xf>
    <xf numFmtId="0" fontId="15" fillId="0" borderId="0" xfId="22" applyAlignment="1">
      <alignment wrapText="1"/>
    </xf>
    <xf numFmtId="0" fontId="21" fillId="12" borderId="4" xfId="22" applyFont="1" applyFill="1" applyBorder="1" applyAlignment="1">
      <alignment vertical="top" wrapText="1"/>
    </xf>
    <xf numFmtId="0" fontId="24" fillId="10" borderId="4" xfId="22" applyFont="1" applyFill="1" applyBorder="1" applyAlignment="1">
      <alignment horizontal="left" vertical="top" wrapText="1"/>
    </xf>
    <xf numFmtId="0" fontId="24" fillId="10" borderId="4" xfId="22" applyFont="1" applyFill="1" applyBorder="1" applyAlignment="1">
      <alignment horizontal="left" vertical="center" wrapText="1"/>
    </xf>
    <xf numFmtId="0" fontId="22" fillId="7" borderId="4" xfId="22" applyFont="1" applyFill="1" applyBorder="1" applyAlignment="1">
      <alignment vertical="top" wrapText="1"/>
    </xf>
    <xf numFmtId="0" fontId="22" fillId="11" borderId="4" xfId="22" applyFont="1" applyFill="1" applyBorder="1" applyAlignment="1">
      <alignment vertical="top" wrapText="1"/>
    </xf>
    <xf numFmtId="9" fontId="15" fillId="0" borderId="0" xfId="22" applyNumberFormat="1" applyAlignment="1">
      <alignment vertical="top" wrapText="1"/>
    </xf>
    <xf numFmtId="0" fontId="19" fillId="44" borderId="61" xfId="22" applyNumberFormat="1" applyFont="1" applyFill="1" applyBorder="1" applyAlignment="1">
      <alignment horizontal="center" vertical="center"/>
    </xf>
    <xf numFmtId="0" fontId="19" fillId="2" borderId="61" xfId="22" applyNumberFormat="1" applyFont="1" applyFill="1" applyBorder="1" applyAlignment="1">
      <alignment horizontal="center" vertical="center"/>
    </xf>
    <xf numFmtId="0" fontId="19" fillId="37" borderId="61" xfId="22" applyNumberFormat="1" applyFont="1" applyFill="1" applyBorder="1" applyAlignment="1">
      <alignment horizontal="center" vertical="center"/>
    </xf>
    <xf numFmtId="0" fontId="60" fillId="27" borderId="61" xfId="22" applyNumberFormat="1" applyFont="1" applyFill="1" applyBorder="1" applyAlignment="1">
      <alignment horizontal="center" vertical="center" wrapText="1"/>
    </xf>
    <xf numFmtId="14" fontId="59" fillId="12" borderId="61" xfId="19" applyNumberFormat="1" applyFont="1" applyFill="1" applyBorder="1" applyAlignment="1">
      <alignment horizontal="center" vertical="center" wrapText="1"/>
    </xf>
    <xf numFmtId="14" fontId="59" fillId="22" borderId="61" xfId="19" applyNumberFormat="1" applyFont="1" applyFill="1" applyBorder="1" applyAlignment="1">
      <alignment horizontal="center" vertical="center" wrapText="1"/>
    </xf>
    <xf numFmtId="14" fontId="20" fillId="17" borderId="61" xfId="19" applyNumberFormat="1" applyFont="1" applyFill="1" applyBorder="1" applyAlignment="1">
      <alignment horizontal="center" vertical="center" wrapText="1" readingOrder="1"/>
    </xf>
    <xf numFmtId="0" fontId="35" fillId="14" borderId="0" xfId="0" applyFont="1" applyFill="1" applyBorder="1" applyAlignment="1"/>
    <xf numFmtId="1" fontId="35" fillId="8" borderId="0" xfId="0" applyNumberFormat="1" applyFont="1" applyFill="1" applyBorder="1" applyAlignment="1"/>
    <xf numFmtId="0" fontId="19" fillId="9" borderId="65" xfId="22" applyNumberFormat="1" applyFont="1" applyFill="1" applyBorder="1" applyAlignment="1">
      <alignment horizontal="center" vertical="center"/>
    </xf>
    <xf numFmtId="0" fontId="92" fillId="37" borderId="61" xfId="22" applyNumberFormat="1" applyFont="1" applyFill="1" applyBorder="1" applyAlignment="1">
      <alignment horizontal="left" vertical="center"/>
    </xf>
    <xf numFmtId="0" fontId="19" fillId="6" borderId="61" xfId="22" applyNumberFormat="1" applyFont="1" applyFill="1" applyBorder="1" applyAlignment="1">
      <alignment horizontal="center" vertical="center"/>
    </xf>
    <xf numFmtId="0" fontId="92" fillId="6" borderId="61" xfId="22" applyNumberFormat="1" applyFont="1" applyFill="1" applyBorder="1" applyAlignment="1">
      <alignment horizontal="left" vertical="center"/>
    </xf>
    <xf numFmtId="14" fontId="59" fillId="17" borderId="13" xfId="0" applyNumberFormat="1" applyFont="1" applyFill="1" applyBorder="1" applyAlignment="1">
      <alignment horizontal="left" vertical="top" wrapText="1" readingOrder="1"/>
    </xf>
    <xf numFmtId="0" fontId="60" fillId="22" borderId="18" xfId="0" applyNumberFormat="1" applyFont="1" applyFill="1" applyBorder="1" applyAlignment="1">
      <alignment horizontal="left" vertical="top" wrapText="1" readingOrder="1"/>
    </xf>
    <xf numFmtId="0" fontId="60" fillId="22" borderId="19" xfId="0" applyNumberFormat="1" applyFont="1" applyFill="1" applyBorder="1" applyAlignment="1">
      <alignment horizontal="left" vertical="top" wrapText="1" readingOrder="1"/>
    </xf>
    <xf numFmtId="0" fontId="60" fillId="22" borderId="2" xfId="0" applyNumberFormat="1" applyFont="1" applyFill="1" applyBorder="1" applyAlignment="1">
      <alignment horizontal="left" vertical="center" wrapText="1" readingOrder="1"/>
    </xf>
    <xf numFmtId="0" fontId="58" fillId="0" borderId="0" xfId="0" applyFont="1" applyAlignment="1">
      <alignment vertical="top" wrapText="1"/>
    </xf>
    <xf numFmtId="0" fontId="93" fillId="18" borderId="61" xfId="19" applyFont="1" applyFill="1" applyBorder="1" applyAlignment="1">
      <alignment horizontal="left" vertical="center" wrapText="1" readingOrder="1"/>
    </xf>
    <xf numFmtId="1" fontId="93" fillId="18" borderId="61" xfId="19" applyNumberFormat="1" applyFont="1" applyFill="1" applyBorder="1" applyAlignment="1">
      <alignment horizontal="left" vertical="center" wrapText="1" readingOrder="1"/>
    </xf>
    <xf numFmtId="0" fontId="94" fillId="18" borderId="61" xfId="19" applyFont="1" applyFill="1" applyBorder="1" applyAlignment="1">
      <alignment horizontal="left" vertical="center" wrapText="1" readingOrder="1"/>
    </xf>
    <xf numFmtId="0" fontId="93" fillId="18" borderId="61" xfId="19" applyFont="1" applyFill="1" applyBorder="1" applyAlignment="1">
      <alignment horizontal="left" vertical="center" wrapText="1"/>
    </xf>
    <xf numFmtId="1" fontId="94" fillId="18" borderId="61" xfId="19" applyNumberFormat="1" applyFont="1" applyFill="1" applyBorder="1" applyAlignment="1">
      <alignment horizontal="left" vertical="center" wrapText="1" readingOrder="1"/>
    </xf>
    <xf numFmtId="1" fontId="94" fillId="7" borderId="61" xfId="19" applyNumberFormat="1" applyFont="1" applyFill="1" applyBorder="1" applyAlignment="1">
      <alignment horizontal="left" vertical="center" wrapText="1" readingOrder="1"/>
    </xf>
    <xf numFmtId="0" fontId="93" fillId="28" borderId="61" xfId="19" applyFont="1" applyFill="1" applyBorder="1" applyAlignment="1">
      <alignment horizontal="left" vertical="center" wrapText="1"/>
    </xf>
    <xf numFmtId="14" fontId="94" fillId="7" borderId="61" xfId="19" applyNumberFormat="1" applyFont="1" applyFill="1" applyBorder="1" applyAlignment="1">
      <alignment horizontal="left" vertical="center" wrapText="1" readingOrder="1"/>
    </xf>
    <xf numFmtId="0" fontId="94" fillId="11" borderId="61" xfId="20" applyNumberFormat="1" applyFont="1" applyFill="1" applyBorder="1" applyAlignment="1">
      <alignment horizontal="left" vertical="center" wrapText="1" readingOrder="1"/>
    </xf>
    <xf numFmtId="1" fontId="94" fillId="11" borderId="61" xfId="19" applyNumberFormat="1" applyFont="1" applyFill="1" applyBorder="1" applyAlignment="1">
      <alignment horizontal="left" vertical="center" wrapText="1" readingOrder="1"/>
    </xf>
    <xf numFmtId="0" fontId="93" fillId="0" borderId="61" xfId="19" applyFont="1" applyFill="1" applyBorder="1" applyAlignment="1">
      <alignment horizontal="left" vertical="center" wrapText="1"/>
    </xf>
    <xf numFmtId="0" fontId="93" fillId="30" borderId="61" xfId="20" applyNumberFormat="1" applyFont="1" applyFill="1" applyBorder="1" applyAlignment="1">
      <alignment horizontal="left" vertical="center" wrapText="1" readingOrder="1"/>
    </xf>
    <xf numFmtId="14" fontId="94" fillId="17" borderId="61" xfId="19" applyNumberFormat="1" applyFont="1" applyFill="1" applyBorder="1" applyAlignment="1">
      <alignment horizontal="left" vertical="center" wrapText="1" readingOrder="1"/>
    </xf>
    <xf numFmtId="0" fontId="96" fillId="16" borderId="61" xfId="19" applyFont="1" applyFill="1" applyBorder="1" applyAlignment="1">
      <alignment horizontal="center" vertical="center" wrapText="1"/>
    </xf>
    <xf numFmtId="0" fontId="99" fillId="22" borderId="2" xfId="0" applyNumberFormat="1" applyFont="1" applyFill="1" applyBorder="1" applyAlignment="1">
      <alignment horizontal="left" vertical="center" wrapText="1" readingOrder="1"/>
    </xf>
    <xf numFmtId="0" fontId="97" fillId="0" borderId="0" xfId="0" applyFont="1" applyAlignment="1"/>
    <xf numFmtId="0" fontId="48" fillId="25" borderId="62" xfId="24" applyBorder="1" applyAlignment="1">
      <alignment horizontal="left" vertical="center"/>
    </xf>
    <xf numFmtId="0" fontId="26" fillId="43" borderId="62" xfId="22" applyFont="1" applyFill="1" applyBorder="1" applyAlignment="1">
      <alignment horizontal="left" vertical="center"/>
    </xf>
    <xf numFmtId="0" fontId="55" fillId="5" borderId="0" xfId="23" applyFont="1" applyFill="1" applyBorder="1" applyAlignment="1">
      <alignment horizontal="left" vertical="center"/>
    </xf>
    <xf numFmtId="0" fontId="55" fillId="5" borderId="0" xfId="24" applyFont="1" applyFill="1" applyBorder="1" applyAlignment="1">
      <alignment horizontal="left" vertical="center"/>
    </xf>
    <xf numFmtId="0" fontId="52" fillId="26" borderId="0" xfId="22" applyFont="1" applyFill="1" applyBorder="1" applyAlignment="1">
      <alignment horizontal="left" vertical="center" wrapText="1"/>
    </xf>
    <xf numFmtId="14" fontId="27" fillId="18" borderId="61" xfId="19" applyNumberFormat="1" applyFont="1" applyFill="1" applyBorder="1" applyAlignment="1">
      <alignment horizontal="left" vertical="center" wrapText="1" readingOrder="1"/>
    </xf>
    <xf numFmtId="0" fontId="27" fillId="10" borderId="61" xfId="19" applyFont="1" applyFill="1" applyBorder="1" applyAlignment="1">
      <alignment horizontal="left" vertical="center" wrapText="1"/>
    </xf>
    <xf numFmtId="14" fontId="93" fillId="18" borderId="61" xfId="19" applyNumberFormat="1" applyFont="1" applyFill="1" applyBorder="1" applyAlignment="1">
      <alignment horizontal="left" vertical="center" wrapText="1" readingOrder="1"/>
    </xf>
    <xf numFmtId="9" fontId="27" fillId="11" borderId="61" xfId="19" applyNumberFormat="1" applyFont="1" applyFill="1" applyBorder="1" applyAlignment="1">
      <alignment horizontal="left" vertical="center" wrapText="1" readingOrder="1"/>
    </xf>
    <xf numFmtId="0" fontId="47" fillId="24" borderId="63" xfId="23" applyBorder="1" applyAlignment="1">
      <alignment horizontal="left" vertical="center"/>
    </xf>
    <xf numFmtId="0" fontId="47" fillId="24" borderId="68" xfId="23" applyBorder="1" applyAlignment="1">
      <alignment horizontal="left" vertical="center"/>
    </xf>
    <xf numFmtId="1" fontId="27" fillId="18" borderId="61" xfId="20" applyNumberFormat="1" applyFont="1" applyFill="1" applyBorder="1" applyAlignment="1">
      <alignment horizontal="left" vertical="center" wrapText="1" readingOrder="1"/>
    </xf>
    <xf numFmtId="0" fontId="100" fillId="22" borderId="2" xfId="0" applyNumberFormat="1" applyFont="1" applyFill="1" applyBorder="1" applyAlignment="1">
      <alignment horizontal="left" vertical="center" wrapText="1" readingOrder="1"/>
    </xf>
    <xf numFmtId="0" fontId="107" fillId="0" borderId="0" xfId="0" applyFont="1" applyAlignment="1"/>
    <xf numFmtId="0" fontId="19" fillId="2" borderId="61" xfId="22" applyNumberFormat="1" applyFont="1" applyFill="1" applyBorder="1" applyAlignment="1">
      <alignment horizontal="center" vertical="center" wrapText="1"/>
    </xf>
    <xf numFmtId="0" fontId="19" fillId="6" borderId="61" xfId="22" applyNumberFormat="1" applyFont="1" applyFill="1" applyBorder="1" applyAlignment="1">
      <alignment horizontal="center" vertical="center" wrapText="1"/>
    </xf>
    <xf numFmtId="0" fontId="19" fillId="37" borderId="61" xfId="22" applyNumberFormat="1" applyFont="1" applyFill="1" applyBorder="1" applyAlignment="1">
      <alignment horizontal="center" vertical="center" wrapText="1"/>
    </xf>
    <xf numFmtId="0" fontId="19" fillId="44" borderId="61" xfId="22" applyNumberFormat="1" applyFont="1" applyFill="1" applyBorder="1" applyAlignment="1">
      <alignment horizontal="center" vertical="center" wrapText="1"/>
    </xf>
    <xf numFmtId="0" fontId="29" fillId="22" borderId="2" xfId="0" applyNumberFormat="1" applyFont="1" applyFill="1" applyBorder="1" applyAlignment="1">
      <alignment horizontal="left" vertical="center" wrapText="1" readingOrder="1"/>
    </xf>
    <xf numFmtId="0" fontId="31" fillId="0" borderId="0" xfId="0" applyFont="1" applyAlignment="1">
      <alignment wrapText="1"/>
    </xf>
    <xf numFmtId="0" fontId="109" fillId="0" borderId="0" xfId="19" applyFont="1" applyAlignment="1">
      <alignment horizontal="left" vertical="center"/>
    </xf>
    <xf numFmtId="0" fontId="27" fillId="0" borderId="0" xfId="22" applyFont="1" applyAlignment="1">
      <alignment horizontal="left" vertical="center"/>
    </xf>
    <xf numFmtId="0" fontId="29" fillId="16" borderId="61" xfId="22" applyFont="1" applyFill="1" applyBorder="1" applyAlignment="1">
      <alignment horizontal="center" vertical="center" wrapText="1"/>
    </xf>
    <xf numFmtId="0" fontId="29" fillId="16" borderId="61" xfId="19" applyFont="1" applyFill="1" applyBorder="1" applyAlignment="1">
      <alignment horizontal="center" vertical="center" wrapText="1"/>
    </xf>
    <xf numFmtId="0" fontId="109" fillId="0" borderId="0" xfId="19" applyFont="1" applyAlignment="1">
      <alignment horizontal="center" vertical="center"/>
    </xf>
    <xf numFmtId="0" fontId="29" fillId="2" borderId="61" xfId="22" applyNumberFormat="1" applyFont="1" applyFill="1" applyBorder="1" applyAlignment="1">
      <alignment horizontal="left" vertical="center" indent="1" readingOrder="1"/>
    </xf>
    <xf numFmtId="14" fontId="27" fillId="17" borderId="61" xfId="19" applyNumberFormat="1" applyFont="1" applyFill="1" applyBorder="1" applyAlignment="1">
      <alignment horizontal="left" vertical="center" wrapText="1" readingOrder="1"/>
    </xf>
    <xf numFmtId="0" fontId="27" fillId="0" borderId="61" xfId="19" applyFont="1" applyFill="1" applyBorder="1" applyAlignment="1">
      <alignment horizontal="left" vertical="center" wrapText="1"/>
    </xf>
    <xf numFmtId="0" fontId="29" fillId="14" borderId="61" xfId="22" applyNumberFormat="1" applyFont="1" applyFill="1" applyBorder="1" applyAlignment="1">
      <alignment horizontal="left" vertical="center" indent="1" readingOrder="1"/>
    </xf>
    <xf numFmtId="1" fontId="27" fillId="18" borderId="64" xfId="20" applyNumberFormat="1" applyFont="1" applyFill="1" applyBorder="1" applyAlignment="1">
      <alignment horizontal="left" vertical="center" wrapText="1" readingOrder="1"/>
    </xf>
    <xf numFmtId="0" fontId="27" fillId="18" borderId="64" xfId="19" applyFont="1" applyFill="1" applyBorder="1" applyAlignment="1">
      <alignment horizontal="left" vertical="center" wrapText="1" readingOrder="1"/>
    </xf>
    <xf numFmtId="1" fontId="27" fillId="18" borderId="64" xfId="19" applyNumberFormat="1" applyFont="1" applyFill="1" applyBorder="1" applyAlignment="1">
      <alignment horizontal="left" vertical="center" wrapText="1" readingOrder="1"/>
    </xf>
    <xf numFmtId="0" fontId="29" fillId="38" borderId="61" xfId="22" applyNumberFormat="1" applyFont="1" applyFill="1" applyBorder="1" applyAlignment="1">
      <alignment horizontal="left" vertical="center" indent="1" readingOrder="1"/>
    </xf>
    <xf numFmtId="0" fontId="27" fillId="28" borderId="61" xfId="19" applyFont="1" applyFill="1" applyBorder="1" applyAlignment="1">
      <alignment horizontal="left" vertical="center" wrapText="1"/>
    </xf>
    <xf numFmtId="1" fontId="27" fillId="7" borderId="61" xfId="20" applyNumberFormat="1" applyFont="1" applyFill="1" applyBorder="1" applyAlignment="1">
      <alignment horizontal="left" vertical="center" wrapText="1" readingOrder="1"/>
    </xf>
    <xf numFmtId="14" fontId="27" fillId="7" borderId="61" xfId="19" applyNumberFormat="1" applyFont="1" applyFill="1" applyBorder="1" applyAlignment="1">
      <alignment horizontal="left" vertical="center" wrapText="1" readingOrder="1"/>
    </xf>
    <xf numFmtId="0" fontId="27" fillId="7" borderId="61" xfId="19" applyFont="1" applyFill="1" applyBorder="1" applyAlignment="1">
      <alignment horizontal="left" vertical="center" wrapText="1" readingOrder="1"/>
    </xf>
    <xf numFmtId="0" fontId="29" fillId="9" borderId="61" xfId="22" applyNumberFormat="1" applyFont="1" applyFill="1" applyBorder="1" applyAlignment="1">
      <alignment horizontal="left" vertical="center" indent="1" readingOrder="1"/>
    </xf>
    <xf numFmtId="0" fontId="27" fillId="11" borderId="61" xfId="20" applyNumberFormat="1" applyFont="1" applyFill="1" applyBorder="1" applyAlignment="1">
      <alignment horizontal="left" vertical="center" wrapText="1" readingOrder="1"/>
    </xf>
    <xf numFmtId="1" fontId="27" fillId="11" borderId="61" xfId="19" applyNumberFormat="1" applyFont="1" applyFill="1" applyBorder="1" applyAlignment="1">
      <alignment horizontal="left" vertical="center" wrapText="1" readingOrder="1"/>
    </xf>
    <xf numFmtId="0" fontId="27" fillId="30" borderId="61" xfId="19" applyFont="1" applyFill="1" applyBorder="1" applyAlignment="1">
      <alignment horizontal="left" vertical="center" wrapText="1"/>
    </xf>
    <xf numFmtId="9" fontId="27" fillId="11" borderId="64" xfId="19" applyNumberFormat="1" applyFont="1" applyFill="1" applyBorder="1" applyAlignment="1">
      <alignment horizontal="left" vertical="center" wrapText="1" readingOrder="1"/>
    </xf>
    <xf numFmtId="0" fontId="27" fillId="30" borderId="64" xfId="19" applyFont="1" applyFill="1" applyBorder="1" applyAlignment="1">
      <alignment horizontal="left" vertical="center" wrapText="1"/>
    </xf>
    <xf numFmtId="0" fontId="27" fillId="0" borderId="0" xfId="19" applyFont="1" applyAlignment="1">
      <alignment horizontal="left" vertical="center"/>
    </xf>
    <xf numFmtId="0" fontId="111" fillId="0" borderId="0" xfId="19" applyFont="1" applyAlignment="1">
      <alignment horizontal="left" vertical="center"/>
    </xf>
    <xf numFmtId="0" fontId="111" fillId="0" borderId="0" xfId="19" applyFont="1" applyAlignment="1">
      <alignment horizontal="center" vertical="center"/>
    </xf>
    <xf numFmtId="0" fontId="29" fillId="14" borderId="63" xfId="22" applyNumberFormat="1" applyFont="1" applyFill="1" applyBorder="1" applyAlignment="1">
      <alignment horizontal="left" vertical="center" indent="1" readingOrder="1"/>
    </xf>
    <xf numFmtId="0" fontId="111" fillId="0" borderId="0" xfId="19" applyFont="1" applyBorder="1" applyAlignment="1">
      <alignment horizontal="left" vertical="center"/>
    </xf>
    <xf numFmtId="0" fontId="95" fillId="0" borderId="0" xfId="19" applyFont="1" applyAlignment="1">
      <alignment horizontal="left" vertical="center"/>
    </xf>
    <xf numFmtId="0" fontId="93" fillId="0" borderId="0" xfId="19" applyFont="1" applyAlignment="1">
      <alignment horizontal="left" vertical="center"/>
    </xf>
    <xf numFmtId="0" fontId="94" fillId="0" borderId="0" xfId="19" applyFont="1" applyAlignment="1">
      <alignment horizontal="left" vertical="center"/>
    </xf>
    <xf numFmtId="14" fontId="20" fillId="17" borderId="61" xfId="19" applyNumberFormat="1" applyFont="1" applyFill="1" applyBorder="1" applyAlignment="1">
      <alignment horizontal="center" vertical="center" wrapText="1"/>
    </xf>
    <xf numFmtId="14" fontId="20" fillId="7" borderId="61" xfId="19" applyNumberFormat="1" applyFont="1" applyFill="1" applyBorder="1" applyAlignment="1">
      <alignment horizontal="center" vertical="center" wrapText="1"/>
    </xf>
    <xf numFmtId="14" fontId="20" fillId="27" borderId="61" xfId="19" applyNumberFormat="1" applyFont="1" applyFill="1" applyBorder="1" applyAlignment="1">
      <alignment horizontal="center" vertical="center" wrapText="1"/>
    </xf>
    <xf numFmtId="14" fontId="20" fillId="22" borderId="61" xfId="19" applyNumberFormat="1" applyFont="1" applyFill="1" applyBorder="1" applyAlignment="1">
      <alignment horizontal="center" vertical="center" wrapText="1"/>
    </xf>
    <xf numFmtId="0" fontId="27" fillId="18" borderId="69" xfId="19" applyFont="1" applyFill="1" applyBorder="1" applyAlignment="1">
      <alignment horizontal="center" vertical="center" wrapText="1"/>
    </xf>
    <xf numFmtId="14" fontId="112" fillId="17" borderId="61" xfId="19" applyNumberFormat="1" applyFont="1" applyFill="1" applyBorder="1" applyAlignment="1">
      <alignment horizontal="center" vertical="center" wrapText="1"/>
    </xf>
    <xf numFmtId="14" fontId="112" fillId="7" borderId="61" xfId="19" applyNumberFormat="1" applyFont="1" applyFill="1" applyBorder="1" applyAlignment="1">
      <alignment horizontal="center" vertical="center" wrapText="1"/>
    </xf>
    <xf numFmtId="14" fontId="112" fillId="27" borderId="61" xfId="19" applyNumberFormat="1" applyFont="1" applyFill="1" applyBorder="1" applyAlignment="1">
      <alignment horizontal="center" vertical="center" wrapText="1"/>
    </xf>
    <xf numFmtId="14" fontId="112" fillId="22" borderId="61" xfId="19" applyNumberFormat="1" applyFont="1" applyFill="1" applyBorder="1" applyAlignment="1">
      <alignment horizontal="center" vertical="center" wrapText="1"/>
    </xf>
    <xf numFmtId="0" fontId="113" fillId="18" borderId="66" xfId="19" applyFont="1" applyFill="1" applyBorder="1" applyAlignment="1">
      <alignment horizontal="center" vertical="center" wrapText="1"/>
    </xf>
    <xf numFmtId="1" fontId="114" fillId="7" borderId="61" xfId="19" applyNumberFormat="1" applyFont="1" applyFill="1" applyBorder="1" applyAlignment="1">
      <alignment horizontal="center" vertical="center" wrapText="1"/>
    </xf>
    <xf numFmtId="1" fontId="114" fillId="7" borderId="61" xfId="20" applyNumberFormat="1" applyFont="1" applyFill="1" applyBorder="1" applyAlignment="1">
      <alignment horizontal="center" vertical="center" wrapText="1"/>
    </xf>
    <xf numFmtId="1" fontId="113" fillId="7" borderId="61" xfId="19" applyNumberFormat="1" applyFont="1" applyFill="1" applyBorder="1" applyAlignment="1">
      <alignment horizontal="center" vertical="center" wrapText="1"/>
    </xf>
    <xf numFmtId="0" fontId="112" fillId="7" borderId="61" xfId="19" applyFont="1" applyFill="1" applyBorder="1" applyAlignment="1">
      <alignment horizontal="center" vertical="center" wrapText="1"/>
    </xf>
    <xf numFmtId="0" fontId="114" fillId="7" borderId="61" xfId="19" applyFont="1" applyFill="1" applyBorder="1" applyAlignment="1">
      <alignment horizontal="center" vertical="center" wrapText="1"/>
    </xf>
    <xf numFmtId="1" fontId="114" fillId="11" borderId="61" xfId="19" applyNumberFormat="1" applyFont="1" applyFill="1" applyBorder="1" applyAlignment="1">
      <alignment horizontal="center" vertical="center" wrapText="1"/>
    </xf>
    <xf numFmtId="1" fontId="112" fillId="11" borderId="61" xfId="19" applyNumberFormat="1" applyFont="1" applyFill="1" applyBorder="1" applyAlignment="1">
      <alignment horizontal="center" vertical="center" wrapText="1"/>
    </xf>
    <xf numFmtId="9" fontId="114" fillId="11" borderId="61" xfId="19" applyNumberFormat="1" applyFont="1" applyFill="1" applyBorder="1" applyAlignment="1">
      <alignment horizontal="center" vertical="center" wrapText="1"/>
    </xf>
    <xf numFmtId="1" fontId="101" fillId="18" borderId="72" xfId="0" applyNumberFormat="1" applyFont="1" applyFill="1" applyBorder="1" applyAlignment="1">
      <alignment vertical="top" wrapText="1"/>
    </xf>
    <xf numFmtId="0" fontId="101" fillId="18" borderId="72" xfId="0" applyFont="1" applyFill="1" applyBorder="1" applyAlignment="1">
      <alignment vertical="top" wrapText="1"/>
    </xf>
    <xf numFmtId="0" fontId="115" fillId="5" borderId="72" xfId="0" applyFont="1" applyFill="1" applyBorder="1" applyAlignment="1">
      <alignment horizontal="center" vertical="center" wrapText="1"/>
    </xf>
    <xf numFmtId="0" fontId="101" fillId="18" borderId="74" xfId="0" applyFont="1" applyFill="1" applyBorder="1" applyAlignment="1">
      <alignment vertical="top" wrapText="1"/>
    </xf>
    <xf numFmtId="0" fontId="91" fillId="18" borderId="76" xfId="0" applyFont="1" applyFill="1" applyBorder="1" applyAlignment="1">
      <alignment vertical="top" wrapText="1"/>
    </xf>
    <xf numFmtId="1" fontId="91" fillId="18" borderId="77" xfId="0" applyNumberFormat="1" applyFont="1" applyFill="1" applyBorder="1" applyAlignment="1">
      <alignment vertical="top" wrapText="1"/>
    </xf>
    <xf numFmtId="0" fontId="115" fillId="5" borderId="78" xfId="0" applyFont="1" applyFill="1" applyBorder="1" applyAlignment="1">
      <alignment horizontal="center" vertical="center" wrapText="1"/>
    </xf>
    <xf numFmtId="0" fontId="91" fillId="18" borderId="70" xfId="0" applyFont="1" applyFill="1" applyBorder="1" applyAlignment="1">
      <alignment vertical="top" wrapText="1"/>
    </xf>
    <xf numFmtId="1" fontId="101" fillId="18" borderId="78" xfId="0" applyNumberFormat="1" applyFont="1" applyFill="1" applyBorder="1" applyAlignment="1">
      <alignment vertical="top" wrapText="1"/>
    </xf>
    <xf numFmtId="1" fontId="116" fillId="18" borderId="72" xfId="0" applyNumberFormat="1" applyFont="1" applyFill="1" applyBorder="1" applyAlignment="1">
      <alignment vertical="top" wrapText="1"/>
    </xf>
    <xf numFmtId="1" fontId="116" fillId="18" borderId="78" xfId="0" applyNumberFormat="1" applyFont="1" applyFill="1" applyBorder="1" applyAlignment="1">
      <alignment vertical="top" wrapText="1"/>
    </xf>
    <xf numFmtId="1" fontId="91" fillId="5" borderId="71" xfId="0" applyNumberFormat="1" applyFont="1" applyFill="1" applyBorder="1" applyAlignment="1">
      <alignment vertical="top" wrapText="1"/>
    </xf>
    <xf numFmtId="0" fontId="30" fillId="5" borderId="72" xfId="0" applyFont="1" applyFill="1" applyBorder="1" applyAlignment="1">
      <alignment vertical="center" wrapText="1"/>
    </xf>
    <xf numFmtId="0" fontId="91" fillId="18" borderId="72" xfId="0" applyFont="1" applyFill="1" applyBorder="1" applyAlignment="1">
      <alignment vertical="top" wrapText="1"/>
    </xf>
    <xf numFmtId="9" fontId="91" fillId="18" borderId="72" xfId="0" applyNumberFormat="1" applyFont="1" applyFill="1" applyBorder="1" applyAlignment="1">
      <alignment vertical="top" wrapText="1"/>
    </xf>
    <xf numFmtId="0" fontId="30" fillId="5" borderId="78" xfId="0" applyFont="1" applyFill="1" applyBorder="1" applyAlignment="1">
      <alignment vertical="center" wrapText="1"/>
    </xf>
    <xf numFmtId="1" fontId="91" fillId="18" borderId="78" xfId="0" applyNumberFormat="1" applyFont="1" applyFill="1" applyBorder="1" applyAlignment="1">
      <alignment vertical="top" wrapText="1"/>
    </xf>
    <xf numFmtId="1" fontId="101" fillId="18" borderId="74" xfId="0" applyNumberFormat="1" applyFont="1" applyFill="1" applyBorder="1" applyAlignment="1">
      <alignment vertical="top" wrapText="1"/>
    </xf>
    <xf numFmtId="0" fontId="30" fillId="5" borderId="74" xfId="0" applyFont="1" applyFill="1" applyBorder="1" applyAlignment="1">
      <alignment vertical="center" wrapText="1"/>
    </xf>
    <xf numFmtId="1" fontId="91" fillId="18" borderId="83" xfId="0" applyNumberFormat="1" applyFont="1" applyFill="1" applyBorder="1" applyAlignment="1">
      <alignment vertical="top" wrapText="1"/>
    </xf>
    <xf numFmtId="0" fontId="101" fillId="18" borderId="75" xfId="0" applyFont="1" applyFill="1" applyBorder="1" applyAlignment="1">
      <alignment vertical="top" wrapText="1"/>
    </xf>
    <xf numFmtId="1" fontId="91" fillId="18" borderId="79" xfId="0" applyNumberFormat="1" applyFont="1" applyFill="1" applyBorder="1" applyAlignment="1">
      <alignment vertical="top" wrapText="1"/>
    </xf>
    <xf numFmtId="0" fontId="101" fillId="6" borderId="72" xfId="0" applyFont="1" applyFill="1" applyBorder="1" applyAlignment="1">
      <alignment vertical="top" wrapText="1"/>
    </xf>
    <xf numFmtId="1" fontId="101" fillId="6" borderId="72" xfId="0" applyNumberFormat="1" applyFont="1" applyFill="1" applyBorder="1" applyAlignment="1">
      <alignment vertical="top" wrapText="1"/>
    </xf>
    <xf numFmtId="1" fontId="103" fillId="6" borderId="72" xfId="0" applyNumberFormat="1" applyFont="1" applyFill="1" applyBorder="1" applyAlignment="1">
      <alignment vertical="top" wrapText="1"/>
    </xf>
    <xf numFmtId="0" fontId="30" fillId="8" borderId="72" xfId="0" applyFont="1" applyFill="1" applyBorder="1" applyAlignment="1">
      <alignment vertical="center" wrapText="1"/>
    </xf>
    <xf numFmtId="1" fontId="30" fillId="8" borderId="72" xfId="0" applyNumberFormat="1" applyFont="1" applyFill="1" applyBorder="1" applyAlignment="1">
      <alignment vertical="center" wrapText="1"/>
    </xf>
    <xf numFmtId="1" fontId="35" fillId="8" borderId="72" xfId="0" applyNumberFormat="1" applyFont="1" applyFill="1" applyBorder="1" applyAlignment="1">
      <alignment vertical="center" wrapText="1"/>
    </xf>
    <xf numFmtId="0" fontId="91" fillId="6" borderId="72" xfId="0" applyFont="1" applyFill="1" applyBorder="1" applyAlignment="1">
      <alignment vertical="top" wrapText="1"/>
    </xf>
    <xf numFmtId="1" fontId="101" fillId="6" borderId="78" xfId="0" applyNumberFormat="1" applyFont="1" applyFill="1" applyBorder="1" applyAlignment="1">
      <alignment vertical="top" wrapText="1"/>
    </xf>
    <xf numFmtId="0" fontId="30" fillId="8" borderId="78" xfId="0" applyFont="1" applyFill="1" applyBorder="1" applyAlignment="1">
      <alignment vertical="center" wrapText="1"/>
    </xf>
    <xf numFmtId="1" fontId="91" fillId="6" borderId="78" xfId="0" applyNumberFormat="1" applyFont="1" applyFill="1" applyBorder="1" applyAlignment="1">
      <alignment vertical="top" wrapText="1"/>
    </xf>
    <xf numFmtId="1" fontId="101" fillId="6" borderId="74" xfId="0" applyNumberFormat="1" applyFont="1" applyFill="1" applyBorder="1" applyAlignment="1">
      <alignment vertical="top" wrapText="1"/>
    </xf>
    <xf numFmtId="0" fontId="101" fillId="6" borderId="75" xfId="0" applyFont="1" applyFill="1" applyBorder="1" applyAlignment="1">
      <alignment vertical="top" wrapText="1"/>
    </xf>
    <xf numFmtId="0" fontId="30" fillId="8" borderId="74" xfId="0" applyFont="1" applyFill="1" applyBorder="1" applyAlignment="1">
      <alignment vertical="center" wrapText="1"/>
    </xf>
    <xf numFmtId="0" fontId="30" fillId="8" borderId="75" xfId="0" applyFont="1" applyFill="1" applyBorder="1" applyAlignment="1">
      <alignment vertical="center" wrapText="1"/>
    </xf>
    <xf numFmtId="1" fontId="91" fillId="6" borderId="76" xfId="0" applyNumberFormat="1" applyFont="1" applyFill="1" applyBorder="1" applyAlignment="1">
      <alignment vertical="top" wrapText="1"/>
    </xf>
    <xf numFmtId="0" fontId="91" fillId="6" borderId="77" xfId="0" applyFont="1" applyFill="1" applyBorder="1" applyAlignment="1">
      <alignment vertical="top" wrapText="1"/>
    </xf>
    <xf numFmtId="1" fontId="101" fillId="9" borderId="72" xfId="0" applyNumberFormat="1" applyFont="1" applyFill="1" applyBorder="1" applyAlignment="1">
      <alignment vertical="top" wrapText="1"/>
    </xf>
    <xf numFmtId="1" fontId="98" fillId="9" borderId="72" xfId="0" applyNumberFormat="1" applyFont="1" applyFill="1" applyBorder="1" applyAlignment="1">
      <alignment vertical="top" wrapText="1"/>
    </xf>
    <xf numFmtId="1" fontId="117" fillId="9" borderId="72" xfId="0" applyNumberFormat="1" applyFont="1" applyFill="1" applyBorder="1" applyAlignment="1">
      <alignment horizontal="center" vertical="center"/>
    </xf>
    <xf numFmtId="1" fontId="36" fillId="9" borderId="72" xfId="1" applyNumberFormat="1" applyFont="1" applyFill="1" applyBorder="1" applyAlignment="1">
      <alignment vertical="center" wrapText="1"/>
    </xf>
    <xf numFmtId="1" fontId="38" fillId="9" borderId="72" xfId="0" applyNumberFormat="1" applyFont="1" applyFill="1" applyBorder="1" applyAlignment="1">
      <alignment horizontal="center" vertical="center" wrapText="1"/>
    </xf>
    <xf numFmtId="1" fontId="91" fillId="9" borderId="72" xfId="0" applyNumberFormat="1" applyFont="1" applyFill="1" applyBorder="1" applyAlignment="1">
      <alignment vertical="top" wrapText="1"/>
    </xf>
    <xf numFmtId="1" fontId="105" fillId="9" borderId="72" xfId="0" applyNumberFormat="1" applyFont="1" applyFill="1" applyBorder="1" applyAlignment="1">
      <alignment vertical="top" wrapText="1"/>
    </xf>
    <xf numFmtId="1" fontId="118" fillId="9" borderId="72" xfId="0" applyNumberFormat="1" applyFont="1" applyFill="1" applyBorder="1" applyAlignment="1">
      <alignment horizontal="center" vertical="center"/>
    </xf>
    <xf numFmtId="9" fontId="101" fillId="9" borderId="78" xfId="1" applyNumberFormat="1" applyFont="1" applyFill="1" applyBorder="1" applyAlignment="1">
      <alignment vertical="top" wrapText="1"/>
    </xf>
    <xf numFmtId="9" fontId="98" fillId="9" borderId="78" xfId="1" applyNumberFormat="1" applyFont="1" applyFill="1" applyBorder="1" applyAlignment="1">
      <alignment vertical="top" wrapText="1"/>
    </xf>
    <xf numFmtId="1" fontId="38" fillId="9" borderId="78" xfId="0" applyNumberFormat="1" applyFont="1" applyFill="1" applyBorder="1" applyAlignment="1">
      <alignment horizontal="center" vertical="center" wrapText="1"/>
    </xf>
    <xf numFmtId="1" fontId="91" fillId="19" borderId="78" xfId="0" applyNumberFormat="1" applyFont="1" applyFill="1" applyBorder="1" applyAlignment="1">
      <alignment vertical="top" wrapText="1"/>
    </xf>
    <xf numFmtId="1" fontId="101" fillId="9" borderId="73" xfId="0" applyNumberFormat="1" applyFont="1" applyFill="1" applyBorder="1" applyAlignment="1">
      <alignment vertical="top" wrapText="1"/>
    </xf>
    <xf numFmtId="1" fontId="98" fillId="9" borderId="73" xfId="0" applyNumberFormat="1" applyFont="1" applyFill="1" applyBorder="1" applyAlignment="1">
      <alignment vertical="top" wrapText="1"/>
    </xf>
    <xf numFmtId="1" fontId="38" fillId="9" borderId="73" xfId="0" applyNumberFormat="1" applyFont="1" applyFill="1" applyBorder="1" applyAlignment="1">
      <alignment horizontal="center" vertical="center" wrapText="1"/>
    </xf>
    <xf numFmtId="1" fontId="91" fillId="19" borderId="73" xfId="0" applyNumberFormat="1" applyFont="1" applyFill="1" applyBorder="1" applyAlignment="1">
      <alignment vertical="top" wrapText="1"/>
    </xf>
    <xf numFmtId="9" fontId="98" fillId="9" borderId="92" xfId="1" applyNumberFormat="1" applyFont="1" applyFill="1" applyBorder="1" applyAlignment="1">
      <alignment vertical="top" wrapText="1"/>
    </xf>
    <xf numFmtId="9" fontId="101" fillId="9" borderId="92" xfId="1" applyNumberFormat="1" applyFont="1" applyFill="1" applyBorder="1" applyAlignment="1">
      <alignment vertical="top" wrapText="1"/>
    </xf>
    <xf numFmtId="1" fontId="38" fillId="9" borderId="92" xfId="0" applyNumberFormat="1" applyFont="1" applyFill="1" applyBorder="1" applyAlignment="1">
      <alignment horizontal="center" vertical="center" wrapText="1"/>
    </xf>
    <xf numFmtId="9" fontId="91" fillId="9" borderId="93" xfId="0" applyNumberFormat="1" applyFont="1" applyFill="1" applyBorder="1" applyAlignment="1">
      <alignment vertical="top" wrapText="1"/>
    </xf>
    <xf numFmtId="9" fontId="27" fillId="11" borderId="61" xfId="19" applyNumberFormat="1" applyFont="1" applyFill="1" applyBorder="1" applyAlignment="1">
      <alignment horizontal="center" vertical="center" wrapText="1"/>
    </xf>
    <xf numFmtId="1" fontId="91" fillId="5" borderId="72" xfId="0" applyNumberFormat="1" applyFont="1" applyFill="1" applyBorder="1" applyAlignment="1">
      <alignment horizontal="center" vertical="center" wrapText="1"/>
    </xf>
    <xf numFmtId="0" fontId="91" fillId="8" borderId="72" xfId="0" applyFont="1" applyFill="1" applyBorder="1" applyAlignment="1">
      <alignment horizontal="center" vertical="center" wrapText="1"/>
    </xf>
    <xf numFmtId="1" fontId="91" fillId="9" borderId="72" xfId="0" applyNumberFormat="1" applyFont="1" applyFill="1" applyBorder="1" applyAlignment="1">
      <alignment horizontal="center" vertical="center" wrapText="1"/>
    </xf>
    <xf numFmtId="0" fontId="61" fillId="0" borderId="0" xfId="0" applyFont="1" applyFill="1" applyBorder="1"/>
    <xf numFmtId="0" fontId="61" fillId="45" borderId="0" xfId="0" applyFont="1" applyFill="1"/>
    <xf numFmtId="0" fontId="0" fillId="45" borderId="0" xfId="0" applyFill="1"/>
    <xf numFmtId="0" fontId="32" fillId="45" borderId="0" xfId="0" applyFont="1" applyFill="1"/>
    <xf numFmtId="0" fontId="28" fillId="0" borderId="0" xfId="0" applyFont="1" applyFill="1"/>
    <xf numFmtId="1" fontId="28" fillId="0" borderId="0" xfId="0" applyNumberFormat="1" applyFont="1" applyFill="1"/>
    <xf numFmtId="0" fontId="28" fillId="0" borderId="0" xfId="0" applyFont="1" applyFill="1" applyAlignment="1">
      <alignment wrapText="1" readingOrder="1"/>
    </xf>
    <xf numFmtId="165" fontId="28" fillId="0" borderId="0" xfId="0" applyNumberFormat="1" applyFont="1" applyFill="1"/>
    <xf numFmtId="1" fontId="28" fillId="0" borderId="0" xfId="0" applyNumberFormat="1" applyFont="1" applyFill="1" applyBorder="1" applyAlignment="1">
      <alignment wrapText="1"/>
    </xf>
    <xf numFmtId="0" fontId="28" fillId="0" borderId="0" xfId="0" applyFont="1" applyFill="1" applyAlignment="1">
      <alignment wrapText="1"/>
    </xf>
    <xf numFmtId="0" fontId="28" fillId="0" borderId="0" xfId="0" applyNumberFormat="1" applyFont="1" applyFill="1" applyAlignment="1">
      <alignment wrapText="1"/>
    </xf>
    <xf numFmtId="0" fontId="0" fillId="0" borderId="0" xfId="0"/>
    <xf numFmtId="14" fontId="20" fillId="3" borderId="2" xfId="0" applyNumberFormat="1" applyFont="1" applyFill="1" applyBorder="1" applyAlignment="1">
      <alignment horizontal="left" vertical="center" readingOrder="1"/>
    </xf>
    <xf numFmtId="0" fontId="44" fillId="0" borderId="0" xfId="9" applyFont="1" applyFill="1" applyBorder="1" applyAlignment="1">
      <alignment horizontal="right"/>
    </xf>
    <xf numFmtId="0" fontId="28" fillId="0" borderId="0" xfId="0" applyFont="1" applyFill="1"/>
    <xf numFmtId="0" fontId="28" fillId="0" borderId="0" xfId="0" applyFont="1" applyFill="1" applyBorder="1"/>
    <xf numFmtId="0" fontId="66" fillId="0" borderId="0" xfId="0" applyNumberFormat="1" applyFont="1" applyFill="1"/>
    <xf numFmtId="0" fontId="28" fillId="0" borderId="0" xfId="0" applyNumberFormat="1" applyFont="1" applyFill="1"/>
    <xf numFmtId="1" fontId="28" fillId="0" borderId="0" xfId="0" applyNumberFormat="1" applyFont="1" applyFill="1"/>
    <xf numFmtId="0" fontId="28" fillId="0" borderId="0" xfId="0" applyFont="1" applyFill="1" applyAlignment="1">
      <alignment wrapText="1" readingOrder="1"/>
    </xf>
    <xf numFmtId="0" fontId="28" fillId="0" borderId="16" xfId="0" applyFont="1" applyFill="1" applyBorder="1"/>
    <xf numFmtId="0" fontId="28" fillId="0" borderId="0" xfId="0" applyNumberFormat="1" applyFont="1" applyFill="1" applyBorder="1"/>
    <xf numFmtId="1" fontId="28" fillId="0" borderId="0" xfId="0" applyNumberFormat="1" applyFont="1" applyFill="1" applyBorder="1"/>
    <xf numFmtId="0" fontId="28" fillId="0" borderId="0" xfId="0" applyNumberFormat="1" applyFont="1" applyFill="1" applyAlignment="1">
      <alignment wrapText="1" readingOrder="1"/>
    </xf>
    <xf numFmtId="0" fontId="44" fillId="0" borderId="0" xfId="9" applyFont="1" applyFill="1" applyAlignment="1"/>
    <xf numFmtId="0" fontId="44" fillId="0" borderId="0" xfId="0" applyNumberFormat="1" applyFont="1" applyFill="1" applyBorder="1" applyAlignment="1"/>
    <xf numFmtId="0" fontId="28" fillId="0" borderId="21" xfId="0" applyFont="1" applyFill="1" applyBorder="1"/>
    <xf numFmtId="0" fontId="28" fillId="0" borderId="20" xfId="0" applyFont="1" applyFill="1" applyBorder="1"/>
    <xf numFmtId="0" fontId="28" fillId="0" borderId="27" xfId="0" applyFont="1" applyFill="1" applyBorder="1"/>
    <xf numFmtId="0" fontId="28" fillId="0" borderId="26" xfId="0" applyFont="1" applyFill="1" applyBorder="1"/>
    <xf numFmtId="165" fontId="28" fillId="0" borderId="0" xfId="0" applyNumberFormat="1" applyFont="1" applyFill="1"/>
    <xf numFmtId="1" fontId="43" fillId="0" borderId="0" xfId="0" applyNumberFormat="1" applyFont="1" applyFill="1" applyBorder="1" applyAlignment="1">
      <alignment horizontal="left" vertical="center" readingOrder="1"/>
    </xf>
    <xf numFmtId="0" fontId="81" fillId="0" borderId="0" xfId="9" applyFont="1" applyFill="1" applyBorder="1" applyAlignment="1">
      <alignment horizontal="right"/>
    </xf>
    <xf numFmtId="0" fontId="20" fillId="0" borderId="0" xfId="0" applyFont="1" applyFill="1" applyAlignment="1">
      <alignment horizontal="left" vertical="center" readingOrder="1"/>
    </xf>
    <xf numFmtId="1" fontId="28" fillId="0" borderId="21" xfId="0" applyNumberFormat="1" applyFont="1" applyFill="1" applyBorder="1"/>
    <xf numFmtId="0" fontId="0" fillId="0" borderId="0" xfId="0" applyFill="1" applyBorder="1"/>
    <xf numFmtId="168" fontId="20" fillId="0" borderId="0" xfId="0" applyNumberFormat="1" applyFont="1" applyFill="1" applyAlignment="1">
      <alignment horizontal="left" vertical="center" readingOrder="1"/>
    </xf>
    <xf numFmtId="0" fontId="61" fillId="0" borderId="0" xfId="0" pivotButton="1" applyFont="1"/>
    <xf numFmtId="0" fontId="73" fillId="40" borderId="0" xfId="0" applyFont="1" applyFill="1" applyAlignment="1">
      <alignment wrapText="1"/>
    </xf>
    <xf numFmtId="164" fontId="61" fillId="0" borderId="0" xfId="0" applyNumberFormat="1" applyFont="1" applyFill="1"/>
    <xf numFmtId="1" fontId="91" fillId="19" borderId="0" xfId="0" applyNumberFormat="1" applyFont="1" applyFill="1" applyBorder="1" applyAlignment="1">
      <alignment vertical="top" wrapText="1"/>
    </xf>
    <xf numFmtId="0" fontId="12" fillId="0" borderId="0" xfId="0" pivotButton="1" applyFont="1"/>
    <xf numFmtId="0" fontId="12" fillId="0" borderId="0" xfId="0" pivotButton="1" applyFont="1" applyAlignment="1">
      <alignment wrapText="1"/>
    </xf>
    <xf numFmtId="0" fontId="120" fillId="40" borderId="0" xfId="0" applyFont="1" applyFill="1" applyAlignment="1"/>
    <xf numFmtId="0" fontId="77" fillId="0" borderId="0" xfId="0" applyFont="1"/>
    <xf numFmtId="0" fontId="30" fillId="8" borderId="72" xfId="0" applyFont="1" applyFill="1" applyBorder="1" applyAlignment="1">
      <alignment horizontal="center" vertical="center" wrapText="1"/>
    </xf>
    <xf numFmtId="164" fontId="76" fillId="0" borderId="50" xfId="4" applyNumberFormat="1" applyFont="1" applyBorder="1"/>
    <xf numFmtId="0" fontId="86" fillId="0" borderId="0" xfId="0" applyFont="1" applyFill="1" applyAlignment="1">
      <alignment vertical="center"/>
    </xf>
    <xf numFmtId="0" fontId="28" fillId="9" borderId="0" xfId="0" applyFont="1" applyFill="1"/>
    <xf numFmtId="0" fontId="66" fillId="0" borderId="0" xfId="0" applyFont="1" applyFill="1"/>
    <xf numFmtId="0" fontId="66" fillId="0" borderId="0" xfId="0" applyNumberFormat="1" applyFont="1" applyFill="1" applyBorder="1"/>
    <xf numFmtId="0" fontId="66" fillId="0" borderId="0" xfId="0" applyFont="1" applyFill="1" applyBorder="1"/>
    <xf numFmtId="0" fontId="73" fillId="40" borderId="0" xfId="0" applyFont="1" applyFill="1" applyAlignment="1"/>
    <xf numFmtId="1" fontId="80" fillId="0" borderId="0" xfId="0" applyNumberFormat="1" applyFont="1" applyFill="1" applyBorder="1"/>
    <xf numFmtId="0" fontId="80" fillId="0" borderId="0" xfId="0" applyNumberFormat="1" applyFont="1" applyFill="1" applyBorder="1" applyAlignment="1">
      <alignment wrapText="1" readingOrder="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74" fillId="0" borderId="0" xfId="0" applyFont="1" applyAlignment="1">
      <alignment wrapText="1"/>
    </xf>
    <xf numFmtId="0" fontId="12" fillId="0" borderId="0" xfId="0" applyFont="1" applyAlignment="1">
      <alignment horizontal="center" vertical="center" wrapText="1"/>
    </xf>
    <xf numFmtId="0" fontId="25" fillId="0" borderId="37" xfId="0" applyFont="1" applyBorder="1" applyAlignment="1">
      <alignment horizontal="center" vertical="center" wrapText="1"/>
    </xf>
    <xf numFmtId="0" fontId="74" fillId="0" borderId="0" xfId="0" applyFont="1" applyAlignment="1">
      <alignment horizontal="center" vertical="center" wrapText="1"/>
    </xf>
    <xf numFmtId="1" fontId="122" fillId="0" borderId="0" xfId="0" applyNumberFormat="1" applyFont="1" applyFill="1"/>
    <xf numFmtId="0" fontId="122" fillId="0" borderId="26" xfId="0" applyNumberFormat="1" applyFont="1" applyFill="1" applyBorder="1"/>
    <xf numFmtId="0" fontId="122" fillId="0" borderId="0" xfId="0" applyFont="1" applyFill="1"/>
    <xf numFmtId="0" fontId="122" fillId="0" borderId="0" xfId="0" applyNumberFormat="1" applyFont="1" applyFill="1" applyAlignment="1">
      <alignment wrapText="1" readingOrder="1"/>
    </xf>
    <xf numFmtId="165" fontId="122" fillId="0" borderId="0" xfId="0" applyNumberFormat="1" applyFont="1" applyFill="1"/>
    <xf numFmtId="165" fontId="122" fillId="0" borderId="0" xfId="0" applyNumberFormat="1" applyFont="1" applyFill="1" applyAlignment="1">
      <alignment wrapText="1" readingOrder="1"/>
    </xf>
    <xf numFmtId="0" fontId="122" fillId="0" borderId="0" xfId="0" applyFont="1" applyFill="1" applyAlignment="1">
      <alignment wrapText="1" readingOrder="1"/>
    </xf>
    <xf numFmtId="14" fontId="20" fillId="3" borderId="0" xfId="0" applyNumberFormat="1" applyFont="1" applyFill="1" applyBorder="1" applyAlignment="1">
      <alignment horizontal="left" vertical="center" readingOrder="1"/>
    </xf>
    <xf numFmtId="1" fontId="122" fillId="0" borderId="27" xfId="0" applyNumberFormat="1" applyFont="1" applyFill="1" applyBorder="1"/>
    <xf numFmtId="1" fontId="28" fillId="0" borderId="26" xfId="0" applyNumberFormat="1" applyFont="1" applyFill="1" applyBorder="1"/>
    <xf numFmtId="1" fontId="122" fillId="0" borderId="0" xfId="0" applyNumberFormat="1" applyFont="1" applyFill="1" applyBorder="1"/>
    <xf numFmtId="0" fontId="122" fillId="0" borderId="0" xfId="0" applyFont="1" applyFill="1" applyBorder="1"/>
    <xf numFmtId="0" fontId="122" fillId="0" borderId="0" xfId="0" applyNumberFormat="1" applyFont="1" applyFill="1" applyBorder="1" applyAlignment="1">
      <alignment wrapText="1" readingOrder="1"/>
    </xf>
    <xf numFmtId="1" fontId="38" fillId="9" borderId="0" xfId="0" applyNumberFormat="1" applyFont="1" applyFill="1" applyBorder="1" applyAlignment="1">
      <alignment horizontal="center" vertical="center" wrapText="1"/>
    </xf>
    <xf numFmtId="0" fontId="10" fillId="0" borderId="0" xfId="0" applyFont="1"/>
    <xf numFmtId="166" fontId="9" fillId="20" borderId="0" xfId="8" applyFont="1" applyFill="1" applyBorder="1"/>
    <xf numFmtId="0" fontId="72" fillId="0" borderId="0" xfId="0" applyFont="1" applyFill="1" applyAlignment="1">
      <alignment vertical="center"/>
    </xf>
    <xf numFmtId="0" fontId="123" fillId="0" borderId="0" xfId="0" applyFont="1" applyAlignment="1">
      <alignment horizontal="left"/>
    </xf>
    <xf numFmtId="9" fontId="123" fillId="0" borderId="0" xfId="0" applyNumberFormat="1" applyFont="1"/>
    <xf numFmtId="0" fontId="8" fillId="0" borderId="0" xfId="0" applyFont="1"/>
    <xf numFmtId="0" fontId="8" fillId="0" borderId="0" xfId="0" applyFont="1" applyAlignment="1">
      <alignment horizontal="left"/>
    </xf>
    <xf numFmtId="9" fontId="8" fillId="0" borderId="0" xfId="0" applyNumberFormat="1" applyFont="1"/>
    <xf numFmtId="0" fontId="7" fillId="14" borderId="0" xfId="0" applyFont="1" applyFill="1" applyAlignment="1">
      <alignment horizontal="left"/>
    </xf>
    <xf numFmtId="0" fontId="72" fillId="0" borderId="0" xfId="0" applyFont="1" applyFill="1"/>
    <xf numFmtId="0" fontId="73" fillId="0" borderId="0" xfId="0" applyFont="1" applyFill="1"/>
    <xf numFmtId="0" fontId="7" fillId="0" borderId="0" xfId="0" applyFont="1" applyFill="1" applyAlignment="1">
      <alignment horizontal="left"/>
    </xf>
    <xf numFmtId="0" fontId="0" fillId="0" borderId="0" xfId="0" applyNumberFormat="1"/>
    <xf numFmtId="0" fontId="0" fillId="0" borderId="0" xfId="0"/>
    <xf numFmtId="14" fontId="20" fillId="3" borderId="2" xfId="0" applyNumberFormat="1" applyFont="1" applyFill="1" applyBorder="1" applyAlignment="1">
      <alignment horizontal="left" vertical="center" readingOrder="1"/>
    </xf>
    <xf numFmtId="0" fontId="31" fillId="0" borderId="0" xfId="0" applyFont="1" applyFill="1" applyAlignment="1"/>
    <xf numFmtId="1" fontId="31" fillId="0" borderId="0" xfId="0" applyNumberFormat="1" applyFont="1" applyFill="1" applyAlignment="1"/>
    <xf numFmtId="0" fontId="31" fillId="0" borderId="0" xfId="1" applyNumberFormat="1" applyFont="1" applyFill="1" applyAlignment="1"/>
    <xf numFmtId="0" fontId="31" fillId="0" borderId="0" xfId="0" applyNumberFormat="1" applyFont="1" applyFill="1" applyAlignment="1"/>
    <xf numFmtId="9" fontId="20" fillId="0" borderId="0" xfId="0" applyNumberFormat="1" applyFont="1" applyFill="1" applyAlignment="1">
      <alignment horizontal="left" vertical="center" readingOrder="1"/>
    </xf>
    <xf numFmtId="9" fontId="20" fillId="0" borderId="0" xfId="1" applyFont="1" applyFill="1" applyAlignment="1">
      <alignment horizontal="left" vertical="center" readingOrder="1"/>
    </xf>
    <xf numFmtId="1" fontId="20" fillId="0" borderId="0" xfId="1" applyNumberFormat="1" applyFont="1" applyFill="1" applyAlignment="1">
      <alignment horizontal="left" vertical="center" readingOrder="1"/>
    </xf>
    <xf numFmtId="9" fontId="20" fillId="0" borderId="0" xfId="1" applyNumberFormat="1" applyFont="1" applyFill="1" applyAlignment="1">
      <alignment horizontal="left" vertical="center" readingOrder="1"/>
    </xf>
    <xf numFmtId="0" fontId="20" fillId="0" borderId="0" xfId="1" applyNumberFormat="1" applyFont="1" applyFill="1" applyAlignment="1">
      <alignment horizontal="left" vertical="center" readingOrder="1"/>
    </xf>
    <xf numFmtId="0" fontId="0" fillId="0" borderId="0" xfId="0" pivotButton="1"/>
    <xf numFmtId="0" fontId="28" fillId="0" borderId="0" xfId="0" applyFont="1" applyFill="1"/>
    <xf numFmtId="1" fontId="20" fillId="0" borderId="0" xfId="0" applyNumberFormat="1" applyFont="1" applyFill="1" applyAlignment="1">
      <alignment horizontal="left" vertical="center" readingOrder="1"/>
    </xf>
    <xf numFmtId="0" fontId="28" fillId="0" borderId="0" xfId="0" applyFont="1" applyFill="1" applyBorder="1"/>
    <xf numFmtId="0" fontId="66" fillId="0" borderId="0" xfId="0" applyNumberFormat="1" applyFont="1" applyFill="1"/>
    <xf numFmtId="0" fontId="28" fillId="0" borderId="0" xfId="0" applyNumberFormat="1" applyFont="1" applyFill="1"/>
    <xf numFmtId="1" fontId="28" fillId="0" borderId="0" xfId="0" applyNumberFormat="1" applyFont="1" applyFill="1"/>
    <xf numFmtId="0" fontId="28" fillId="0" borderId="0" xfId="0" applyFont="1" applyFill="1" applyAlignment="1">
      <alignment wrapText="1" readingOrder="1"/>
    </xf>
    <xf numFmtId="0" fontId="28" fillId="0" borderId="16" xfId="0" applyFont="1" applyFill="1" applyBorder="1"/>
    <xf numFmtId="0" fontId="28" fillId="0" borderId="0" xfId="0" applyNumberFormat="1" applyFont="1" applyFill="1" applyBorder="1"/>
    <xf numFmtId="1" fontId="28" fillId="0" borderId="0" xfId="0" applyNumberFormat="1" applyFont="1" applyFill="1" applyBorder="1"/>
    <xf numFmtId="0" fontId="28" fillId="0" borderId="0" xfId="0" applyFont="1" applyFill="1" applyBorder="1" applyAlignment="1">
      <alignment wrapText="1" readingOrder="1"/>
    </xf>
    <xf numFmtId="0" fontId="0" fillId="0" borderId="0" xfId="0" applyFill="1"/>
    <xf numFmtId="0" fontId="28" fillId="0" borderId="0" xfId="0" applyNumberFormat="1" applyFont="1" applyFill="1" applyAlignment="1">
      <alignment wrapText="1" readingOrder="1"/>
    </xf>
    <xf numFmtId="0" fontId="28" fillId="0" borderId="0" xfId="0" applyNumberFormat="1" applyFont="1" applyFill="1" applyBorder="1" applyAlignment="1">
      <alignment wrapText="1" readingOrder="1"/>
    </xf>
    <xf numFmtId="0" fontId="43" fillId="0" borderId="0" xfId="0" applyFont="1" applyFill="1" applyBorder="1" applyAlignment="1">
      <alignment horizontal="left" vertical="center" readingOrder="1"/>
    </xf>
    <xf numFmtId="0" fontId="43" fillId="0" borderId="0" xfId="0" applyNumberFormat="1" applyFont="1" applyFill="1" applyBorder="1" applyAlignment="1">
      <alignment horizontal="left" vertical="center" readingOrder="1"/>
    </xf>
    <xf numFmtId="0" fontId="44" fillId="0" borderId="0" xfId="9" applyFont="1" applyFill="1" applyAlignment="1"/>
    <xf numFmtId="0" fontId="28" fillId="0" borderId="21" xfId="0" applyFont="1" applyFill="1" applyBorder="1"/>
    <xf numFmtId="0" fontId="28" fillId="0" borderId="20" xfId="0" applyFont="1" applyFill="1" applyBorder="1"/>
    <xf numFmtId="0" fontId="28" fillId="0" borderId="20" xfId="0" applyNumberFormat="1" applyFont="1" applyFill="1" applyBorder="1"/>
    <xf numFmtId="1" fontId="28" fillId="0" borderId="20" xfId="0" applyNumberFormat="1" applyFont="1" applyFill="1" applyBorder="1"/>
    <xf numFmtId="0" fontId="28" fillId="0" borderId="27" xfId="0" applyFont="1" applyFill="1" applyBorder="1"/>
    <xf numFmtId="0" fontId="28" fillId="0" borderId="26" xfId="0" applyFont="1" applyFill="1" applyBorder="1"/>
    <xf numFmtId="0" fontId="20" fillId="0" borderId="0" xfId="0" applyNumberFormat="1" applyFont="1" applyFill="1" applyAlignment="1">
      <alignment horizontal="left" vertical="center" readingOrder="1"/>
    </xf>
    <xf numFmtId="165" fontId="28" fillId="0" borderId="0" xfId="0" applyNumberFormat="1" applyFont="1" applyFill="1"/>
    <xf numFmtId="165" fontId="28" fillId="0" borderId="0" xfId="0" applyNumberFormat="1" applyFont="1" applyFill="1" applyBorder="1"/>
    <xf numFmtId="165" fontId="43" fillId="0" borderId="0" xfId="0" applyNumberFormat="1" applyFont="1" applyFill="1" applyBorder="1" applyAlignment="1">
      <alignment horizontal="left" vertical="center" wrapText="1" readingOrder="1"/>
    </xf>
    <xf numFmtId="0" fontId="28" fillId="0" borderId="51" xfId="0" applyFont="1" applyFill="1" applyBorder="1"/>
    <xf numFmtId="0" fontId="81" fillId="0" borderId="0" xfId="9" applyFont="1" applyAlignment="1"/>
    <xf numFmtId="0" fontId="43" fillId="0" borderId="26" xfId="0" applyFont="1" applyFill="1" applyBorder="1" applyAlignment="1">
      <alignment horizontal="left" vertical="center" readingOrder="1"/>
    </xf>
    <xf numFmtId="0" fontId="81" fillId="0" borderId="0" xfId="9" applyFont="1" applyFill="1" applyBorder="1" applyAlignment="1"/>
    <xf numFmtId="0" fontId="28" fillId="0" borderId="0" xfId="0" applyFont="1" applyBorder="1"/>
    <xf numFmtId="0" fontId="28" fillId="0" borderId="26" xfId="0" applyNumberFormat="1" applyFont="1" applyFill="1" applyBorder="1"/>
    <xf numFmtId="1" fontId="28" fillId="0" borderId="27" xfId="0" applyNumberFormat="1" applyFont="1" applyFill="1" applyBorder="1"/>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49" fontId="86" fillId="0" borderId="0" xfId="21" applyNumberFormat="1" applyFont="1" applyFill="1" applyBorder="1" applyAlignment="1">
      <alignment horizontal="left" vertical="center"/>
    </xf>
    <xf numFmtId="0" fontId="28" fillId="0" borderId="26" xfId="0" applyFont="1" applyFill="1" applyBorder="1" applyAlignment="1"/>
    <xf numFmtId="0" fontId="28" fillId="0" borderId="0" xfId="0" applyFont="1" applyFill="1" applyAlignment="1"/>
    <xf numFmtId="165" fontId="28" fillId="0" borderId="0" xfId="0" applyNumberFormat="1" applyFont="1" applyFill="1" applyAlignment="1"/>
    <xf numFmtId="0" fontId="28" fillId="0" borderId="0" xfId="0" applyFont="1" applyFill="1" applyAlignment="1">
      <alignment readingOrder="1"/>
    </xf>
    <xf numFmtId="0" fontId="81" fillId="0" borderId="0" xfId="9" applyFont="1" applyFill="1" applyBorder="1" applyAlignment="1">
      <alignment horizontal="right"/>
    </xf>
    <xf numFmtId="164" fontId="20" fillId="0" borderId="0" xfId="4" applyNumberFormat="1" applyFont="1" applyFill="1" applyAlignment="1">
      <alignment horizontal="left" vertical="center" readingOrder="1"/>
    </xf>
    <xf numFmtId="165" fontId="28" fillId="0" borderId="0" xfId="0" applyNumberFormat="1" applyFont="1" applyFill="1" applyAlignment="1">
      <alignment wrapText="1" readingOrder="1"/>
    </xf>
    <xf numFmtId="0" fontId="30" fillId="8" borderId="72" xfId="0" applyFont="1" applyFill="1" applyBorder="1" applyAlignment="1">
      <alignment horizontal="center" vertical="center" wrapText="1"/>
    </xf>
    <xf numFmtId="1" fontId="124" fillId="0" borderId="0" xfId="0" applyNumberFormat="1" applyFont="1" applyFill="1"/>
    <xf numFmtId="0" fontId="124" fillId="0" borderId="26" xfId="0" applyNumberFormat="1" applyFont="1" applyFill="1" applyBorder="1"/>
    <xf numFmtId="1" fontId="124" fillId="0" borderId="26" xfId="0" applyNumberFormat="1" applyFont="1" applyFill="1" applyBorder="1"/>
    <xf numFmtId="0" fontId="124" fillId="0" borderId="0" xfId="0" applyFont="1" applyFill="1"/>
    <xf numFmtId="0" fontId="124" fillId="0" borderId="0" xfId="0" applyNumberFormat="1" applyFont="1" applyFill="1" applyAlignment="1">
      <alignment wrapText="1" readingOrder="1"/>
    </xf>
    <xf numFmtId="165" fontId="124" fillId="0" borderId="0" xfId="0" applyNumberFormat="1" applyFont="1" applyFill="1"/>
    <xf numFmtId="0" fontId="27" fillId="18" borderId="61" xfId="19" applyFont="1" applyFill="1" applyBorder="1" applyAlignment="1">
      <alignment horizontal="left" vertical="center" wrapText="1"/>
    </xf>
    <xf numFmtId="0" fontId="27" fillId="11" borderId="61" xfId="19" applyFont="1" applyFill="1" applyBorder="1" applyAlignment="1">
      <alignment horizontal="left" vertical="center" wrapText="1"/>
    </xf>
    <xf numFmtId="9" fontId="27" fillId="34" borderId="64" xfId="19" applyNumberFormat="1" applyFont="1" applyFill="1" applyBorder="1" applyAlignment="1">
      <alignment horizontal="left" vertical="center" wrapText="1" readingOrder="1"/>
    </xf>
    <xf numFmtId="0" fontId="29" fillId="16" borderId="61" xfId="22" applyNumberFormat="1" applyFont="1" applyFill="1" applyBorder="1" applyAlignment="1">
      <alignment horizontal="left" vertical="center" indent="1" readingOrder="1"/>
    </xf>
    <xf numFmtId="0" fontId="126" fillId="0" borderId="0" xfId="22" applyFont="1" applyAlignment="1">
      <alignment horizontal="left" vertical="center"/>
    </xf>
    <xf numFmtId="0" fontId="126" fillId="43" borderId="61" xfId="22" applyFont="1" applyFill="1" applyBorder="1" applyAlignment="1">
      <alignment horizontal="left" vertical="center"/>
    </xf>
    <xf numFmtId="0" fontId="126" fillId="43" borderId="64" xfId="22" applyFont="1" applyFill="1" applyBorder="1" applyAlignment="1">
      <alignment horizontal="left" vertical="center"/>
    </xf>
    <xf numFmtId="0" fontId="115" fillId="38" borderId="61" xfId="22" applyNumberFormat="1" applyFont="1" applyFill="1" applyBorder="1" applyAlignment="1">
      <alignment horizontal="center" vertical="center" readingOrder="1"/>
    </xf>
    <xf numFmtId="0" fontId="115" fillId="9" borderId="61" xfId="22" applyNumberFormat="1" applyFont="1" applyFill="1" applyBorder="1" applyAlignment="1">
      <alignment horizontal="center" vertical="center" readingOrder="1"/>
    </xf>
    <xf numFmtId="0" fontId="115" fillId="16" borderId="61" xfId="22" applyNumberFormat="1" applyFont="1" applyFill="1" applyBorder="1" applyAlignment="1">
      <alignment horizontal="center" vertical="center" readingOrder="1"/>
    </xf>
    <xf numFmtId="0" fontId="115" fillId="14" borderId="61" xfId="22" applyNumberFormat="1" applyFont="1" applyFill="1" applyBorder="1" applyAlignment="1">
      <alignment horizontal="center" vertical="center" readingOrder="1"/>
    </xf>
    <xf numFmtId="1" fontId="36" fillId="9" borderId="72" xfId="1" applyNumberFormat="1" applyFont="1" applyFill="1" applyBorder="1" applyAlignment="1">
      <alignment horizontal="center" vertical="center"/>
    </xf>
    <xf numFmtId="1" fontId="30" fillId="9" borderId="72" xfId="0" applyNumberFormat="1" applyFont="1" applyFill="1" applyBorder="1" applyAlignment="1">
      <alignment horizontal="center" vertical="center" wrapText="1"/>
    </xf>
    <xf numFmtId="9" fontId="30" fillId="9" borderId="78" xfId="1" applyFont="1" applyFill="1" applyBorder="1" applyAlignment="1">
      <alignment horizontal="center" vertical="center" wrapText="1"/>
    </xf>
    <xf numFmtId="9" fontId="30" fillId="9" borderId="92" xfId="1" applyFont="1" applyFill="1" applyBorder="1" applyAlignment="1">
      <alignment horizontal="center" vertical="center" wrapText="1"/>
    </xf>
    <xf numFmtId="1" fontId="30" fillId="9" borderId="73" xfId="0" applyNumberFormat="1" applyFont="1" applyFill="1" applyBorder="1" applyAlignment="1">
      <alignment horizontal="center" vertical="center" wrapText="1"/>
    </xf>
    <xf numFmtId="0" fontId="29" fillId="22" borderId="2" xfId="0" applyNumberFormat="1" applyFont="1" applyFill="1" applyBorder="1" applyAlignment="1">
      <alignment horizontal="center" vertical="center" readingOrder="1"/>
    </xf>
    <xf numFmtId="0" fontId="31" fillId="0" borderId="0" xfId="0" applyFont="1" applyAlignment="1">
      <alignment horizontal="center"/>
    </xf>
    <xf numFmtId="49" fontId="20" fillId="0" borderId="0" xfId="4" applyNumberFormat="1" applyFont="1" applyFill="1" applyAlignment="1">
      <alignment horizontal="left" vertical="center" readingOrder="1"/>
    </xf>
    <xf numFmtId="0" fontId="19" fillId="14" borderId="95" xfId="22" applyNumberFormat="1" applyFont="1" applyFill="1" applyBorder="1" applyAlignment="1">
      <alignment horizontal="center" vertical="center" wrapText="1"/>
    </xf>
    <xf numFmtId="0" fontId="19" fillId="38" borderId="62" xfId="22" applyNumberFormat="1" applyFont="1" applyFill="1" applyBorder="1" applyAlignment="1">
      <alignment horizontal="center" vertical="center"/>
    </xf>
    <xf numFmtId="0" fontId="19" fillId="9" borderId="62" xfId="22" applyNumberFormat="1" applyFont="1" applyFill="1" applyBorder="1" applyAlignment="1">
      <alignment horizontal="center" vertical="center" wrapText="1"/>
    </xf>
    <xf numFmtId="9" fontId="126" fillId="16" borderId="95" xfId="19" applyNumberFormat="1" applyFont="1" applyFill="1" applyBorder="1" applyAlignment="1">
      <alignment horizontal="center" vertical="center" wrapText="1" readingOrder="1"/>
    </xf>
    <xf numFmtId="49" fontId="27" fillId="7" borderId="61" xfId="19" applyNumberFormat="1" applyFont="1" applyFill="1" applyBorder="1" applyAlignment="1">
      <alignment horizontal="left" vertical="center" wrapText="1" readingOrder="1"/>
    </xf>
    <xf numFmtId="164" fontId="79" fillId="14" borderId="72" xfId="4" applyNumberFormat="1" applyFont="1" applyFill="1" applyBorder="1" applyAlignment="1">
      <alignment vertical="center" wrapText="1"/>
    </xf>
    <xf numFmtId="164" fontId="79" fillId="14" borderId="72" xfId="4" applyNumberFormat="1" applyFont="1" applyFill="1" applyBorder="1" applyAlignment="1">
      <alignment vertical="center"/>
    </xf>
    <xf numFmtId="164" fontId="61" fillId="10" borderId="31" xfId="4" applyNumberFormat="1" applyFont="1" applyFill="1" applyBorder="1" applyAlignment="1">
      <alignment vertical="center" wrapText="1"/>
    </xf>
    <xf numFmtId="164" fontId="61" fillId="10" borderId="31" xfId="4" applyNumberFormat="1" applyFont="1" applyFill="1" applyBorder="1" applyAlignment="1">
      <alignment vertical="center"/>
    </xf>
    <xf numFmtId="164" fontId="61" fillId="10" borderId="36" xfId="4" applyNumberFormat="1" applyFont="1" applyFill="1" applyBorder="1" applyAlignment="1">
      <alignment vertical="center"/>
    </xf>
    <xf numFmtId="9" fontId="61" fillId="10" borderId="36" xfId="1" applyFont="1" applyFill="1" applyBorder="1" applyAlignment="1">
      <alignment vertical="center"/>
    </xf>
    <xf numFmtId="164" fontId="61" fillId="10" borderId="35" xfId="4" applyNumberFormat="1" applyFont="1" applyFill="1" applyBorder="1" applyAlignment="1">
      <alignment vertical="center"/>
    </xf>
    <xf numFmtId="164" fontId="61" fillId="10" borderId="100" xfId="4" applyNumberFormat="1" applyFont="1" applyFill="1" applyBorder="1" applyAlignment="1">
      <alignment vertical="center" wrapText="1"/>
    </xf>
    <xf numFmtId="164" fontId="61" fillId="10" borderId="100" xfId="4" applyNumberFormat="1" applyFont="1" applyFill="1" applyBorder="1" applyAlignment="1">
      <alignment vertical="center"/>
    </xf>
    <xf numFmtId="164" fontId="61" fillId="10" borderId="101" xfId="4" applyNumberFormat="1" applyFont="1" applyFill="1" applyBorder="1" applyAlignment="1">
      <alignment vertical="center"/>
    </xf>
    <xf numFmtId="9" fontId="61" fillId="10" borderId="101" xfId="1" applyFont="1" applyFill="1" applyBorder="1" applyAlignment="1">
      <alignment vertical="center"/>
    </xf>
    <xf numFmtId="164" fontId="61" fillId="10" borderId="96" xfId="4" applyNumberFormat="1" applyFont="1" applyFill="1" applyBorder="1" applyAlignment="1">
      <alignment vertical="center"/>
    </xf>
    <xf numFmtId="164" fontId="61" fillId="7" borderId="102" xfId="4" applyNumberFormat="1" applyFont="1" applyFill="1" applyBorder="1" applyAlignment="1">
      <alignment vertical="center" wrapText="1"/>
    </xf>
    <xf numFmtId="164" fontId="61" fillId="7" borderId="102" xfId="4" applyNumberFormat="1" applyFont="1" applyFill="1" applyBorder="1" applyAlignment="1">
      <alignment vertical="center"/>
    </xf>
    <xf numFmtId="164" fontId="119" fillId="7" borderId="103" xfId="4" applyNumberFormat="1" applyFont="1" applyFill="1" applyBorder="1" applyAlignment="1">
      <alignment vertical="center"/>
    </xf>
    <xf numFmtId="9" fontId="61" fillId="7" borderId="103" xfId="1" applyFont="1" applyFill="1" applyBorder="1" applyAlignment="1">
      <alignment vertical="center"/>
    </xf>
    <xf numFmtId="164" fontId="61" fillId="7" borderId="97" xfId="4" applyNumberFormat="1" applyFont="1" applyFill="1" applyBorder="1" applyAlignment="1">
      <alignment vertical="center"/>
    </xf>
    <xf numFmtId="164" fontId="61" fillId="7" borderId="103" xfId="4" applyNumberFormat="1" applyFont="1" applyFill="1" applyBorder="1" applyAlignment="1">
      <alignment vertical="center"/>
    </xf>
    <xf numFmtId="164" fontId="61" fillId="7" borderId="31" xfId="4" applyNumberFormat="1" applyFont="1" applyFill="1" applyBorder="1" applyAlignment="1">
      <alignment vertical="center" wrapText="1"/>
    </xf>
    <xf numFmtId="164" fontId="61" fillId="7" borderId="31" xfId="4" applyNumberFormat="1" applyFont="1" applyFill="1" applyBorder="1" applyAlignment="1">
      <alignment vertical="center"/>
    </xf>
    <xf numFmtId="164" fontId="119" fillId="7" borderId="36" xfId="4" applyNumberFormat="1" applyFont="1" applyFill="1" applyBorder="1" applyAlignment="1">
      <alignment vertical="center"/>
    </xf>
    <xf numFmtId="9" fontId="61" fillId="7" borderId="36" xfId="1" applyFont="1" applyFill="1" applyBorder="1" applyAlignment="1">
      <alignment vertical="center"/>
    </xf>
    <xf numFmtId="164" fontId="61" fillId="7" borderId="35" xfId="4" applyNumberFormat="1" applyFont="1" applyFill="1" applyBorder="1" applyAlignment="1">
      <alignment vertical="center"/>
    </xf>
    <xf numFmtId="164" fontId="61" fillId="7" borderId="36" xfId="4" applyNumberFormat="1" applyFont="1" applyFill="1" applyBorder="1" applyAlignment="1">
      <alignment vertical="center"/>
    </xf>
    <xf numFmtId="164" fontId="61" fillId="11" borderId="31" xfId="4" applyNumberFormat="1" applyFont="1" applyFill="1" applyBorder="1" applyAlignment="1">
      <alignment vertical="center" wrapText="1"/>
    </xf>
    <xf numFmtId="164" fontId="61" fillId="11" borderId="31" xfId="4" applyNumberFormat="1" applyFont="1" applyFill="1" applyBorder="1" applyAlignment="1">
      <alignment vertical="center"/>
    </xf>
    <xf numFmtId="164" fontId="119" fillId="11" borderId="36" xfId="4" applyNumberFormat="1" applyFont="1" applyFill="1" applyBorder="1" applyAlignment="1">
      <alignment vertical="center"/>
    </xf>
    <xf numFmtId="9" fontId="61" fillId="11" borderId="36" xfId="1" applyFont="1" applyFill="1" applyBorder="1" applyAlignment="1">
      <alignment vertical="center"/>
    </xf>
    <xf numFmtId="164" fontId="61" fillId="11" borderId="35" xfId="4" applyNumberFormat="1" applyFont="1" applyFill="1" applyBorder="1" applyAlignment="1">
      <alignment vertical="center"/>
    </xf>
    <xf numFmtId="164" fontId="61" fillId="11" borderId="36" xfId="4" applyNumberFormat="1" applyFont="1" applyFill="1" applyBorder="1" applyAlignment="1">
      <alignment vertical="center"/>
    </xf>
    <xf numFmtId="164" fontId="119" fillId="12" borderId="31" xfId="4" applyNumberFormat="1" applyFont="1" applyFill="1" applyBorder="1" applyAlignment="1">
      <alignment vertical="center" wrapText="1"/>
    </xf>
    <xf numFmtId="164" fontId="119" fillId="12" borderId="31" xfId="4" applyNumberFormat="1" applyFont="1" applyFill="1" applyBorder="1" applyAlignment="1">
      <alignment vertical="center"/>
    </xf>
    <xf numFmtId="164" fontId="119" fillId="12" borderId="36" xfId="4" applyNumberFormat="1" applyFont="1" applyFill="1" applyBorder="1" applyAlignment="1">
      <alignment vertical="center"/>
    </xf>
    <xf numFmtId="9" fontId="119" fillId="12" borderId="36" xfId="1" applyFont="1" applyFill="1" applyBorder="1" applyAlignment="1">
      <alignment vertical="center"/>
    </xf>
    <xf numFmtId="164" fontId="119" fillId="12" borderId="35" xfId="4" applyNumberFormat="1" applyFont="1" applyFill="1" applyBorder="1" applyAlignment="1">
      <alignment vertical="center"/>
    </xf>
    <xf numFmtId="164" fontId="79" fillId="8" borderId="31" xfId="4" applyNumberFormat="1" applyFont="1" applyFill="1" applyBorder="1" applyAlignment="1">
      <alignment vertical="center" wrapText="1"/>
    </xf>
    <xf numFmtId="164" fontId="79" fillId="8" borderId="31" xfId="4" applyNumberFormat="1" applyFont="1" applyFill="1" applyBorder="1" applyAlignment="1">
      <alignment vertical="center"/>
    </xf>
    <xf numFmtId="9" fontId="79" fillId="8" borderId="36" xfId="1" applyFont="1" applyFill="1" applyBorder="1" applyAlignment="1">
      <alignment vertical="center"/>
    </xf>
    <xf numFmtId="164" fontId="79" fillId="8" borderId="35" xfId="4" applyNumberFormat="1" applyFont="1" applyFill="1" applyBorder="1" applyAlignment="1">
      <alignment vertical="center"/>
    </xf>
    <xf numFmtId="164" fontId="79" fillId="8" borderId="36" xfId="4" applyNumberFormat="1" applyFont="1" applyFill="1" applyBorder="1" applyAlignment="1">
      <alignment vertical="center"/>
    </xf>
    <xf numFmtId="164" fontId="79" fillId="36" borderId="31" xfId="4" applyNumberFormat="1" applyFont="1" applyFill="1" applyBorder="1" applyAlignment="1">
      <alignment vertical="center" wrapText="1"/>
    </xf>
    <xf numFmtId="9" fontId="67" fillId="36" borderId="36" xfId="1" applyFont="1" applyFill="1" applyBorder="1" applyAlignment="1">
      <alignment vertical="center"/>
    </xf>
    <xf numFmtId="164" fontId="67" fillId="36" borderId="35" xfId="4" applyNumberFormat="1" applyFont="1" applyFill="1" applyBorder="1" applyAlignment="1">
      <alignment vertical="center"/>
    </xf>
    <xf numFmtId="164" fontId="67" fillId="36" borderId="31" xfId="4" applyNumberFormat="1" applyFont="1" applyFill="1" applyBorder="1" applyAlignment="1">
      <alignment vertical="center"/>
    </xf>
    <xf numFmtId="164" fontId="67" fillId="36" borderId="36" xfId="4" applyNumberFormat="1" applyFont="1" applyFill="1" applyBorder="1" applyAlignment="1">
      <alignment vertical="center"/>
    </xf>
    <xf numFmtId="164" fontId="67" fillId="26" borderId="0" xfId="4" applyNumberFormat="1" applyFont="1" applyFill="1" applyBorder="1" applyAlignment="1">
      <alignment vertical="center" wrapText="1"/>
    </xf>
    <xf numFmtId="164" fontId="67" fillId="26" borderId="0" xfId="4" applyNumberFormat="1" applyFont="1" applyFill="1" applyBorder="1" applyAlignment="1">
      <alignment vertical="center"/>
    </xf>
    <xf numFmtId="9" fontId="67" fillId="26" borderId="0" xfId="1" applyFont="1" applyFill="1" applyBorder="1" applyAlignment="1">
      <alignment vertical="center"/>
    </xf>
    <xf numFmtId="164" fontId="61" fillId="12" borderId="31" xfId="4" applyNumberFormat="1" applyFont="1" applyFill="1" applyBorder="1" applyAlignment="1">
      <alignment vertical="center"/>
    </xf>
    <xf numFmtId="0" fontId="25" fillId="0" borderId="56" xfId="0" applyFont="1" applyFill="1" applyBorder="1" applyAlignment="1">
      <alignment vertical="center" wrapText="1"/>
    </xf>
    <xf numFmtId="0" fontId="76" fillId="0" borderId="107" xfId="0" applyFont="1" applyBorder="1"/>
    <xf numFmtId="0" fontId="76" fillId="0" borderId="106" xfId="0" applyFont="1" applyBorder="1" applyAlignment="1">
      <alignment horizontal="left"/>
    </xf>
    <xf numFmtId="164" fontId="76" fillId="0" borderId="106" xfId="0" applyNumberFormat="1" applyFont="1" applyBorder="1"/>
    <xf numFmtId="0" fontId="76" fillId="0" borderId="107" xfId="0" applyFont="1" applyBorder="1" applyAlignment="1">
      <alignment horizontal="left"/>
    </xf>
    <xf numFmtId="164" fontId="76" fillId="0" borderId="107" xfId="0" applyNumberFormat="1" applyFont="1" applyBorder="1"/>
    <xf numFmtId="0" fontId="74" fillId="0" borderId="0" xfId="0" pivotButton="1" applyFont="1"/>
    <xf numFmtId="0" fontId="6" fillId="0" borderId="0" xfId="0" applyFont="1"/>
    <xf numFmtId="164" fontId="6" fillId="0" borderId="0" xfId="0" applyNumberFormat="1" applyFont="1"/>
    <xf numFmtId="0" fontId="127" fillId="0" borderId="108" xfId="0" applyFont="1" applyBorder="1" applyAlignment="1">
      <alignment horizontal="left"/>
    </xf>
    <xf numFmtId="0" fontId="127" fillId="0" borderId="110" xfId="0" applyNumberFormat="1" applyFont="1" applyBorder="1"/>
    <xf numFmtId="0" fontId="127" fillId="0" borderId="109" xfId="0" applyFont="1" applyBorder="1" applyAlignment="1">
      <alignment horizontal="left"/>
    </xf>
    <xf numFmtId="0" fontId="127" fillId="0" borderId="111" xfId="0" applyNumberFormat="1" applyFont="1" applyBorder="1"/>
    <xf numFmtId="0" fontId="85" fillId="41" borderId="0" xfId="0" applyFont="1" applyFill="1" applyAlignment="1">
      <alignment vertical="center"/>
    </xf>
    <xf numFmtId="0" fontId="61" fillId="0" borderId="59" xfId="0" applyFont="1" applyBorder="1" applyAlignment="1">
      <alignment vertical="center" wrapText="1"/>
    </xf>
    <xf numFmtId="0" fontId="79" fillId="35" borderId="60" xfId="0" applyFont="1" applyFill="1" applyBorder="1" applyAlignment="1">
      <alignment horizontal="center" vertical="center"/>
    </xf>
    <xf numFmtId="0" fontId="79" fillId="35" borderId="60" xfId="0" applyFont="1" applyFill="1" applyBorder="1" applyAlignment="1">
      <alignment horizontal="center" vertical="center" wrapText="1"/>
    </xf>
    <xf numFmtId="0" fontId="79" fillId="35" borderId="58" xfId="0" applyFont="1" applyFill="1" applyBorder="1" applyAlignment="1">
      <alignment horizontal="center" vertical="center" wrapText="1"/>
    </xf>
    <xf numFmtId="0" fontId="61" fillId="0" borderId="53" xfId="0" applyFont="1" applyFill="1" applyBorder="1" applyAlignment="1">
      <alignment vertical="center"/>
    </xf>
    <xf numFmtId="0" fontId="61" fillId="0" borderId="30" xfId="0" applyFont="1" applyFill="1" applyBorder="1" applyAlignment="1">
      <alignment vertical="center" wrapText="1"/>
    </xf>
    <xf numFmtId="164" fontId="61" fillId="0" borderId="30" xfId="4" applyNumberFormat="1" applyFont="1" applyFill="1" applyBorder="1" applyAlignment="1">
      <alignment vertical="center"/>
    </xf>
    <xf numFmtId="9" fontId="61" fillId="0" borderId="30" xfId="0" applyNumberFormat="1" applyFont="1" applyFill="1" applyBorder="1" applyAlignment="1">
      <alignment horizontal="center" vertical="center"/>
    </xf>
    <xf numFmtId="9" fontId="61" fillId="0" borderId="54" xfId="0" applyNumberFormat="1" applyFont="1" applyFill="1" applyBorder="1" applyAlignment="1">
      <alignment horizontal="center" vertical="center"/>
    </xf>
    <xf numFmtId="0" fontId="61" fillId="0" borderId="53" xfId="0" applyFont="1" applyFill="1" applyBorder="1" applyAlignment="1">
      <alignment horizontal="left" vertical="center"/>
    </xf>
    <xf numFmtId="0" fontId="5" fillId="0" borderId="0" xfId="0" applyFont="1"/>
    <xf numFmtId="9" fontId="27" fillId="11" borderId="61" xfId="19" applyNumberFormat="1" applyFont="1" applyFill="1" applyBorder="1" applyAlignment="1">
      <alignment horizontal="left" vertical="center" wrapText="1"/>
    </xf>
    <xf numFmtId="0" fontId="19" fillId="16" borderId="0" xfId="22" applyNumberFormat="1" applyFont="1" applyFill="1" applyBorder="1" applyAlignment="1">
      <alignment horizontal="center" vertical="center"/>
    </xf>
    <xf numFmtId="1" fontId="91" fillId="19" borderId="72" xfId="0" applyNumberFormat="1" applyFont="1" applyFill="1" applyBorder="1" applyAlignment="1">
      <alignment vertical="top" wrapText="1"/>
    </xf>
    <xf numFmtId="0" fontId="28" fillId="47" borderId="0" xfId="0" applyFont="1" applyFill="1"/>
    <xf numFmtId="0" fontId="88" fillId="0" borderId="26" xfId="0" applyNumberFormat="1" applyFont="1" applyFill="1" applyBorder="1"/>
    <xf numFmtId="0" fontId="28" fillId="0" borderId="26" xfId="0" applyFont="1" applyFill="1" applyBorder="1" applyAlignment="1">
      <alignment wrapText="1"/>
    </xf>
    <xf numFmtId="1" fontId="88" fillId="0" borderId="27" xfId="0" applyNumberFormat="1" applyFont="1" applyFill="1" applyBorder="1"/>
    <xf numFmtId="0" fontId="80" fillId="0" borderId="0" xfId="0" applyFont="1" applyFill="1" applyBorder="1"/>
    <xf numFmtId="0" fontId="88" fillId="0" borderId="0" xfId="0" applyFont="1" applyFill="1" applyBorder="1"/>
    <xf numFmtId="164" fontId="62" fillId="0" borderId="56" xfId="0" applyNumberFormat="1" applyFont="1" applyFill="1" applyBorder="1" applyAlignment="1">
      <alignment vertical="center"/>
    </xf>
    <xf numFmtId="167" fontId="128" fillId="0" borderId="0" xfId="0" applyNumberFormat="1" applyFont="1" applyFill="1" applyAlignment="1">
      <alignment horizontal="left" vertical="center" readingOrder="1"/>
    </xf>
    <xf numFmtId="0" fontId="128" fillId="0" borderId="0" xfId="0" applyFont="1" applyFill="1" applyAlignment="1">
      <alignment horizontal="left" vertical="center" readingOrder="1"/>
    </xf>
    <xf numFmtId="0" fontId="128" fillId="0" borderId="0" xfId="0" applyFont="1" applyFill="1" applyBorder="1" applyAlignment="1">
      <alignment horizontal="left" vertical="center" readingOrder="1"/>
    </xf>
    <xf numFmtId="0" fontId="128" fillId="0" borderId="0" xfId="1" applyNumberFormat="1" applyFont="1" applyFill="1" applyBorder="1" applyAlignment="1">
      <alignment horizontal="left" vertical="center" readingOrder="1"/>
    </xf>
    <xf numFmtId="0" fontId="128" fillId="0" borderId="0" xfId="1" applyNumberFormat="1" applyFont="1" applyFill="1" applyAlignment="1">
      <alignment horizontal="left" vertical="center" readingOrder="1"/>
    </xf>
    <xf numFmtId="164" fontId="128" fillId="0" borderId="0" xfId="4" applyNumberFormat="1" applyFont="1" applyFill="1" applyAlignment="1">
      <alignment horizontal="left" vertical="center" readingOrder="1"/>
    </xf>
    <xf numFmtId="168" fontId="128" fillId="0" borderId="0" xfId="0" applyNumberFormat="1" applyFont="1" applyFill="1" applyAlignment="1">
      <alignment horizontal="left" vertical="center" readingOrder="1"/>
    </xf>
    <xf numFmtId="165" fontId="128" fillId="0" borderId="0" xfId="0" applyNumberFormat="1" applyFont="1" applyFill="1" applyAlignment="1">
      <alignment horizontal="left" vertical="center" readingOrder="1"/>
    </xf>
    <xf numFmtId="49" fontId="128" fillId="0" borderId="0" xfId="4" applyNumberFormat="1" applyFont="1" applyFill="1" applyAlignment="1">
      <alignment horizontal="left" vertical="center" readingOrder="1"/>
    </xf>
    <xf numFmtId="9" fontId="128" fillId="0" borderId="0" xfId="1" applyNumberFormat="1" applyFont="1" applyFill="1" applyAlignment="1">
      <alignment horizontal="left" vertical="center" readingOrder="1"/>
    </xf>
    <xf numFmtId="1" fontId="128" fillId="0" borderId="0" xfId="0" applyNumberFormat="1" applyFont="1" applyFill="1" applyAlignment="1">
      <alignment horizontal="left" vertical="center" readingOrder="1"/>
    </xf>
    <xf numFmtId="9" fontId="128" fillId="0" borderId="0" xfId="1" applyFont="1" applyFill="1" applyAlignment="1">
      <alignment horizontal="left" vertical="center" readingOrder="1"/>
    </xf>
    <xf numFmtId="9" fontId="128" fillId="0" borderId="0" xfId="0" applyNumberFormat="1" applyFont="1" applyFill="1" applyAlignment="1">
      <alignment horizontal="left" vertical="center" readingOrder="1"/>
    </xf>
    <xf numFmtId="1" fontId="128" fillId="0" borderId="0" xfId="1" applyNumberFormat="1" applyFont="1" applyFill="1" applyAlignment="1">
      <alignment horizontal="left" vertical="center" readingOrder="1"/>
    </xf>
    <xf numFmtId="0" fontId="128" fillId="0" borderId="0" xfId="0" applyNumberFormat="1" applyFont="1" applyFill="1" applyAlignment="1">
      <alignment horizontal="left" vertical="center" readingOrder="1"/>
    </xf>
    <xf numFmtId="1" fontId="129" fillId="0" borderId="0" xfId="0" applyNumberFormat="1" applyFont="1" applyFill="1"/>
    <xf numFmtId="0" fontId="129" fillId="0" borderId="26" xfId="0" applyNumberFormat="1" applyFont="1" applyFill="1" applyBorder="1"/>
    <xf numFmtId="1" fontId="129" fillId="0" borderId="26" xfId="0" applyNumberFormat="1" applyFont="1" applyFill="1" applyBorder="1"/>
    <xf numFmtId="0" fontId="129" fillId="0" borderId="0" xfId="0" applyFont="1" applyFill="1"/>
    <xf numFmtId="0" fontId="129" fillId="0" borderId="0" xfId="0" applyNumberFormat="1" applyFont="1" applyFill="1" applyAlignment="1">
      <alignment wrapText="1" readingOrder="1"/>
    </xf>
    <xf numFmtId="165" fontId="129" fillId="0" borderId="0" xfId="0" applyNumberFormat="1" applyFont="1" applyFill="1"/>
    <xf numFmtId="164" fontId="119" fillId="7" borderId="112" xfId="4" applyNumberFormat="1" applyFont="1" applyFill="1" applyBorder="1" applyAlignment="1">
      <alignment vertical="center"/>
    </xf>
    <xf numFmtId="164" fontId="119" fillId="11" borderId="112" xfId="4" applyNumberFormat="1" applyFont="1" applyFill="1" applyBorder="1" applyAlignment="1">
      <alignment vertical="center"/>
    </xf>
    <xf numFmtId="164" fontId="119" fillId="12" borderId="0" xfId="4" applyNumberFormat="1" applyFont="1" applyFill="1" applyBorder="1" applyAlignment="1">
      <alignment vertical="center" wrapText="1"/>
    </xf>
    <xf numFmtId="164" fontId="61" fillId="12" borderId="0" xfId="4" applyNumberFormat="1" applyFont="1" applyFill="1" applyBorder="1" applyAlignment="1">
      <alignment vertical="center"/>
    </xf>
    <xf numFmtId="164" fontId="119" fillId="12" borderId="0" xfId="4" applyNumberFormat="1" applyFont="1" applyFill="1" applyBorder="1" applyAlignment="1">
      <alignment vertical="center"/>
    </xf>
    <xf numFmtId="0" fontId="129" fillId="0" borderId="16" xfId="0" applyFont="1" applyFill="1" applyBorder="1"/>
    <xf numFmtId="1" fontId="129" fillId="0" borderId="0" xfId="0" applyNumberFormat="1" applyFont="1" applyFill="1" applyBorder="1"/>
    <xf numFmtId="0" fontId="129" fillId="0" borderId="0" xfId="0" applyNumberFormat="1" applyFont="1" applyFill="1" applyBorder="1"/>
    <xf numFmtId="0" fontId="129" fillId="0" borderId="0" xfId="0" applyFont="1" applyFill="1" applyBorder="1"/>
    <xf numFmtId="1" fontId="130" fillId="0" borderId="0" xfId="0" applyNumberFormat="1" applyFont="1" applyFill="1"/>
    <xf numFmtId="0" fontId="130" fillId="0" borderId="0" xfId="0" applyFont="1" applyFill="1"/>
    <xf numFmtId="0" fontId="130" fillId="0" borderId="0" xfId="0" applyNumberFormat="1" applyFont="1" applyFill="1" applyAlignment="1">
      <alignment wrapText="1" readingOrder="1"/>
    </xf>
    <xf numFmtId="165" fontId="130" fillId="0" borderId="0" xfId="0" applyNumberFormat="1" applyFont="1" applyFill="1"/>
    <xf numFmtId="0" fontId="130" fillId="0" borderId="0" xfId="0" applyNumberFormat="1" applyFont="1" applyFill="1" applyBorder="1"/>
    <xf numFmtId="0" fontId="122" fillId="0" borderId="20" xfId="0" applyNumberFormat="1" applyFont="1" applyFill="1" applyBorder="1"/>
    <xf numFmtId="1" fontId="130" fillId="0" borderId="0" xfId="0" applyNumberFormat="1" applyFont="1" applyFill="1" applyBorder="1"/>
    <xf numFmtId="1" fontId="122" fillId="0" borderId="21" xfId="0" applyNumberFormat="1" applyFont="1" applyFill="1" applyBorder="1"/>
    <xf numFmtId="0" fontId="131" fillId="0" borderId="0" xfId="0" applyFont="1"/>
    <xf numFmtId="0" fontId="132" fillId="0" borderId="0" xfId="0" applyFont="1" applyAlignment="1">
      <alignment horizontal="left"/>
    </xf>
    <xf numFmtId="9" fontId="132" fillId="0" borderId="0" xfId="0" applyNumberFormat="1" applyFont="1"/>
    <xf numFmtId="9" fontId="27" fillId="48" borderId="64" xfId="19" applyNumberFormat="1" applyFont="1" applyFill="1" applyBorder="1" applyAlignment="1">
      <alignment horizontal="left" vertical="center" wrapText="1" readingOrder="1"/>
    </xf>
    <xf numFmtId="0" fontId="109" fillId="0" borderId="0" xfId="19" applyFont="1" applyAlignment="1">
      <alignment horizontal="left" vertical="center" textRotation="90"/>
    </xf>
    <xf numFmtId="0" fontId="29" fillId="16" borderId="61" xfId="22" applyFont="1" applyFill="1" applyBorder="1" applyAlignment="1">
      <alignment horizontal="center" vertical="center" textRotation="90" wrapText="1"/>
    </xf>
    <xf numFmtId="0" fontId="27" fillId="0" borderId="0" xfId="22" applyFont="1" applyAlignment="1">
      <alignment horizontal="left" vertical="center" textRotation="90"/>
    </xf>
    <xf numFmtId="0" fontId="22" fillId="47" borderId="4" xfId="22" applyFont="1" applyFill="1" applyBorder="1" applyAlignment="1">
      <alignment vertical="top" wrapText="1"/>
    </xf>
    <xf numFmtId="0" fontId="22" fillId="34" borderId="4" xfId="22" applyFont="1" applyFill="1" applyBorder="1" applyAlignment="1">
      <alignment vertical="top" wrapText="1"/>
    </xf>
    <xf numFmtId="0" fontId="126" fillId="0" borderId="95" xfId="22" applyFont="1" applyFill="1" applyBorder="1" applyAlignment="1">
      <alignment vertical="center" wrapText="1"/>
    </xf>
    <xf numFmtId="0" fontId="126" fillId="0" borderId="64" xfId="22" applyFont="1" applyFill="1" applyBorder="1" applyAlignment="1">
      <alignment vertical="center" wrapText="1"/>
    </xf>
    <xf numFmtId="0" fontId="29" fillId="47" borderId="61" xfId="22" applyFont="1" applyFill="1" applyBorder="1" applyAlignment="1">
      <alignment horizontal="left" vertical="center" wrapText="1"/>
    </xf>
    <xf numFmtId="0" fontId="126" fillId="8" borderId="62" xfId="22" applyFont="1" applyFill="1" applyBorder="1" applyAlignment="1">
      <alignment vertical="center" wrapText="1"/>
    </xf>
    <xf numFmtId="0" fontId="126" fillId="8" borderId="95" xfId="22" applyFont="1" applyFill="1" applyBorder="1" applyAlignment="1">
      <alignment vertical="center" wrapText="1"/>
    </xf>
    <xf numFmtId="0" fontId="126" fillId="8" borderId="64" xfId="22" applyFont="1" applyFill="1" applyBorder="1" applyAlignment="1">
      <alignment vertical="center" wrapText="1"/>
    </xf>
    <xf numFmtId="9" fontId="27" fillId="47" borderId="64" xfId="19" applyNumberFormat="1" applyFont="1" applyFill="1" applyBorder="1" applyAlignment="1">
      <alignment horizontal="center" vertical="center" wrapText="1" readingOrder="1"/>
    </xf>
    <xf numFmtId="9" fontId="29" fillId="47" borderId="64" xfId="19" applyNumberFormat="1" applyFont="1" applyFill="1" applyBorder="1" applyAlignment="1">
      <alignment horizontal="center" vertical="center" wrapText="1" readingOrder="1"/>
    </xf>
    <xf numFmtId="0" fontId="29" fillId="47" borderId="61" xfId="22" applyNumberFormat="1" applyFont="1" applyFill="1" applyBorder="1" applyAlignment="1">
      <alignment horizontal="center" vertical="center" readingOrder="1"/>
    </xf>
    <xf numFmtId="9" fontId="60" fillId="48" borderId="64" xfId="19" applyNumberFormat="1" applyFont="1" applyFill="1" applyBorder="1" applyAlignment="1">
      <alignment horizontal="center" vertical="center" wrapText="1" readingOrder="1"/>
    </xf>
    <xf numFmtId="9" fontId="60" fillId="48" borderId="0" xfId="19" applyNumberFormat="1" applyFont="1" applyFill="1" applyAlignment="1">
      <alignment horizontal="center" vertical="center" wrapText="1" readingOrder="1"/>
    </xf>
    <xf numFmtId="49" fontId="66" fillId="42" borderId="26" xfId="0" applyNumberFormat="1" applyFont="1" applyFill="1" applyBorder="1" applyAlignment="1">
      <alignment horizontal="left" vertical="center"/>
    </xf>
    <xf numFmtId="0" fontId="86" fillId="42" borderId="26" xfId="0" applyFont="1" applyFill="1" applyBorder="1" applyAlignment="1">
      <alignment horizontal="left" vertical="center"/>
    </xf>
    <xf numFmtId="1" fontId="80" fillId="0" borderId="26" xfId="0" applyNumberFormat="1" applyFont="1" applyFill="1" applyBorder="1"/>
    <xf numFmtId="0" fontId="28" fillId="0" borderId="20" xfId="0" applyNumberFormat="1" applyFont="1" applyFill="1" applyBorder="1" applyAlignment="1">
      <alignment wrapText="1" readingOrder="1"/>
    </xf>
    <xf numFmtId="167" fontId="134" fillId="0" borderId="0" xfId="0" applyNumberFormat="1" applyFont="1" applyFill="1" applyAlignment="1">
      <alignment horizontal="left" vertical="center" readingOrder="1"/>
    </xf>
    <xf numFmtId="0" fontId="134" fillId="0" borderId="0" xfId="0" applyFont="1" applyFill="1" applyAlignment="1">
      <alignment horizontal="left" vertical="center" readingOrder="1"/>
    </xf>
    <xf numFmtId="0" fontId="134" fillId="0" borderId="0" xfId="1" applyNumberFormat="1" applyFont="1" applyFill="1" applyAlignment="1">
      <alignment horizontal="left" vertical="center" readingOrder="1"/>
    </xf>
    <xf numFmtId="164" fontId="134" fillId="0" borderId="0" xfId="4" applyNumberFormat="1" applyFont="1" applyFill="1" applyAlignment="1">
      <alignment horizontal="left" vertical="center" readingOrder="1"/>
    </xf>
    <xf numFmtId="168" fontId="134" fillId="0" borderId="0" xfId="0" applyNumberFormat="1" applyFont="1" applyFill="1" applyAlignment="1">
      <alignment horizontal="left" vertical="center" readingOrder="1"/>
    </xf>
    <xf numFmtId="165" fontId="134" fillId="0" borderId="0" xfId="0" applyNumberFormat="1" applyFont="1" applyFill="1" applyAlignment="1">
      <alignment horizontal="left" vertical="center" readingOrder="1"/>
    </xf>
    <xf numFmtId="49" fontId="134" fillId="0" borderId="0" xfId="4" applyNumberFormat="1" applyFont="1" applyFill="1" applyAlignment="1">
      <alignment horizontal="left" vertical="center" readingOrder="1"/>
    </xf>
    <xf numFmtId="9" fontId="134" fillId="0" borderId="0" xfId="1" applyNumberFormat="1" applyFont="1" applyFill="1" applyAlignment="1">
      <alignment horizontal="left" vertical="center" readingOrder="1"/>
    </xf>
    <xf numFmtId="1" fontId="134" fillId="0" borderId="0" xfId="0" applyNumberFormat="1" applyFont="1" applyFill="1" applyAlignment="1">
      <alignment horizontal="left" vertical="center" readingOrder="1"/>
    </xf>
    <xf numFmtId="9" fontId="134" fillId="0" borderId="0" xfId="1" applyFont="1" applyFill="1" applyAlignment="1">
      <alignment horizontal="left" vertical="center" readingOrder="1"/>
    </xf>
    <xf numFmtId="9" fontId="134" fillId="0" borderId="0" xfId="0" applyNumberFormat="1" applyFont="1" applyFill="1" applyAlignment="1">
      <alignment horizontal="left" vertical="center" readingOrder="1"/>
    </xf>
    <xf numFmtId="1" fontId="134" fillId="0" borderId="0" xfId="1" applyNumberFormat="1" applyFont="1" applyFill="1" applyAlignment="1">
      <alignment horizontal="left" vertical="center" readingOrder="1"/>
    </xf>
    <xf numFmtId="0" fontId="134" fillId="0" borderId="0" xfId="0" applyNumberFormat="1" applyFont="1" applyFill="1" applyAlignment="1">
      <alignment horizontal="left" vertical="center" readingOrder="1"/>
    </xf>
    <xf numFmtId="1" fontId="135" fillId="0" borderId="0" xfId="0" applyNumberFormat="1" applyFont="1" applyFill="1"/>
    <xf numFmtId="0" fontId="135" fillId="0" borderId="0" xfId="0" applyFont="1" applyFill="1"/>
    <xf numFmtId="0" fontId="135" fillId="0" borderId="0" xfId="0" applyNumberFormat="1" applyFont="1" applyFill="1" applyAlignment="1">
      <alignment wrapText="1" readingOrder="1"/>
    </xf>
    <xf numFmtId="165" fontId="135" fillId="0" borderId="0" xfId="0" applyNumberFormat="1" applyFont="1" applyFill="1"/>
    <xf numFmtId="0" fontId="135" fillId="0" borderId="0" xfId="0" applyNumberFormat="1" applyFont="1" applyFill="1" applyBorder="1"/>
    <xf numFmtId="0" fontId="135" fillId="0" borderId="20" xfId="0" applyNumberFormat="1" applyFont="1" applyFill="1" applyBorder="1"/>
    <xf numFmtId="1" fontId="135" fillId="0" borderId="0" xfId="0" applyNumberFormat="1" applyFont="1" applyFill="1" applyBorder="1"/>
    <xf numFmtId="1" fontId="135" fillId="0" borderId="21" xfId="0" applyNumberFormat="1" applyFont="1" applyFill="1" applyBorder="1"/>
    <xf numFmtId="0" fontId="28" fillId="0" borderId="51" xfId="0" applyFont="1" applyFill="1" applyBorder="1" applyAlignment="1">
      <alignment wrapText="1"/>
    </xf>
    <xf numFmtId="0" fontId="135" fillId="0" borderId="20" xfId="0" applyNumberFormat="1" applyFont="1" applyFill="1" applyBorder="1" applyAlignment="1">
      <alignment wrapText="1" readingOrder="1"/>
    </xf>
    <xf numFmtId="1" fontId="135" fillId="0" borderId="20" xfId="0" applyNumberFormat="1" applyFont="1" applyFill="1" applyBorder="1"/>
    <xf numFmtId="167" fontId="136" fillId="0" borderId="0" xfId="0" applyNumberFormat="1" applyFont="1" applyFill="1" applyAlignment="1">
      <alignment horizontal="left" vertical="center" readingOrder="1"/>
    </xf>
    <xf numFmtId="0" fontId="136" fillId="0" borderId="0" xfId="0" applyFont="1" applyFill="1" applyAlignment="1">
      <alignment horizontal="left" vertical="center" readingOrder="1"/>
    </xf>
    <xf numFmtId="164" fontId="136" fillId="0" borderId="0" xfId="4" applyNumberFormat="1" applyFont="1" applyFill="1" applyAlignment="1">
      <alignment horizontal="left" vertical="center" readingOrder="1"/>
    </xf>
    <xf numFmtId="168" fontId="136" fillId="0" borderId="0" xfId="0" applyNumberFormat="1" applyFont="1" applyFill="1" applyAlignment="1">
      <alignment horizontal="left" vertical="center" readingOrder="1"/>
    </xf>
    <xf numFmtId="165" fontId="136" fillId="0" borderId="0" xfId="0" applyNumberFormat="1" applyFont="1" applyFill="1" applyAlignment="1">
      <alignment horizontal="left" vertical="center" readingOrder="1"/>
    </xf>
    <xf numFmtId="49" fontId="136" fillId="0" borderId="0" xfId="4" applyNumberFormat="1" applyFont="1" applyFill="1" applyAlignment="1">
      <alignment horizontal="left" vertical="center" readingOrder="1"/>
    </xf>
    <xf numFmtId="9" fontId="136" fillId="0" borderId="0" xfId="1" applyNumberFormat="1" applyFont="1" applyFill="1" applyAlignment="1">
      <alignment horizontal="left" vertical="center" readingOrder="1"/>
    </xf>
    <xf numFmtId="1" fontId="136" fillId="0" borderId="0" xfId="0" applyNumberFormat="1" applyFont="1" applyFill="1" applyAlignment="1">
      <alignment horizontal="left" vertical="center" readingOrder="1"/>
    </xf>
    <xf numFmtId="9" fontId="136" fillId="0" borderId="0" xfId="1" applyFont="1" applyFill="1" applyAlignment="1">
      <alignment horizontal="left" vertical="center" readingOrder="1"/>
    </xf>
    <xf numFmtId="9" fontId="136" fillId="0" borderId="0" xfId="0" applyNumberFormat="1" applyFont="1" applyFill="1" applyAlignment="1">
      <alignment horizontal="left" vertical="center" readingOrder="1"/>
    </xf>
    <xf numFmtId="1" fontId="136" fillId="0" borderId="0" xfId="1" applyNumberFormat="1" applyFont="1" applyFill="1" applyAlignment="1">
      <alignment horizontal="left" vertical="center" readingOrder="1"/>
    </xf>
    <xf numFmtId="0" fontId="136" fillId="0" borderId="0" xfId="1" applyNumberFormat="1" applyFont="1" applyFill="1" applyAlignment="1">
      <alignment horizontal="left" vertical="center" readingOrder="1"/>
    </xf>
    <xf numFmtId="0" fontId="136" fillId="0" borderId="0" xfId="0" applyNumberFormat="1" applyFont="1" applyFill="1" applyAlignment="1">
      <alignment horizontal="left" vertical="center" readingOrder="1"/>
    </xf>
    <xf numFmtId="0" fontId="137" fillId="0" borderId="0" xfId="0" applyFont="1"/>
    <xf numFmtId="164" fontId="137" fillId="0" borderId="0" xfId="0" applyNumberFormat="1" applyFont="1"/>
    <xf numFmtId="9" fontId="137" fillId="0" borderId="0" xfId="0" applyNumberFormat="1" applyFont="1"/>
    <xf numFmtId="0" fontId="4" fillId="0" borderId="30" xfId="0" applyFont="1" applyFill="1" applyBorder="1" applyAlignment="1">
      <alignment vertical="center" wrapText="1"/>
    </xf>
    <xf numFmtId="9" fontId="12" fillId="0" borderId="0" xfId="1" applyFont="1"/>
    <xf numFmtId="0" fontId="138" fillId="0" borderId="106" xfId="0" applyFont="1" applyBorder="1" applyAlignment="1">
      <alignment horizontal="left"/>
    </xf>
    <xf numFmtId="164" fontId="138" fillId="0" borderId="106" xfId="0" applyNumberFormat="1" applyFont="1" applyBorder="1"/>
    <xf numFmtId="0" fontId="138" fillId="0" borderId="107" xfId="0" applyFont="1" applyBorder="1" applyAlignment="1">
      <alignment horizontal="left"/>
    </xf>
    <xf numFmtId="164" fontId="138" fillId="0" borderId="107" xfId="0" applyNumberFormat="1" applyFont="1" applyBorder="1"/>
    <xf numFmtId="0" fontId="3" fillId="0" borderId="0" xfId="0" pivotButton="1" applyFont="1"/>
    <xf numFmtId="164" fontId="12" fillId="0" borderId="0" xfId="0" pivotButton="1" applyNumberFormat="1" applyFont="1"/>
    <xf numFmtId="0" fontId="12" fillId="0" borderId="0" xfId="0" pivotButton="1" applyNumberFormat="1" applyFont="1" applyFill="1" applyBorder="1"/>
    <xf numFmtId="0" fontId="139" fillId="0" borderId="109" xfId="0" applyFont="1" applyBorder="1" applyAlignment="1">
      <alignment horizontal="left"/>
    </xf>
    <xf numFmtId="0" fontId="139" fillId="0" borderId="111" xfId="0" applyNumberFormat="1" applyFont="1" applyBorder="1"/>
    <xf numFmtId="0" fontId="139" fillId="0" borderId="108" xfId="0" applyFont="1" applyBorder="1" applyAlignment="1">
      <alignment horizontal="left"/>
    </xf>
    <xf numFmtId="164" fontId="139" fillId="0" borderId="111" xfId="4" applyNumberFormat="1" applyFont="1" applyBorder="1"/>
    <xf numFmtId="164" fontId="12" fillId="0" borderId="0" xfId="4" applyNumberFormat="1" applyFont="1"/>
    <xf numFmtId="164" fontId="139" fillId="0" borderId="110" xfId="4" applyNumberFormat="1" applyFont="1" applyBorder="1"/>
    <xf numFmtId="164" fontId="3" fillId="0" borderId="0" xfId="4" applyNumberFormat="1" applyFont="1" applyFill="1" applyBorder="1"/>
    <xf numFmtId="0" fontId="3" fillId="0" borderId="0" xfId="0" applyFont="1"/>
    <xf numFmtId="0" fontId="2" fillId="0" borderId="0" xfId="0" applyFont="1"/>
    <xf numFmtId="164" fontId="75" fillId="0" borderId="42" xfId="0" applyNumberFormat="1" applyFont="1" applyBorder="1"/>
    <xf numFmtId="164" fontId="75" fillId="0" borderId="113" xfId="0" applyNumberFormat="1" applyFont="1" applyBorder="1"/>
    <xf numFmtId="0" fontId="0" fillId="0" borderId="0" xfId="0"/>
    <xf numFmtId="0" fontId="31" fillId="0" borderId="0" xfId="0" applyFont="1" applyFill="1" applyAlignment="1"/>
    <xf numFmtId="9" fontId="31" fillId="0" borderId="0" xfId="0" applyNumberFormat="1" applyFont="1" applyFill="1" applyAlignment="1"/>
    <xf numFmtId="1" fontId="31" fillId="0" borderId="0" xfId="0" applyNumberFormat="1" applyFont="1" applyFill="1" applyAlignment="1"/>
    <xf numFmtId="0" fontId="31" fillId="0" borderId="0" xfId="1" applyNumberFormat="1" applyFont="1" applyFill="1" applyAlignment="1"/>
    <xf numFmtId="0" fontId="31" fillId="0" borderId="0" xfId="0" applyNumberFormat="1" applyFont="1" applyFill="1" applyAlignment="1"/>
    <xf numFmtId="9" fontId="20" fillId="0" borderId="0" xfId="1" applyFont="1" applyFill="1" applyAlignment="1">
      <alignment horizontal="left" vertical="center" readingOrder="1"/>
    </xf>
    <xf numFmtId="1" fontId="20" fillId="0" borderId="0" xfId="1" applyNumberFormat="1" applyFont="1" applyFill="1" applyAlignment="1">
      <alignment horizontal="left" vertical="center" readingOrder="1"/>
    </xf>
    <xf numFmtId="9" fontId="20" fillId="0" borderId="0" xfId="1" applyNumberFormat="1" applyFont="1" applyFill="1" applyAlignment="1">
      <alignment horizontal="left" vertical="center" readingOrder="1"/>
    </xf>
    <xf numFmtId="1" fontId="20" fillId="0" borderId="0" xfId="0" applyNumberFormat="1" applyFont="1" applyFill="1" applyAlignment="1">
      <alignment horizontal="left" vertical="center" readingOrder="1"/>
    </xf>
    <xf numFmtId="164" fontId="20" fillId="0" borderId="0" xfId="4" applyNumberFormat="1" applyFont="1" applyFill="1" applyAlignment="1">
      <alignment horizontal="left" vertical="center" readingOrder="1"/>
    </xf>
    <xf numFmtId="167" fontId="20" fillId="0" borderId="0" xfId="0" applyNumberFormat="1" applyFont="1" applyFill="1" applyAlignment="1">
      <alignment horizontal="left" vertical="center" readingOrder="1"/>
    </xf>
    <xf numFmtId="164" fontId="136" fillId="0" borderId="0" xfId="4" applyNumberFormat="1" applyFont="1" applyFill="1" applyAlignment="1">
      <alignment horizontal="left" vertical="center" readingOrder="1"/>
    </xf>
    <xf numFmtId="49" fontId="136" fillId="0" borderId="0" xfId="4" applyNumberFormat="1" applyFont="1" applyFill="1" applyAlignment="1">
      <alignment horizontal="left" vertical="center" readingOrder="1"/>
    </xf>
    <xf numFmtId="9" fontId="136" fillId="0" borderId="0" xfId="1" applyFont="1" applyFill="1" applyAlignment="1">
      <alignment horizontal="left" vertical="center" readingOrder="1"/>
    </xf>
    <xf numFmtId="9" fontId="136" fillId="0" borderId="0" xfId="1" applyNumberFormat="1" applyFont="1" applyFill="1" applyAlignment="1">
      <alignment horizontal="left" vertical="center" readingOrder="1"/>
    </xf>
    <xf numFmtId="1" fontId="136" fillId="0" borderId="0" xfId="0" applyNumberFormat="1" applyFont="1" applyFill="1" applyAlignment="1">
      <alignment horizontal="left" vertical="center" readingOrder="1"/>
    </xf>
    <xf numFmtId="9" fontId="136" fillId="0" borderId="0" xfId="0" applyNumberFormat="1" applyFont="1" applyFill="1" applyAlignment="1">
      <alignment horizontal="left" vertical="center" readingOrder="1"/>
    </xf>
    <xf numFmtId="1" fontId="136" fillId="0" borderId="0" xfId="1" applyNumberFormat="1" applyFont="1" applyFill="1" applyAlignment="1">
      <alignment horizontal="left" vertical="center" readingOrder="1"/>
    </xf>
    <xf numFmtId="0" fontId="136" fillId="0" borderId="0" xfId="1" applyNumberFormat="1" applyFont="1" applyFill="1" applyAlignment="1">
      <alignment horizontal="left" vertical="center" readingOrder="1"/>
    </xf>
    <xf numFmtId="0" fontId="136" fillId="0" borderId="0" xfId="0" applyNumberFormat="1" applyFont="1" applyFill="1" applyAlignment="1">
      <alignment horizontal="left" vertical="center" readingOrder="1"/>
    </xf>
    <xf numFmtId="168" fontId="136" fillId="0" borderId="0" xfId="0" applyNumberFormat="1" applyFont="1" applyFill="1" applyAlignment="1">
      <alignment horizontal="left" vertical="center" readingOrder="1"/>
    </xf>
    <xf numFmtId="165" fontId="136" fillId="0" borderId="0" xfId="0" applyNumberFormat="1" applyFont="1" applyFill="1" applyAlignment="1">
      <alignment horizontal="left" vertical="center" readingOrder="1"/>
    </xf>
    <xf numFmtId="164" fontId="61" fillId="10" borderId="0" xfId="4" applyNumberFormat="1" applyFont="1" applyFill="1" applyBorder="1" applyAlignment="1">
      <alignment vertical="center" wrapText="1"/>
    </xf>
    <xf numFmtId="164" fontId="61" fillId="10" borderId="0" xfId="4" applyNumberFormat="1" applyFont="1" applyFill="1" applyBorder="1" applyAlignment="1">
      <alignment vertical="center"/>
    </xf>
    <xf numFmtId="1" fontId="140" fillId="0" borderId="0" xfId="0" applyNumberFormat="1" applyFont="1" applyFill="1"/>
    <xf numFmtId="0" fontId="140" fillId="0" borderId="26" xfId="0" applyNumberFormat="1" applyFont="1" applyFill="1" applyBorder="1"/>
    <xf numFmtId="1" fontId="140" fillId="0" borderId="26" xfId="0" applyNumberFormat="1" applyFont="1" applyFill="1" applyBorder="1"/>
    <xf numFmtId="0" fontId="140" fillId="0" borderId="0" xfId="0" applyFont="1" applyFill="1"/>
    <xf numFmtId="0" fontId="140" fillId="0" borderId="0" xfId="0" applyNumberFormat="1" applyFont="1" applyFill="1" applyAlignment="1">
      <alignment wrapText="1" readingOrder="1"/>
    </xf>
    <xf numFmtId="165" fontId="140" fillId="0" borderId="0" xfId="0" applyNumberFormat="1" applyFont="1" applyFill="1"/>
    <xf numFmtId="164" fontId="20" fillId="0" borderId="0" xfId="4" applyNumberFormat="1" applyFont="1" applyAlignment="1">
      <alignment horizontal="left" vertical="center" readingOrder="1"/>
    </xf>
    <xf numFmtId="0" fontId="141" fillId="0" borderId="26" xfId="10" applyFont="1" applyFill="1" applyBorder="1" applyAlignment="1">
      <alignment vertical="center"/>
    </xf>
    <xf numFmtId="9" fontId="79" fillId="14" borderId="72" xfId="1" applyFont="1" applyFill="1" applyBorder="1" applyAlignment="1">
      <alignment vertical="center"/>
    </xf>
    <xf numFmtId="0" fontId="142" fillId="0" borderId="0" xfId="0" pivotButton="1" applyFont="1"/>
    <xf numFmtId="0" fontId="142" fillId="0" borderId="0" xfId="0" applyFont="1"/>
    <xf numFmtId="0" fontId="142" fillId="0" borderId="0" xfId="0" applyFont="1" applyAlignment="1">
      <alignment horizontal="left"/>
    </xf>
    <xf numFmtId="164" fontId="142" fillId="0" borderId="0" xfId="0" applyNumberFormat="1" applyFont="1"/>
    <xf numFmtId="0" fontId="144" fillId="0" borderId="0" xfId="0" pivotButton="1" applyFont="1"/>
    <xf numFmtId="0" fontId="144" fillId="0" borderId="0" xfId="0" applyFont="1"/>
    <xf numFmtId="0" fontId="144" fillId="0" borderId="0" xfId="0" pivotButton="1" applyFont="1" applyAlignment="1">
      <alignment wrapText="1"/>
    </xf>
    <xf numFmtId="0" fontId="144" fillId="0" borderId="0" xfId="0" applyFont="1" applyAlignment="1">
      <alignment wrapText="1"/>
    </xf>
    <xf numFmtId="0" fontId="144" fillId="0" borderId="0" xfId="0" applyFont="1" applyAlignment="1">
      <alignment horizontal="left"/>
    </xf>
    <xf numFmtId="164" fontId="144" fillId="0" borderId="0" xfId="0" applyNumberFormat="1" applyFont="1"/>
    <xf numFmtId="9" fontId="144" fillId="0" borderId="0" xfId="0" applyNumberFormat="1" applyFont="1"/>
    <xf numFmtId="0" fontId="145" fillId="29" borderId="0" xfId="0" applyFont="1" applyFill="1"/>
    <xf numFmtId="0" fontId="142" fillId="0" borderId="0" xfId="0" applyNumberFormat="1" applyFont="1"/>
    <xf numFmtId="0" fontId="144" fillId="0" borderId="0" xfId="0" applyNumberFormat="1" applyFont="1"/>
    <xf numFmtId="0" fontId="144" fillId="0" borderId="0" xfId="0" applyFont="1" applyAlignment="1">
      <alignment vertical="top"/>
    </xf>
    <xf numFmtId="164" fontId="144" fillId="0" borderId="0" xfId="0" applyNumberFormat="1" applyFont="1" applyAlignment="1">
      <alignment vertical="top"/>
    </xf>
    <xf numFmtId="0" fontId="142" fillId="0" borderId="0" xfId="0" pivotButton="1" applyFont="1" applyAlignment="1">
      <alignment wrapText="1"/>
    </xf>
    <xf numFmtId="0" fontId="144" fillId="0" borderId="0" xfId="0" pivotButton="1" applyFont="1" applyAlignment="1">
      <alignment horizontal="center" vertical="center" wrapText="1"/>
    </xf>
    <xf numFmtId="0" fontId="145" fillId="40" borderId="0" xfId="0" applyFont="1" applyFill="1" applyAlignment="1">
      <alignment wrapText="1"/>
    </xf>
    <xf numFmtId="0" fontId="145" fillId="29" borderId="0" xfId="0" applyFont="1" applyFill="1" applyAlignment="1">
      <alignment horizontal="left" vertical="center" wrapText="1"/>
    </xf>
    <xf numFmtId="0" fontId="145" fillId="40" borderId="0" xfId="0" applyFont="1" applyFill="1" applyAlignment="1"/>
    <xf numFmtId="3" fontId="142" fillId="0" borderId="0" xfId="0" applyNumberFormat="1" applyFont="1"/>
    <xf numFmtId="0" fontId="142" fillId="0" borderId="0" xfId="0" applyFont="1" applyAlignment="1">
      <alignment wrapText="1"/>
    </xf>
    <xf numFmtId="0" fontId="147" fillId="26" borderId="0" xfId="0" applyFont="1" applyFill="1"/>
    <xf numFmtId="164" fontId="146" fillId="14" borderId="0" xfId="0" applyNumberFormat="1" applyFont="1" applyFill="1" applyAlignment="1">
      <alignment horizontal="center"/>
    </xf>
    <xf numFmtId="0" fontId="146" fillId="14" borderId="0" xfId="0" applyFont="1" applyFill="1" applyAlignment="1">
      <alignment horizontal="center"/>
    </xf>
    <xf numFmtId="164" fontId="146" fillId="26" borderId="0" xfId="0" applyNumberFormat="1" applyFont="1" applyFill="1"/>
    <xf numFmtId="0" fontId="146" fillId="26" borderId="0" xfId="0" applyFont="1" applyFill="1" applyAlignment="1">
      <alignment horizontal="center" vertical="center" wrapText="1"/>
    </xf>
    <xf numFmtId="0" fontId="146" fillId="14" borderId="0" xfId="0" applyFont="1" applyFill="1" applyAlignment="1">
      <alignment horizontal="center" vertical="center"/>
    </xf>
    <xf numFmtId="164" fontId="146" fillId="8" borderId="0" xfId="0" applyNumberFormat="1" applyFont="1" applyFill="1" applyAlignment="1">
      <alignment horizontal="center"/>
    </xf>
    <xf numFmtId="0" fontId="146" fillId="39" borderId="0" xfId="0" applyFont="1" applyFill="1" applyAlignment="1">
      <alignment horizontal="center" vertical="center"/>
    </xf>
    <xf numFmtId="164" fontId="146" fillId="9" borderId="0" xfId="0" applyNumberFormat="1" applyFont="1" applyFill="1" applyAlignment="1">
      <alignment horizontal="center"/>
    </xf>
    <xf numFmtId="0" fontId="146" fillId="46" borderId="0" xfId="0" applyFont="1" applyFill="1" applyAlignment="1">
      <alignment horizontal="center" vertical="center"/>
    </xf>
    <xf numFmtId="164" fontId="142" fillId="12" borderId="0" xfId="0" applyNumberFormat="1" applyFont="1" applyFill="1"/>
    <xf numFmtId="0" fontId="142" fillId="12" borderId="0" xfId="0" applyFont="1" applyFill="1" applyAlignment="1">
      <alignment vertical="center" wrapText="1"/>
    </xf>
    <xf numFmtId="164" fontId="146" fillId="14" borderId="0" xfId="0" applyNumberFormat="1" applyFont="1" applyFill="1"/>
    <xf numFmtId="0" fontId="145" fillId="40" borderId="0" xfId="0" applyFont="1" applyFill="1"/>
    <xf numFmtId="0" fontId="142" fillId="0" borderId="0" xfId="0" pivotButton="1" applyFont="1" applyAlignment="1">
      <alignment horizontal="center" vertical="center" wrapText="1"/>
    </xf>
    <xf numFmtId="1" fontId="143" fillId="0" borderId="0" xfId="0" applyNumberFormat="1" applyFont="1" applyFill="1"/>
    <xf numFmtId="0" fontId="143" fillId="0" borderId="26" xfId="0" applyNumberFormat="1" applyFont="1" applyFill="1" applyBorder="1"/>
    <xf numFmtId="1" fontId="143" fillId="0" borderId="26" xfId="0" applyNumberFormat="1" applyFont="1" applyFill="1" applyBorder="1"/>
    <xf numFmtId="0" fontId="143" fillId="0" borderId="0" xfId="0" applyFont="1" applyFill="1"/>
    <xf numFmtId="0" fontId="143" fillId="0" borderId="0" xfId="0" applyNumberFormat="1" applyFont="1" applyFill="1" applyAlignment="1">
      <alignment wrapText="1" readingOrder="1"/>
    </xf>
    <xf numFmtId="166" fontId="32" fillId="15" borderId="5" xfId="8" applyFont="1" applyFill="1" applyBorder="1" applyAlignment="1">
      <alignment horizontal="center" vertical="center"/>
    </xf>
    <xf numFmtId="166" fontId="32" fillId="15" borderId="6" xfId="8" applyFont="1" applyFill="1" applyBorder="1" applyAlignment="1">
      <alignment horizontal="center" vertical="center"/>
    </xf>
    <xf numFmtId="166" fontId="32" fillId="15" borderId="7" xfId="8" applyFont="1" applyFill="1" applyBorder="1" applyAlignment="1">
      <alignment horizontal="center" vertical="center"/>
    </xf>
    <xf numFmtId="166" fontId="9" fillId="20" borderId="0" xfId="8" applyFont="1" applyFill="1" applyBorder="1" applyAlignment="1">
      <alignment horizontal="left" wrapText="1"/>
    </xf>
    <xf numFmtId="166" fontId="16" fillId="20" borderId="0" xfId="8" applyFill="1" applyBorder="1" applyAlignment="1">
      <alignment horizontal="left" wrapText="1"/>
    </xf>
    <xf numFmtId="166" fontId="16" fillId="20" borderId="9" xfId="8" applyFill="1" applyBorder="1" applyAlignment="1">
      <alignment horizontal="left" wrapText="1"/>
    </xf>
    <xf numFmtId="0" fontId="30" fillId="5" borderId="78" xfId="0" applyFont="1" applyFill="1" applyBorder="1" applyAlignment="1">
      <alignment horizontal="center" vertical="center" wrapText="1"/>
    </xf>
    <xf numFmtId="0" fontId="30" fillId="5" borderId="74" xfId="0" applyFont="1" applyFill="1" applyBorder="1" applyAlignment="1">
      <alignment horizontal="center" vertical="center" wrapText="1"/>
    </xf>
    <xf numFmtId="0" fontId="30" fillId="5" borderId="75" xfId="0" applyFont="1" applyFill="1" applyBorder="1" applyAlignment="1">
      <alignment horizontal="center" vertical="center" wrapText="1"/>
    </xf>
    <xf numFmtId="0" fontId="19" fillId="44" borderId="67" xfId="22" applyNumberFormat="1" applyFont="1" applyFill="1" applyBorder="1" applyAlignment="1">
      <alignment horizontal="center" vertical="center"/>
    </xf>
    <xf numFmtId="0" fontId="19" fillId="44" borderId="63" xfId="22" applyNumberFormat="1" applyFont="1" applyFill="1" applyBorder="1" applyAlignment="1">
      <alignment horizontal="center" vertical="center"/>
    </xf>
    <xf numFmtId="0" fontId="30" fillId="5" borderId="72" xfId="0" applyFont="1" applyFill="1" applyBorder="1" applyAlignment="1">
      <alignment horizontal="center" vertical="center"/>
    </xf>
    <xf numFmtId="0" fontId="30" fillId="5" borderId="79" xfId="0" applyFont="1" applyFill="1" applyBorder="1" applyAlignment="1">
      <alignment horizontal="center" vertical="center" wrapText="1"/>
    </xf>
    <xf numFmtId="0" fontId="30" fillId="5" borderId="80" xfId="0" applyFont="1" applyFill="1" applyBorder="1" applyAlignment="1">
      <alignment horizontal="center" vertical="center" wrapText="1"/>
    </xf>
    <xf numFmtId="0" fontId="30" fillId="5" borderId="81" xfId="0" applyFont="1" applyFill="1" applyBorder="1" applyAlignment="1">
      <alignment horizontal="center" vertical="center" wrapText="1"/>
    </xf>
    <xf numFmtId="0" fontId="30" fillId="5" borderId="82" xfId="0" applyFont="1" applyFill="1" applyBorder="1" applyAlignment="1">
      <alignment horizontal="center" vertical="center" wrapText="1"/>
    </xf>
    <xf numFmtId="0" fontId="30" fillId="8" borderId="78" xfId="0" applyFont="1" applyFill="1" applyBorder="1" applyAlignment="1">
      <alignment horizontal="center" vertical="center" wrapText="1"/>
    </xf>
    <xf numFmtId="0" fontId="30" fillId="8" borderId="84" xfId="0" applyFont="1" applyFill="1" applyBorder="1" applyAlignment="1">
      <alignment horizontal="center" vertical="center" wrapText="1"/>
    </xf>
    <xf numFmtId="0" fontId="30" fillId="8" borderId="85" xfId="0" applyFont="1" applyFill="1" applyBorder="1" applyAlignment="1">
      <alignment horizontal="center" vertical="center" wrapText="1"/>
    </xf>
    <xf numFmtId="0" fontId="30" fillId="8" borderId="86" xfId="0" applyFont="1" applyFill="1" applyBorder="1" applyAlignment="1">
      <alignment horizontal="center" vertical="center" wrapText="1"/>
    </xf>
    <xf numFmtId="0" fontId="30" fillId="8" borderId="87" xfId="0" applyFont="1" applyFill="1" applyBorder="1" applyAlignment="1">
      <alignment horizontal="center" vertical="center" wrapText="1"/>
    </xf>
    <xf numFmtId="0" fontId="30" fillId="5" borderId="84" xfId="0" applyFont="1" applyFill="1" applyBorder="1" applyAlignment="1">
      <alignment horizontal="center" vertical="center"/>
    </xf>
    <xf numFmtId="0" fontId="30" fillId="5" borderId="90" xfId="0" applyFont="1" applyFill="1" applyBorder="1" applyAlignment="1">
      <alignment horizontal="center" vertical="center"/>
    </xf>
    <xf numFmtId="0" fontId="30" fillId="5" borderId="86" xfId="0" applyFont="1" applyFill="1" applyBorder="1" applyAlignment="1">
      <alignment horizontal="center" vertical="center"/>
    </xf>
    <xf numFmtId="0" fontId="30" fillId="5" borderId="91" xfId="0" applyFont="1" applyFill="1" applyBorder="1" applyAlignment="1">
      <alignment horizontal="center" vertical="center"/>
    </xf>
    <xf numFmtId="0" fontId="30" fillId="5" borderId="88" xfId="0" applyFont="1" applyFill="1" applyBorder="1" applyAlignment="1">
      <alignment horizontal="center" vertical="center"/>
    </xf>
    <xf numFmtId="0" fontId="30" fillId="5" borderId="89" xfId="0" applyFont="1" applyFill="1" applyBorder="1" applyAlignment="1">
      <alignment horizontal="center" vertical="center"/>
    </xf>
    <xf numFmtId="0" fontId="30" fillId="8" borderId="72" xfId="0" applyFont="1" applyFill="1" applyBorder="1" applyAlignment="1">
      <alignment horizontal="center" vertical="center" wrapText="1"/>
    </xf>
    <xf numFmtId="0" fontId="30" fillId="5" borderId="84" xfId="0" applyFont="1" applyFill="1" applyBorder="1" applyAlignment="1">
      <alignment horizontal="center" vertical="center" wrapText="1"/>
    </xf>
    <xf numFmtId="0" fontId="30" fillId="5" borderId="85" xfId="0" applyFont="1" applyFill="1" applyBorder="1" applyAlignment="1">
      <alignment horizontal="center" vertical="center" wrapText="1"/>
    </xf>
    <xf numFmtId="0" fontId="30" fillId="5" borderId="86" xfId="0" applyFont="1" applyFill="1" applyBorder="1" applyAlignment="1">
      <alignment horizontal="center" vertical="center" wrapText="1"/>
    </xf>
    <xf numFmtId="0" fontId="30" fillId="5" borderId="87" xfId="0" applyFont="1" applyFill="1" applyBorder="1" applyAlignment="1">
      <alignment horizontal="center" vertical="center" wrapText="1"/>
    </xf>
    <xf numFmtId="0" fontId="29" fillId="16" borderId="62" xfId="22" applyNumberFormat="1" applyFont="1" applyFill="1" applyBorder="1" applyAlignment="1">
      <alignment horizontal="center" vertical="center" textRotation="90" readingOrder="1"/>
    </xf>
    <xf numFmtId="0" fontId="29" fillId="16" borderId="64" xfId="22" applyNumberFormat="1" applyFont="1" applyFill="1" applyBorder="1" applyAlignment="1">
      <alignment horizontal="center" vertical="center" textRotation="90" readingOrder="1"/>
    </xf>
    <xf numFmtId="9" fontId="29" fillId="47" borderId="62" xfId="19" applyNumberFormat="1" applyFont="1" applyFill="1" applyBorder="1" applyAlignment="1">
      <alignment horizontal="center" vertical="center" textRotation="90" wrapText="1" readingOrder="1"/>
    </xf>
    <xf numFmtId="9" fontId="29" fillId="47" borderId="95" xfId="19" applyNumberFormat="1" applyFont="1" applyFill="1" applyBorder="1" applyAlignment="1">
      <alignment horizontal="center" vertical="center" textRotation="90" wrapText="1" readingOrder="1"/>
    </xf>
    <xf numFmtId="9" fontId="29" fillId="47" borderId="64" xfId="19" applyNumberFormat="1" applyFont="1" applyFill="1" applyBorder="1" applyAlignment="1">
      <alignment horizontal="center" vertical="center" textRotation="90" wrapText="1" readingOrder="1"/>
    </xf>
    <xf numFmtId="0" fontId="115" fillId="9" borderId="62" xfId="22" applyFont="1" applyFill="1" applyBorder="1" applyAlignment="1">
      <alignment horizontal="center" vertical="center" wrapText="1"/>
    </xf>
    <xf numFmtId="0" fontId="115" fillId="9" borderId="95" xfId="22" applyFont="1" applyFill="1" applyBorder="1" applyAlignment="1">
      <alignment horizontal="center" vertical="center" wrapText="1"/>
    </xf>
    <xf numFmtId="0" fontId="108" fillId="0" borderId="0" xfId="19" applyFont="1" applyAlignment="1">
      <alignment horizontal="left" vertical="center"/>
    </xf>
    <xf numFmtId="0" fontId="126" fillId="15" borderId="62" xfId="22" applyFont="1" applyFill="1" applyBorder="1" applyAlignment="1">
      <alignment horizontal="center" vertical="center" wrapText="1"/>
    </xf>
    <xf numFmtId="0" fontId="126" fillId="15" borderId="95" xfId="22" applyFont="1" applyFill="1" applyBorder="1" applyAlignment="1">
      <alignment horizontal="center" vertical="center" wrapText="1"/>
    </xf>
    <xf numFmtId="0" fontId="126" fillId="15" borderId="64" xfId="22" applyFont="1" applyFill="1" applyBorder="1" applyAlignment="1">
      <alignment horizontal="center" vertical="center" wrapText="1"/>
    </xf>
    <xf numFmtId="0" fontId="29" fillId="2" borderId="62" xfId="22" applyNumberFormat="1" applyFont="1" applyFill="1" applyBorder="1" applyAlignment="1">
      <alignment horizontal="center" vertical="center" textRotation="90" readingOrder="1"/>
    </xf>
    <xf numFmtId="0" fontId="29" fillId="2" borderId="95" xfId="22" applyNumberFormat="1" applyFont="1" applyFill="1" applyBorder="1" applyAlignment="1">
      <alignment horizontal="center" vertical="center" textRotation="90" readingOrder="1"/>
    </xf>
    <xf numFmtId="0" fontId="29" fillId="2" borderId="64" xfId="22" applyNumberFormat="1" applyFont="1" applyFill="1" applyBorder="1" applyAlignment="1">
      <alignment horizontal="center" vertical="center" textRotation="90" readingOrder="1"/>
    </xf>
    <xf numFmtId="0" fontId="29" fillId="14" borderId="62" xfId="22" applyNumberFormat="1" applyFont="1" applyFill="1" applyBorder="1" applyAlignment="1">
      <alignment horizontal="center" vertical="center" textRotation="90" readingOrder="1"/>
    </xf>
    <xf numFmtId="0" fontId="29" fillId="14" borderId="95" xfId="22" applyNumberFormat="1" applyFont="1" applyFill="1" applyBorder="1" applyAlignment="1">
      <alignment horizontal="center" vertical="center" textRotation="90" readingOrder="1"/>
    </xf>
    <xf numFmtId="0" fontId="29" fillId="14" borderId="64" xfId="22" applyNumberFormat="1" applyFont="1" applyFill="1" applyBorder="1" applyAlignment="1">
      <alignment horizontal="center" vertical="center" textRotation="90" readingOrder="1"/>
    </xf>
    <xf numFmtId="0" fontId="29" fillId="38" borderId="62" xfId="22" applyNumberFormat="1" applyFont="1" applyFill="1" applyBorder="1" applyAlignment="1">
      <alignment horizontal="center" vertical="center" textRotation="90" readingOrder="1"/>
    </xf>
    <xf numFmtId="0" fontId="29" fillId="38" borderId="95" xfId="22" applyNumberFormat="1" applyFont="1" applyFill="1" applyBorder="1" applyAlignment="1">
      <alignment horizontal="center" vertical="center" textRotation="90" readingOrder="1"/>
    </xf>
    <xf numFmtId="0" fontId="29" fillId="38" borderId="64" xfId="22" applyNumberFormat="1" applyFont="1" applyFill="1" applyBorder="1" applyAlignment="1">
      <alignment horizontal="center" vertical="center" textRotation="90" readingOrder="1"/>
    </xf>
    <xf numFmtId="0" fontId="29" fillId="9" borderId="62" xfId="22" applyNumberFormat="1" applyFont="1" applyFill="1" applyBorder="1" applyAlignment="1">
      <alignment horizontal="center" vertical="center" textRotation="90" readingOrder="1"/>
    </xf>
    <xf numFmtId="0" fontId="29" fillId="9" borderId="95" xfId="22" applyNumberFormat="1" applyFont="1" applyFill="1" applyBorder="1" applyAlignment="1">
      <alignment horizontal="center" vertical="center" textRotation="90" readingOrder="1"/>
    </xf>
    <xf numFmtId="0" fontId="29" fillId="9" borderId="64" xfId="22" applyNumberFormat="1" applyFont="1" applyFill="1" applyBorder="1" applyAlignment="1">
      <alignment horizontal="center" vertical="center" textRotation="90" readingOrder="1"/>
    </xf>
    <xf numFmtId="0" fontId="110" fillId="0" borderId="0" xfId="19" applyFont="1" applyAlignment="1">
      <alignment horizontal="left" vertical="center"/>
    </xf>
    <xf numFmtId="0" fontId="61" fillId="12" borderId="94" xfId="0" applyFont="1" applyFill="1" applyBorder="1" applyAlignment="1">
      <alignment horizontal="center" vertical="center"/>
    </xf>
    <xf numFmtId="0" fontId="68" fillId="0" borderId="33" xfId="0" applyFont="1" applyBorder="1" applyAlignment="1">
      <alignment horizontal="center" vertical="center" wrapText="1"/>
    </xf>
    <xf numFmtId="0" fontId="68" fillId="0" borderId="34" xfId="0" applyFont="1" applyBorder="1" applyAlignment="1">
      <alignment horizontal="center" vertical="center" wrapText="1"/>
    </xf>
    <xf numFmtId="0" fontId="67" fillId="8" borderId="96" xfId="0" applyFont="1" applyFill="1" applyBorder="1" applyAlignment="1">
      <alignment horizontal="center" vertical="top" wrapText="1"/>
    </xf>
    <xf numFmtId="0" fontId="67" fillId="8" borderId="98" xfId="0" applyFont="1" applyFill="1" applyBorder="1" applyAlignment="1">
      <alignment horizontal="center" vertical="top" wrapText="1"/>
    </xf>
    <xf numFmtId="0" fontId="67" fillId="8" borderId="97" xfId="0" applyFont="1" applyFill="1" applyBorder="1" applyAlignment="1">
      <alignment horizontal="center" vertical="top" wrapText="1"/>
    </xf>
    <xf numFmtId="0" fontId="67" fillId="14" borderId="104" xfId="0" applyFont="1" applyFill="1" applyBorder="1" applyAlignment="1">
      <alignment horizontal="center" vertical="center" wrapText="1"/>
    </xf>
    <xf numFmtId="0" fontId="67" fillId="14" borderId="99" xfId="0" applyFont="1" applyFill="1" applyBorder="1" applyAlignment="1">
      <alignment horizontal="center" vertical="center" wrapText="1"/>
    </xf>
    <xf numFmtId="0" fontId="67" fillId="14" borderId="105" xfId="0" applyFont="1" applyFill="1" applyBorder="1" applyAlignment="1">
      <alignment horizontal="center" vertical="center" wrapText="1"/>
    </xf>
    <xf numFmtId="0" fontId="67" fillId="36" borderId="96" xfId="0" applyFont="1" applyFill="1" applyBorder="1" applyAlignment="1">
      <alignment horizontal="center" vertical="top" wrapText="1"/>
    </xf>
    <xf numFmtId="0" fontId="67" fillId="36" borderId="98" xfId="0" applyFont="1" applyFill="1" applyBorder="1" applyAlignment="1">
      <alignment horizontal="center" vertical="top" wrapText="1"/>
    </xf>
    <xf numFmtId="0" fontId="67" fillId="36" borderId="97" xfId="0" applyFont="1" applyFill="1" applyBorder="1" applyAlignment="1">
      <alignment horizontal="center" vertical="top" wrapText="1"/>
    </xf>
    <xf numFmtId="0" fontId="119" fillId="12" borderId="96" xfId="0" applyFont="1" applyFill="1" applyBorder="1" applyAlignment="1">
      <alignment horizontal="center" vertical="top" wrapText="1"/>
    </xf>
    <xf numFmtId="0" fontId="119" fillId="12" borderId="98" xfId="0" applyFont="1" applyFill="1" applyBorder="1" applyAlignment="1">
      <alignment horizontal="center" vertical="top" wrapText="1"/>
    </xf>
    <xf numFmtId="0" fontId="119" fillId="12" borderId="97" xfId="0" applyFont="1" applyFill="1" applyBorder="1" applyAlignment="1">
      <alignment horizontal="center" vertical="top" wrapText="1"/>
    </xf>
    <xf numFmtId="0" fontId="85" fillId="41" borderId="0" xfId="0" applyFont="1" applyFill="1" applyAlignment="1">
      <alignment horizontal="center" vertical="center"/>
    </xf>
    <xf numFmtId="164" fontId="71" fillId="15" borderId="0" xfId="4" applyNumberFormat="1" applyFont="1" applyFill="1" applyAlignment="1">
      <alignment horizontal="center" vertical="center" wrapText="1"/>
    </xf>
  </cellXfs>
  <cellStyles count="70">
    <cellStyle name="Bad 2" xfId="24" xr:uid="{00000000-0005-0000-0000-000000000000}"/>
    <cellStyle name="Comma" xfId="4" builtinId="3"/>
    <cellStyle name="Comma 2" xfId="7" xr:uid="{00000000-0005-0000-0000-000002000000}"/>
    <cellStyle name="Comma 2 2" xfId="17" xr:uid="{00000000-0005-0000-0000-000003000000}"/>
    <cellStyle name="Comma 2 2 2" xfId="32" xr:uid="{00000000-0005-0000-0000-000003000000}"/>
    <cellStyle name="Comma 2 2 2 2" xfId="59" xr:uid="{EB727296-B114-45F0-B91C-966D7727921A}"/>
    <cellStyle name="Comma 2 2 3" xfId="41" xr:uid="{00000000-0005-0000-0000-000003000000}"/>
    <cellStyle name="Comma 2 2 3 2" xfId="68" xr:uid="{FAFF5E6A-C549-403C-90B8-6656B6ECFBAB}"/>
    <cellStyle name="Comma 2 2 4" xfId="50" xr:uid="{9ABFFDF0-3015-4C4F-B691-948CF02F8EEA}"/>
    <cellStyle name="Comma 2 3" xfId="27" xr:uid="{00000000-0005-0000-0000-000002000000}"/>
    <cellStyle name="Comma 2 3 2" xfId="54" xr:uid="{C8713475-8030-4DF6-AC42-B39632D45098}"/>
    <cellStyle name="Comma 2 4" xfId="36" xr:uid="{00000000-0005-0000-0000-000001000000}"/>
    <cellStyle name="Comma 2 4 2" xfId="63" xr:uid="{A301F4E2-F867-4E9C-ADA0-33FA62321EF3}"/>
    <cellStyle name="Comma 2 5" xfId="45" xr:uid="{85B3CDC6-6A1F-46B1-B16E-85A19DD2BD13}"/>
    <cellStyle name="Comma 4" xfId="5" xr:uid="{00000000-0005-0000-0000-000004000000}"/>
    <cellStyle name="Good 2" xfId="23" xr:uid="{00000000-0005-0000-0000-000005000000}"/>
    <cellStyle name="Heading 1 2" xfId="13" xr:uid="{00000000-0005-0000-0000-000006000000}"/>
    <cellStyle name="Normal" xfId="0" builtinId="0"/>
    <cellStyle name="Normal 2" xfId="8" xr:uid="{00000000-0005-0000-0000-000008000000}"/>
    <cellStyle name="Normal 2 2" xfId="14" xr:uid="{00000000-0005-0000-0000-000009000000}"/>
    <cellStyle name="Normal 2 2 2" xfId="29" xr:uid="{00000000-0005-0000-0000-000009000000}"/>
    <cellStyle name="Normal 2 2 2 2" xfId="56" xr:uid="{87B1BA68-CE94-44E9-BDA1-5D037F9234DE}"/>
    <cellStyle name="Normal 2 2 3" xfId="38" xr:uid="{00000000-0005-0000-0000-00001F000000}"/>
    <cellStyle name="Normal 2 2 3 2" xfId="65" xr:uid="{71A11110-D1CE-4416-BC4B-96AE59EA7BB9}"/>
    <cellStyle name="Normal 2 2 4" xfId="47" xr:uid="{8042F947-31C9-459C-ACFE-C205B96DF53C}"/>
    <cellStyle name="Normal 2 3" xfId="18" xr:uid="{00000000-0005-0000-0000-00000A000000}"/>
    <cellStyle name="Normal 2 3 2" xfId="33" xr:uid="{00000000-0005-0000-0000-00000A000000}"/>
    <cellStyle name="Normal 2 3 2 2" xfId="60" xr:uid="{CAFAB223-E5A1-435A-8AB3-51BA1D56BD46}"/>
    <cellStyle name="Normal 2 3 3" xfId="42" xr:uid="{00000000-0005-0000-0000-000020000000}"/>
    <cellStyle name="Normal 2 3 3 2" xfId="69" xr:uid="{DBC3DC88-A57E-4294-B32D-951ED532B939}"/>
    <cellStyle name="Normal 2 3 4" xfId="51" xr:uid="{7E0F19E1-9FF7-4631-9AE5-4441E273A666}"/>
    <cellStyle name="Normal 2 4" xfId="22" xr:uid="{00000000-0005-0000-0000-00000B000000}"/>
    <cellStyle name="Normal 2 5" xfId="28" xr:uid="{00000000-0005-0000-0000-000008000000}"/>
    <cellStyle name="Normal 2 5 2" xfId="55" xr:uid="{EF7E4DDF-1107-4FBC-8C82-D8CA60310296}"/>
    <cellStyle name="Normal 2 6" xfId="37" xr:uid="{00000000-0005-0000-0000-000005000000}"/>
    <cellStyle name="Normal 2 6 2" xfId="64" xr:uid="{3F774720-B507-4BD5-BB46-188344515E55}"/>
    <cellStyle name="Normal 2 7" xfId="46" xr:uid="{7730D354-FCCF-430A-A58B-3DB0A351FFA7}"/>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2 2" xfId="57" xr:uid="{B4E163C0-6410-483F-A340-F4BB72E0F6D3}"/>
    <cellStyle name="Normal 4 2 3" xfId="39" xr:uid="{00000000-0005-0000-0000-000025000000}"/>
    <cellStyle name="Normal 4 2 3 2" xfId="66" xr:uid="{A40E1F08-284D-4637-A4DC-33D65D6FF114}"/>
    <cellStyle name="Normal 4 2 4" xfId="48" xr:uid="{BD63CE74-2F20-46B1-B01D-1FEE8BE02A97}"/>
    <cellStyle name="Normal 4 3" xfId="25" xr:uid="{00000000-0005-0000-0000-00000E000000}"/>
    <cellStyle name="Normal 4 3 2" xfId="52" xr:uid="{6CBC85DC-365F-4A6D-A740-1C5107982369}"/>
    <cellStyle name="Normal 4 4" xfId="34" xr:uid="{00000000-0005-0000-0000-000006000000}"/>
    <cellStyle name="Normal 4 4 2" xfId="61" xr:uid="{974984FD-F5DB-4696-BEEF-4BEC99655362}"/>
    <cellStyle name="Normal 4 5" xfId="43" xr:uid="{24F8D3E5-1361-4F2A-9359-013869D9C022}"/>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3" xfId="16" xr:uid="{00000000-0005-0000-0000-000016000000}"/>
    <cellStyle name="Percent 2 3 2" xfId="31" xr:uid="{00000000-0005-0000-0000-000016000000}"/>
    <cellStyle name="Percent 2 3 2 2" xfId="58" xr:uid="{EC7D924B-DCFB-46BF-B115-B1F0224B93CC}"/>
    <cellStyle name="Percent 2 3 3" xfId="40" xr:uid="{00000000-0005-0000-0000-00002C000000}"/>
    <cellStyle name="Percent 2 3 3 2" xfId="67" xr:uid="{3E6B3130-49F9-411F-B6E0-1D2A631B18B0}"/>
    <cellStyle name="Percent 2 3 4" xfId="49" xr:uid="{FBD511E0-FB86-4ECF-A5E2-FE2487C8E1E1}"/>
    <cellStyle name="Percent 2 4" xfId="26" xr:uid="{00000000-0005-0000-0000-000014000000}"/>
    <cellStyle name="Percent 2 4 2" xfId="53" xr:uid="{A52AA879-0053-415F-B49B-97B91825071B}"/>
    <cellStyle name="Percent 2 5" xfId="35" xr:uid="{00000000-0005-0000-0000-000008000000}"/>
    <cellStyle name="Percent 2 5 2" xfId="62" xr:uid="{FC7F4350-5AE8-44C2-A6E4-8477F0DE04B8}"/>
    <cellStyle name="Percent 2 6" xfId="44" xr:uid="{32B06535-8545-4C66-ACB1-3125BAADCC75}"/>
    <cellStyle name="Percent 3" xfId="12" xr:uid="{00000000-0005-0000-0000-000017000000}"/>
    <cellStyle name="Percent 3 2" xfId="20" xr:uid="{00000000-0005-0000-0000-000018000000}"/>
  </cellStyles>
  <dxfs count="771">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8"/>
        </left>
        <right/>
        <top style="thin">
          <color theme="8"/>
        </top>
        <bottom style="thin">
          <color theme="8"/>
        </bottom>
      </border>
    </dxf>
    <dxf>
      <font>
        <b/>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theme="8"/>
        </right>
        <top style="thin">
          <color theme="8"/>
        </top>
        <bottom style="thin">
          <color theme="8"/>
        </bottom>
      </border>
    </dxf>
    <dxf>
      <border>
        <top style="thin">
          <color rgb="FF4472C4"/>
        </top>
      </border>
    </dxf>
    <dxf>
      <border diagonalUp="0" diagonalDown="0">
        <left style="thin">
          <color rgb="FF4472C4"/>
        </left>
        <right style="thin">
          <color rgb="FF4472C4"/>
        </right>
        <top style="thin">
          <color rgb="FF4472C4"/>
        </top>
        <bottom style="thin">
          <color rgb="FF4472C4"/>
        </bottom>
      </border>
    </dxf>
    <dxf>
      <fill>
        <patternFill patternType="none">
          <fgColor rgb="FF000000"/>
          <bgColor auto="1"/>
        </patternFill>
      </fill>
    </dxf>
    <dxf>
      <border>
        <bottom style="thin">
          <color rgb="FF4472C4"/>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theme="8"/>
        </left>
        <right style="thin">
          <color theme="8"/>
        </right>
        <top/>
        <bottom/>
      </border>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0"/>
      </font>
    </dxf>
    <dxf>
      <font>
        <name val="Calibri"/>
        <scheme val="minor"/>
      </font>
    </dxf>
    <dxf>
      <font>
        <name val="Calibri"/>
        <scheme val="minor"/>
      </font>
    </dxf>
    <dxf>
      <alignment vertical="top"/>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0"/>
      </font>
    </dxf>
    <dxf>
      <font>
        <name val="Calibri"/>
        <scheme val="minor"/>
      </font>
    </dxf>
    <dxf>
      <font>
        <name val="Calibri"/>
        <scheme val="minor"/>
      </font>
    </dxf>
    <dxf>
      <numFmt numFmtId="164" formatCode="_(* #,##0_);_(* \(#,##0\);_(* &quot;-&quot;??_);_(@_)"/>
    </dxf>
    <dxf>
      <numFmt numFmtId="0" formatCode="Genera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vertical="bottom"/>
    </dxf>
    <dxf>
      <alignment horizontal="center"/>
    </dxf>
    <dxf>
      <alignment wrapText="1"/>
    </dxf>
    <dxf>
      <numFmt numFmtId="164" formatCode="_(* #,##0_);_(* \(#,##0\);_(* &quot;-&quot;??_);_(@_)"/>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0"/>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patternType="solid">
          <fgColor indexed="64"/>
          <bgColor theme="0" tint="-0.249977111117893"/>
        </patternFill>
      </fill>
    </dxf>
    <dxf>
      <fill>
        <patternFill patternType="solid">
          <fgColor indexed="64"/>
          <bgColor theme="0" tint="-0.249977111117893"/>
        </patternFill>
      </fill>
    </dxf>
    <dxf>
      <numFmt numFmtId="164" formatCode="_(* #,##0_);_(* \(#,##0\);_(* &quot;-&quot;??_);_(@_)"/>
    </dxf>
    <dxf>
      <numFmt numFmtId="164" formatCode="_(* #,##0_);_(* \(#,##0\);_(* &quot;-&quot;??_);_(@_)"/>
    </dxf>
    <dxf>
      <fill>
        <patternFill patternType="solid">
          <fgColor indexed="64"/>
          <bgColor theme="0" tint="-0.249977111117893"/>
        </patternFill>
      </fill>
    </dxf>
    <dxf>
      <alignment wrapText="1"/>
    </dxf>
    <dxf>
      <alignment wrapText="1"/>
    </dxf>
    <dxf>
      <fill>
        <patternFill patternType="solid">
          <fgColor indexed="64"/>
          <bgColor theme="0" tint="-0.249977111117893"/>
        </patternFill>
      </fill>
      <alignment vertical="center"/>
    </dxf>
    <dxf>
      <alignment vertical="center"/>
    </dxf>
    <dxf>
      <fill>
        <patternFill patternType="solid">
          <bgColor theme="0" tint="-0.249977111117893"/>
        </patternFill>
      </fill>
    </dxf>
    <dxf>
      <fill>
        <patternFill patternType="solid">
          <bgColor theme="0" tint="-0.249977111117893"/>
        </patternFill>
      </fill>
    </dxf>
    <dxf>
      <fill>
        <patternFill>
          <bgColor theme="9" tint="-0.249977111117893"/>
        </patternFill>
      </fill>
    </dxf>
    <dxf>
      <fill>
        <patternFill>
          <bgColor theme="9" tint="-0.249977111117893"/>
        </patternFill>
      </fill>
    </dxf>
    <dxf>
      <fill>
        <patternFill>
          <bgColor theme="5" tint="-0.249977111117893"/>
        </patternFill>
      </fill>
    </dxf>
    <dxf>
      <fill>
        <patternFill>
          <bgColor theme="5" tint="-0.249977111117893"/>
        </patternFill>
      </fill>
    </dxf>
    <dxf>
      <fill>
        <patternFill>
          <fgColor theme="5" tint="-0.249977111117893"/>
        </patternFill>
      </fill>
    </dxf>
    <dxf>
      <fill>
        <patternFill>
          <fgColor theme="9" tint="-0.249977111117893"/>
        </patternFill>
      </fill>
    </dxf>
    <dxf>
      <alignment vertical="center"/>
    </dxf>
    <dxf>
      <numFmt numFmtId="164" formatCode="_(* #,##0_);_(* \(#,##0\);_(* &quot;-&quot;??_);_(@_)"/>
    </dxf>
    <dxf>
      <font>
        <color theme="0"/>
      </font>
      <numFmt numFmtId="164" formatCode="_(* #,##0_);_(* \(#,##0\);_(* &quot;-&quot;??_);_(@_)"/>
      <fill>
        <patternFill patternType="solid">
          <fgColor indexed="64"/>
          <bgColor theme="1"/>
        </patternFill>
      </fill>
    </dxf>
    <dxf>
      <font>
        <color theme="0"/>
      </font>
      <fill>
        <patternFill patternType="solid">
          <fgColor indexed="64"/>
          <bgColor rgb="FF0070C0"/>
        </patternFill>
      </fill>
      <alignment horizontal="center"/>
    </dxf>
    <dxf>
      <font>
        <color theme="0"/>
      </font>
      <fill>
        <patternFill patternType="solid">
          <fgColor indexed="64"/>
          <bgColor rgb="FF0070C0"/>
        </patternFill>
      </fill>
      <alignment horizontal="center"/>
    </dxf>
    <dxf>
      <font>
        <color theme="0"/>
      </font>
      <fill>
        <patternFill patternType="solid">
          <fgColor indexed="64"/>
          <bgColor theme="1"/>
        </patternFill>
      </fill>
      <alignment horizontal="center"/>
    </dxf>
    <dxf>
      <numFmt numFmtId="164" formatCode="_(* #,##0_);_(* \(#,##0\);_(* &quot;-&quot;??_);_(@_)"/>
    </dxf>
    <dxf>
      <font>
        <b/>
      </font>
    </dxf>
    <dxf>
      <font>
        <color theme="0"/>
      </font>
      <fill>
        <patternFill patternType="solid">
          <fgColor indexed="64"/>
          <bgColor theme="1"/>
        </patternFill>
      </fill>
    </dxf>
    <dxf>
      <font>
        <sz val="12"/>
      </font>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alignment wrapText="1"/>
    </dxf>
    <dxf>
      <font>
        <color theme="0"/>
      </font>
      <numFmt numFmtId="164" formatCode="_(* #,##0_);_(* \(#,##0\);_(* &quot;-&quot;??_);_(@_)"/>
      <fill>
        <patternFill patternType="solid">
          <fgColor indexed="64"/>
          <bgColor rgb="FF0070C0"/>
        </patternFill>
      </fill>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b/>
        <i val="0"/>
        <color rgb="FFFF0000"/>
      </font>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770"/>
      <tableStyleElement type="headerRow" dxfId="769"/>
    </tableStyle>
    <tableStyle name="4W Style" pivot="0" table="0" count="1" xr9:uid="{00000000-0011-0000-FFFF-FFFF01000000}">
      <tableStyleElement type="wholeTable" dxfId="768"/>
    </tableStyle>
    <tableStyle name="CUSTOM" table="0" count="13" xr9:uid="{00000000-0011-0000-FFFF-FFFF02000000}">
      <tableStyleElement type="wholeTable" dxfId="767"/>
      <tableStyleElement type="headerRow" dxfId="766"/>
      <tableStyleElement type="totalRow" dxfId="765"/>
      <tableStyleElement type="firstColumn" dxfId="764"/>
      <tableStyleElement type="firstRowStripe" dxfId="763"/>
      <tableStyleElement type="secondRowStripe" dxfId="762"/>
      <tableStyleElement type="firstColumnStripe" dxfId="761"/>
      <tableStyleElement type="firstSubtotalRow" dxfId="760"/>
      <tableStyleElement type="secondSubtotalRow" dxfId="759"/>
      <tableStyleElement type="secondColumnSubheading" dxfId="758"/>
      <tableStyleElement type="thirdColumnSubheading" dxfId="757"/>
      <tableStyleElement type="firstRowSubheading" dxfId="756"/>
      <tableStyleElement type="secondRowSubheading" dxfId="755"/>
    </tableStyle>
    <tableStyle name="PivotStyleLight10 2" table="0" count="12" xr9:uid="{00000000-0011-0000-FFFF-FFFF03000000}">
      <tableStyleElement type="wholeTable" dxfId="754"/>
      <tableStyleElement type="headerRow" dxfId="753"/>
      <tableStyleElement type="totalRow" dxfId="752"/>
      <tableStyleElement type="firstColumn" dxfId="751"/>
      <tableStyleElement type="firstRowStripe" dxfId="750"/>
      <tableStyleElement type="firstColumnStripe" dxfId="749"/>
      <tableStyleElement type="firstSubtotalRow" dxfId="748"/>
      <tableStyleElement type="secondSubtotalRow" dxfId="747"/>
      <tableStyleElement type="secondColumnSubheading" dxfId="746"/>
      <tableStyleElement type="thirdColumnSubheading" dxfId="745"/>
      <tableStyleElement type="firstRowSubheading" dxfId="744"/>
      <tableStyleElement type="secondRowSubheading" dxfId="743"/>
    </tableStyle>
    <tableStyle name="PivotStyleLight14 2" table="0" count="12" xr9:uid="{00000000-0011-0000-FFFF-FFFF04000000}">
      <tableStyleElement type="wholeTable" dxfId="742"/>
      <tableStyleElement type="headerRow" dxfId="741"/>
      <tableStyleElement type="totalRow" dxfId="740"/>
      <tableStyleElement type="firstColumn" dxfId="739"/>
      <tableStyleElement type="firstRowStripe" dxfId="738"/>
      <tableStyleElement type="firstColumnStripe" dxfId="737"/>
      <tableStyleElement type="firstSubtotalRow" dxfId="736"/>
      <tableStyleElement type="secondSubtotalRow" dxfId="735"/>
      <tableStyleElement type="secondColumnSubheading" dxfId="734"/>
      <tableStyleElement type="thirdColumnSubheading" dxfId="733"/>
      <tableStyleElement type="firstRowSubheading" dxfId="732"/>
      <tableStyleElement type="secondRowSubheading" dxfId="731"/>
    </tableStyle>
    <tableStyle name="PivotStyleLight23 2" table="0" count="10" xr9:uid="{00000000-0011-0000-FFFF-FFFF05000000}">
      <tableStyleElement type="wholeTable" dxfId="730"/>
      <tableStyleElement type="headerRow" dxfId="729"/>
      <tableStyleElement type="totalRow" dxfId="728"/>
      <tableStyleElement type="firstColumn" dxfId="727"/>
      <tableStyleElement type="firstRowStripe" dxfId="726"/>
      <tableStyleElement type="firstColumnStripe" dxfId="725"/>
      <tableStyleElement type="firstSubtotalColumn" dxfId="724"/>
      <tableStyleElement type="firstSubtotalRow" dxfId="723"/>
      <tableStyleElement type="secondSubtotalRow" dxfId="722"/>
      <tableStyleElement type="pageFieldLabels" dxfId="721"/>
    </tableStyle>
    <tableStyle name="PivotStyleLight9 2" table="0" count="13" xr9:uid="{00000000-0011-0000-FFFF-FFFF06000000}">
      <tableStyleElement type="wholeTable" dxfId="720"/>
      <tableStyleElement type="headerRow" dxfId="719"/>
      <tableStyleElement type="totalRow" dxfId="718"/>
      <tableStyleElement type="firstColumn" dxfId="717"/>
      <tableStyleElement type="firstRowStripe" dxfId="716"/>
      <tableStyleElement type="secondRowStripe" dxfId="715"/>
      <tableStyleElement type="firstColumnStripe" dxfId="714"/>
      <tableStyleElement type="firstSubtotalRow" dxfId="713"/>
      <tableStyleElement type="secondSubtotalRow" dxfId="712"/>
      <tableStyleElement type="secondColumnSubheading" dxfId="711"/>
      <tableStyleElement type="thirdColumnSubheading" dxfId="710"/>
      <tableStyleElement type="firstRowSubheading" dxfId="709"/>
      <tableStyleElement type="secondRowSubheading" dxfId="708"/>
    </tableStyle>
    <tableStyle name="PivotTable Style 1" table="0" count="1" xr9:uid="{00000000-0011-0000-FFFF-FFFF07000000}">
      <tableStyleElement type="wholeTable" dxfId="707"/>
    </tableStyle>
    <tableStyle name="PivotTable Style a" table="0" count="7" xr9:uid="{00000000-0011-0000-FFFF-FFFF08000000}">
      <tableStyleElement type="wholeTable" dxfId="706"/>
      <tableStyleElement type="headerRow" dxfId="705"/>
      <tableStyleElement type="totalRow" dxfId="704"/>
      <tableStyleElement type="firstColumn" dxfId="703"/>
      <tableStyleElement type="secondSubtotalRow" dxfId="702"/>
      <tableStyleElement type="firstRowSubheading" dxfId="701"/>
      <tableStyleElement type="secondRowSubheading" dxfId="700"/>
    </tableStyle>
    <tableStyle name="Slicer Style 1" pivot="0" table="0" count="5" xr9:uid="{00000000-0011-0000-FFFF-FFFF09000000}">
      <tableStyleElement type="wholeTable" dxfId="699"/>
    </tableStyle>
  </tableStyles>
  <colors>
    <mruColors>
      <color rgb="FFE4B6E4"/>
      <color rgb="FF44546A"/>
      <color rgb="FFD692D6"/>
      <color rgb="FFD4E8C6"/>
      <color rgb="FF85C2FF"/>
      <color rgb="FF098A9B"/>
      <color rgb="FFFF898C"/>
      <color rgb="FFCDFF9B"/>
      <color rgb="FF009900"/>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microsoft.com/office/2007/relationships/slicerCache" Target="slicerCaches/slicerCache7.xml"/><Relationship Id="rId39" Type="http://schemas.openxmlformats.org/officeDocument/2006/relationships/sharedStrings" Target="sharedStrings.xml"/><Relationship Id="rId21" Type="http://schemas.microsoft.com/office/2007/relationships/slicerCache" Target="slicerCaches/slicerCache2.xml"/><Relationship Id="rId34" Type="http://schemas.microsoft.com/office/2007/relationships/slicerCache" Target="slicerCaches/slicerCache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microsoft.com/office/2007/relationships/slicerCache" Target="slicerCaches/slicerCache6.xml"/><Relationship Id="rId33" Type="http://schemas.microsoft.com/office/2007/relationships/slicerCache" Target="slicerCaches/slicerCache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microsoft.com/office/2007/relationships/slicerCache" Target="slicerCaches/slicerCache1.xml"/><Relationship Id="rId29" Type="http://schemas.microsoft.com/office/2007/relationships/slicerCache" Target="slicerCaches/slicerCache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5.xml"/><Relationship Id="rId32" Type="http://schemas.microsoft.com/office/2007/relationships/slicerCache" Target="slicerCaches/slicerCache1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microsoft.com/office/2007/relationships/slicerCache" Target="slicerCaches/slicerCache4.xml"/><Relationship Id="rId28" Type="http://schemas.microsoft.com/office/2007/relationships/slicerCache" Target="slicerCaches/slicerCache9.xml"/><Relationship Id="rId36" Type="http://schemas.microsoft.com/office/2007/relationships/slicerCache" Target="slicerCaches/slicerCache17.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microsoft.com/office/2007/relationships/slicerCache" Target="slicerCaches/slicerCache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07/relationships/slicerCache" Target="slicerCaches/slicerCache3.xml"/><Relationship Id="rId27" Type="http://schemas.microsoft.com/office/2007/relationships/slicerCache" Target="slicerCaches/slicerCache8.xml"/><Relationship Id="rId30" Type="http://schemas.microsoft.com/office/2007/relationships/slicerCache" Target="slicerCaches/slicerCache11.xml"/><Relationship Id="rId35" Type="http://schemas.microsoft.com/office/2007/relationships/slicerCache" Target="slicerCaches/slicerCache16.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Number of ppl Covered against 2020 HRP targets</a:t>
            </a:r>
            <a:endParaRPr lang="en-US"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a:solidFill>
                  <a:srgbClr val="44546A"/>
                </a:solidFill>
              </a:defRPr>
            </a:pPr>
            <a:r>
              <a:rPr lang="en-US" sz="1400"/>
              <a:t>(in Non-IDPs)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HRP!$E$56</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0-057D-42B2-9B65-739548585F31}"/>
              </c:ext>
            </c:extLst>
          </c:dPt>
          <c:dPt>
            <c:idx val="2"/>
            <c:invertIfNegative val="0"/>
            <c:bubble3D val="0"/>
            <c:spPr>
              <a:solidFill>
                <a:srgbClr val="0070C0"/>
              </a:solidFill>
              <a:ln>
                <a:noFill/>
              </a:ln>
              <a:effectLst/>
            </c:spPr>
            <c:extLst>
              <c:ext xmlns:c16="http://schemas.microsoft.com/office/drawing/2014/chart" uri="{C3380CC4-5D6E-409C-BE32-E72D297353CC}">
                <c16:uniqueId val="{00000003-D536-49CF-BBEC-F0AB19A3C655}"/>
              </c:ext>
            </c:extLst>
          </c:dPt>
          <c:dLbls>
            <c:dLbl>
              <c:idx val="0"/>
              <c:layout>
                <c:manualLayout>
                  <c:x val="2.68537359467209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DE-456B-8F87-47A1851CAADC}"/>
                </c:ext>
              </c:extLst>
            </c:dLbl>
            <c:dLbl>
              <c:idx val="1"/>
              <c:layout>
                <c:manualLayout>
                  <c:x val="1.9856577800545012E-2"/>
                  <c:y val="-3.2216772711430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7D-42B2-9B65-739548585F3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HRP!$C$57:$C$59</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HRP!$E$57:$E$59</c:f>
              <c:numCache>
                <c:formatCode>_(* #,##0_);_(* \(#,##0\);_(* "-"??_);_(@_)</c:formatCode>
                <c:ptCount val="3"/>
                <c:pt idx="0">
                  <c:v>41621</c:v>
                </c:pt>
                <c:pt idx="1">
                  <c:v>45023</c:v>
                </c:pt>
                <c:pt idx="2">
                  <c:v>113604</c:v>
                </c:pt>
              </c:numCache>
            </c:numRef>
          </c:val>
          <c:extLst>
            <c:ext xmlns:c16="http://schemas.microsoft.com/office/drawing/2014/chart" uri="{C3380CC4-5D6E-409C-BE32-E72D297353CC}">
              <c16:uniqueId val="{00000003-057D-42B2-9B65-739548585F31}"/>
            </c:ext>
          </c:extLst>
        </c:ser>
        <c:ser>
          <c:idx val="1"/>
          <c:order val="1"/>
          <c:tx>
            <c:strRef>
              <c:f>HRP!$F$56</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D536-49CF-BBEC-F0AB19A3C655}"/>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D536-49CF-BBEC-F0AB19A3C65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HRP!$C$57:$C$59</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HRP!$F$57:$F$59</c:f>
              <c:numCache>
                <c:formatCode>_(* #,##0_);_(* \(#,##0\);_(* "-"??_);_(@_)</c:formatCode>
                <c:ptCount val="3"/>
                <c:pt idx="0">
                  <c:v>221082</c:v>
                </c:pt>
                <c:pt idx="1">
                  <c:v>217680</c:v>
                </c:pt>
                <c:pt idx="2">
                  <c:v>149099</c:v>
                </c:pt>
              </c:numCache>
            </c:numRef>
          </c:val>
          <c:extLst>
            <c:ext xmlns:c16="http://schemas.microsoft.com/office/drawing/2014/chart" uri="{C3380CC4-5D6E-409C-BE32-E72D297353CC}">
              <c16:uniqueId val="{00000004-057D-42B2-9B65-739548585F31}"/>
            </c:ext>
          </c:extLst>
        </c:ser>
        <c:dLbls>
          <c:showLegendKey val="0"/>
          <c:showVal val="0"/>
          <c:showCatName val="0"/>
          <c:showSerName val="0"/>
          <c:showPercent val="0"/>
          <c:showBubbleSize val="0"/>
        </c:dLbls>
        <c:gapWidth val="150"/>
        <c:overlap val="100"/>
        <c:axId val="391610984"/>
        <c:axId val="391606280"/>
      </c:barChart>
      <c:catAx>
        <c:axId val="3916109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6280"/>
        <c:crosses val="autoZero"/>
        <c:auto val="1"/>
        <c:lblAlgn val="ctr"/>
        <c:lblOffset val="100"/>
        <c:noMultiLvlLbl val="0"/>
      </c:catAx>
      <c:valAx>
        <c:axId val="391606280"/>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1098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HRP!$H$15</c:f>
              <c:strCache>
                <c:ptCount val="1"/>
                <c:pt idx="0">
                  <c:v>% Reached</c:v>
                </c:pt>
              </c:strCache>
            </c:strRef>
          </c:tx>
          <c:spPr>
            <a:solidFill>
              <a:schemeClr val="tx1">
                <a:lumMod val="65000"/>
                <a:lumOff val="35000"/>
              </a:schemeClr>
            </a:solidFill>
            <a:ln>
              <a:noFill/>
            </a:ln>
            <a:effectLst/>
          </c:spPr>
          <c:invertIfNegative val="0"/>
          <c:cat>
            <c:multiLvlStrRef>
              <c:f>HRP!$C$16:$D$31</c:f>
              <c:multiLvlStrCache>
                <c:ptCount val="16"/>
                <c:lvl>
                  <c:pt idx="0">
                    <c:v> Central Rakhine </c:v>
                  </c:pt>
                  <c:pt idx="1">
                    <c:v> Northern Rakhine </c:v>
                  </c:pt>
                  <c:pt idx="2">
                    <c:v> Kachin </c:v>
                  </c:pt>
                  <c:pt idx="3">
                    <c:v> Shan (North) </c:v>
                  </c:pt>
                  <c:pt idx="4">
                    <c:v> Kayin </c:v>
                  </c:pt>
                  <c:pt idx="5">
                    <c:v> Chin </c:v>
                  </c:pt>
                  <c:pt idx="6">
                    <c:v> Total </c:v>
                  </c:pt>
                  <c:pt idx="7">
                    <c:v> Central Rakhine </c:v>
                  </c:pt>
                  <c:pt idx="8">
                    <c:v> Northern Rakhine </c:v>
                  </c:pt>
                  <c:pt idx="9">
                    <c:v> Kachin </c:v>
                  </c:pt>
                  <c:pt idx="10">
                    <c:v> Shan (North) </c:v>
                  </c:pt>
                  <c:pt idx="11">
                    <c:v> Kayin </c:v>
                  </c:pt>
                  <c:pt idx="12">
                    <c:v> Chin </c:v>
                  </c:pt>
                  <c:pt idx="13">
                    <c:v> Total </c:v>
                  </c:pt>
                  <c:pt idx="14">
                    <c:v> Central Rakhine </c:v>
                  </c:pt>
                  <c:pt idx="15">
                    <c:v> Northern Rakhine </c:v>
                  </c:pt>
                </c:lvl>
                <c:lvl>
                  <c:pt idx="0">
                    <c:v>Percentage of women, men, boys and girls benefitting from safe/improved drinking water, meeting demand for domestic purposes, at minimum/agreed standards</c:v>
                  </c:pt>
                  <c:pt idx="7">
                    <c:v>Percentage of targeted women, men, boys and girls benefitting from a functional excreta disposal system, reducing safety/public health/environmental risks</c:v>
                  </c:pt>
                  <c:pt idx="14">
                    <c:v>Percentage of targeted women, men, boys and girls benefitting from timely/adequate/tailored personal hygiene items and receiving appropriate/ community tailored messages that enable health seeking behavior</c:v>
                  </c:pt>
                </c:lvl>
              </c:multiLvlStrCache>
            </c:multiLvlStrRef>
          </c:cat>
          <c:val>
            <c:numRef>
              <c:f>HRP!$H$16:$H$31</c:f>
              <c:numCache>
                <c:formatCode>0%</c:formatCode>
                <c:ptCount val="16"/>
                <c:pt idx="0">
                  <c:v>1.3139790418469084</c:v>
                </c:pt>
                <c:pt idx="1">
                  <c:v>0</c:v>
                </c:pt>
                <c:pt idx="2">
                  <c:v>0.18708447147348337</c:v>
                </c:pt>
                <c:pt idx="3">
                  <c:v>0.26311708451796328</c:v>
                </c:pt>
                <c:pt idx="4">
                  <c:v>0.78230398598335527</c:v>
                </c:pt>
                <c:pt idx="5">
                  <c:v>0</c:v>
                </c:pt>
                <c:pt idx="6">
                  <c:v>0.42240345854374717</c:v>
                </c:pt>
                <c:pt idx="7">
                  <c:v>0.52074995951791625</c:v>
                </c:pt>
                <c:pt idx="8">
                  <c:v>0</c:v>
                </c:pt>
                <c:pt idx="9">
                  <c:v>0.10758645570272632</c:v>
                </c:pt>
                <c:pt idx="10">
                  <c:v>0.20625484621349185</c:v>
                </c:pt>
                <c:pt idx="11">
                  <c:v>0.50394218134034163</c:v>
                </c:pt>
                <c:pt idx="12">
                  <c:v>0</c:v>
                </c:pt>
                <c:pt idx="13">
                  <c:v>0.17898457283597652</c:v>
                </c:pt>
                <c:pt idx="14">
                  <c:v>0.48140137407758682</c:v>
                </c:pt>
                <c:pt idx="15">
                  <c:v>0</c:v>
                </c:pt>
              </c:numCache>
            </c:numRef>
          </c:val>
          <c:extLst>
            <c:ext xmlns:c16="http://schemas.microsoft.com/office/drawing/2014/chart" uri="{C3380CC4-5D6E-409C-BE32-E72D297353CC}">
              <c16:uniqueId val="{00000000-78ED-4C56-BA32-1282FB4F42D0}"/>
            </c:ext>
          </c:extLst>
        </c:ser>
        <c:ser>
          <c:idx val="1"/>
          <c:order val="1"/>
          <c:tx>
            <c:strRef>
              <c:f>HRP!$I$15</c:f>
              <c:strCache>
                <c:ptCount val="1"/>
                <c:pt idx="0">
                  <c:v>% Gap</c:v>
                </c:pt>
              </c:strCache>
            </c:strRef>
          </c:tx>
          <c:spPr>
            <a:solidFill>
              <a:schemeClr val="bg1">
                <a:lumMod val="75000"/>
              </a:schemeClr>
            </a:solidFill>
            <a:ln>
              <a:noFill/>
            </a:ln>
            <a:effectLst/>
          </c:spPr>
          <c:invertIfNegative val="0"/>
          <c:cat>
            <c:multiLvlStrRef>
              <c:f>HRP!$C$16:$D$31</c:f>
              <c:multiLvlStrCache>
                <c:ptCount val="16"/>
                <c:lvl>
                  <c:pt idx="0">
                    <c:v> Central Rakhine </c:v>
                  </c:pt>
                  <c:pt idx="1">
                    <c:v> Northern Rakhine </c:v>
                  </c:pt>
                  <c:pt idx="2">
                    <c:v> Kachin </c:v>
                  </c:pt>
                  <c:pt idx="3">
                    <c:v> Shan (North) </c:v>
                  </c:pt>
                  <c:pt idx="4">
                    <c:v> Kayin </c:v>
                  </c:pt>
                  <c:pt idx="5">
                    <c:v> Chin </c:v>
                  </c:pt>
                  <c:pt idx="6">
                    <c:v> Total </c:v>
                  </c:pt>
                  <c:pt idx="7">
                    <c:v> Central Rakhine </c:v>
                  </c:pt>
                  <c:pt idx="8">
                    <c:v> Northern Rakhine </c:v>
                  </c:pt>
                  <c:pt idx="9">
                    <c:v> Kachin </c:v>
                  </c:pt>
                  <c:pt idx="10">
                    <c:v> Shan (North) </c:v>
                  </c:pt>
                  <c:pt idx="11">
                    <c:v> Kayin </c:v>
                  </c:pt>
                  <c:pt idx="12">
                    <c:v> Chin </c:v>
                  </c:pt>
                  <c:pt idx="13">
                    <c:v> Total </c:v>
                  </c:pt>
                  <c:pt idx="14">
                    <c:v> Central Rakhine </c:v>
                  </c:pt>
                  <c:pt idx="15">
                    <c:v> Northern Rakhine </c:v>
                  </c:pt>
                </c:lvl>
                <c:lvl>
                  <c:pt idx="0">
                    <c:v>Percentage of women, men, boys and girls benefitting from safe/improved drinking water, meeting demand for domestic purposes, at minimum/agreed standards</c:v>
                  </c:pt>
                  <c:pt idx="7">
                    <c:v>Percentage of targeted women, men, boys and girls benefitting from a functional excreta disposal system, reducing safety/public health/environmental risks</c:v>
                  </c:pt>
                  <c:pt idx="14">
                    <c:v>Percentage of targeted women, men, boys and girls benefitting from timely/adequate/tailored personal hygiene items and receiving appropriate/ community tailored messages that enable health seeking behavior</c:v>
                  </c:pt>
                </c:lvl>
              </c:multiLvlStrCache>
            </c:multiLvlStrRef>
          </c:cat>
          <c:val>
            <c:numRef>
              <c:f>HRP!$I$16:$I$31</c:f>
              <c:numCache>
                <c:formatCode>0%</c:formatCode>
                <c:ptCount val="16"/>
                <c:pt idx="0">
                  <c:v>-0.31397904184690839</c:v>
                </c:pt>
                <c:pt idx="1">
                  <c:v>1</c:v>
                </c:pt>
                <c:pt idx="2">
                  <c:v>0.81291552852651661</c:v>
                </c:pt>
                <c:pt idx="3">
                  <c:v>0.73688291548203666</c:v>
                </c:pt>
                <c:pt idx="4">
                  <c:v>0.21769601401664473</c:v>
                </c:pt>
                <c:pt idx="5">
                  <c:v>1</c:v>
                </c:pt>
                <c:pt idx="6" formatCode="_(* #,##0_);_(* \(#,##0\);_(* &quot;-&quot;??_);_(@_)">
                  <c:v>0.57759654145625283</c:v>
                </c:pt>
                <c:pt idx="7">
                  <c:v>0.47925004048208375</c:v>
                </c:pt>
                <c:pt idx="8">
                  <c:v>1</c:v>
                </c:pt>
                <c:pt idx="9">
                  <c:v>0.89241354429727371</c:v>
                </c:pt>
                <c:pt idx="10">
                  <c:v>0.79374515378650812</c:v>
                </c:pt>
                <c:pt idx="11">
                  <c:v>0.49605781865965837</c:v>
                </c:pt>
                <c:pt idx="12">
                  <c:v>1</c:v>
                </c:pt>
                <c:pt idx="13">
                  <c:v>0.82101542716402354</c:v>
                </c:pt>
                <c:pt idx="14">
                  <c:v>0.51859862592241313</c:v>
                </c:pt>
                <c:pt idx="15">
                  <c:v>1</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Access to Functioning Latrine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1054401644581159"/>
          <c:y val="0.21516191168752388"/>
          <c:w val="0.39963337140878941"/>
          <c:h val="0.60300038388522614"/>
        </c:manualLayout>
      </c:layout>
      <c:pieChart>
        <c:varyColors val="1"/>
        <c:ser>
          <c:idx val="0"/>
          <c:order val="0"/>
          <c:tx>
            <c:strRef>
              <c:f>Analysis!$C$82</c:f>
              <c:strCache>
                <c:ptCount val="1"/>
                <c:pt idx="0">
                  <c:v> # in villages (6:1) </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3-F265-40B2-A2CF-8E2569335AF8}"/>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D-F265-40B2-A2CF-8E2569335AF8}"/>
              </c:ext>
            </c:extLst>
          </c:dPt>
          <c:dLbls>
            <c:dLbl>
              <c:idx val="0"/>
              <c:layout>
                <c:manualLayout>
                  <c:x val="-0.15998788108501694"/>
                  <c:y val="1.4010710902936175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65-40B2-A2CF-8E2569335AF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Analysis!$B$83:$B$84</c:f>
              <c:strCache>
                <c:ptCount val="2"/>
                <c:pt idx="0">
                  <c:v> Accessed  </c:v>
                </c:pt>
                <c:pt idx="1">
                  <c:v> No access  </c:v>
                </c:pt>
              </c:strCache>
            </c:strRef>
          </c:cat>
          <c:val>
            <c:numRef>
              <c:f>Analysis!$C$83:$C$84</c:f>
              <c:numCache>
                <c:formatCode>_(* #,##0_);_(* \(#,##0\);_(* "-"??_);_(@_)</c:formatCode>
                <c:ptCount val="2"/>
                <c:pt idx="0">
                  <c:v>10898</c:v>
                </c:pt>
                <c:pt idx="1">
                  <c:v>12615</c:v>
                </c:pt>
              </c:numCache>
            </c:numRef>
          </c:val>
          <c:extLst>
            <c:ext xmlns:c16="http://schemas.microsoft.com/office/drawing/2014/chart" uri="{C3380CC4-5D6E-409C-BE32-E72D297353CC}">
              <c16:uniqueId val="{00000000-A6C3-4C9D-924E-545947A62E9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Analysis!$C$261</c:f>
              <c:strCache>
                <c:ptCount val="1"/>
                <c:pt idx="0">
                  <c:v>Rakhine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E8F-4A87-832A-A9C7772CDEF5}"/>
              </c:ext>
            </c:extLst>
          </c:dPt>
          <c:dPt>
            <c:idx val="1"/>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920-47D8-A18A-4927C641013C}"/>
              </c:ext>
            </c:extLst>
          </c:dPt>
          <c:dPt>
            <c:idx val="2"/>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359-413F-AD86-E76121A85E4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Analysis!$D$259:$H$259</c15:sqref>
                  </c15:fullRef>
                </c:ext>
              </c:extLst>
              <c:f>(Analysis!$D$259:$E$259,Analysis!$G$259:$H$259)</c:f>
              <c:strCache>
                <c:ptCount val="4"/>
                <c:pt idx="0">
                  <c:v> # of hand washing stations with sufficient soap</c:v>
                </c:pt>
                <c:pt idx="1">
                  <c:v> # of hand washing stations for school</c:v>
                </c:pt>
                <c:pt idx="2">
                  <c:v> # of latrines in schools</c:v>
                </c:pt>
                <c:pt idx="3">
                  <c:v># Water points in School</c:v>
                </c:pt>
              </c:strCache>
            </c:strRef>
          </c:cat>
          <c:val>
            <c:numRef>
              <c:extLst>
                <c:ext xmlns:c15="http://schemas.microsoft.com/office/drawing/2012/chart" uri="{02D57815-91ED-43cb-92C2-25804820EDAC}">
                  <c15:fullRef>
                    <c15:sqref>Analysis!$D$261:$H$261</c15:sqref>
                  </c15:fullRef>
                </c:ext>
              </c:extLst>
              <c:f>(Analysis!$D$261:$E$261,Analysis!$G$261:$H$261)</c:f>
              <c:numCache>
                <c:formatCode>_(* #,##0_);_(* \(#,##0\);_(* "-"??_);_(@_)</c:formatCode>
                <c:ptCount val="4"/>
                <c:pt idx="0">
                  <c:v>0</c:v>
                </c:pt>
                <c:pt idx="1">
                  <c:v>10</c:v>
                </c:pt>
                <c:pt idx="2">
                  <c:v>121</c:v>
                </c:pt>
                <c:pt idx="3">
                  <c:v>20</c:v>
                </c:pt>
              </c:numCache>
            </c:numRef>
          </c:val>
          <c:extLst>
            <c:ext xmlns:c15="http://schemas.microsoft.com/office/drawing/2012/chart" uri="{02D57815-91ED-43cb-92C2-25804820EDAC}">
              <c15:categoryFilterExceptions>
                <c15:categoryFilterException>
                  <c15:sqref>Analysis!$F$261</c15:sqref>
                  <c15:spPr xmlns:c15="http://schemas.microsoft.com/office/drawing/2012/chart">
                    <a:solidFill>
                      <a:schemeClr val="accent6">
                        <a:lumMod val="20000"/>
                        <a:lumOff val="80000"/>
                      </a:schemeClr>
                    </a:solidFill>
                    <a:ln>
                      <a:noFill/>
                    </a:ln>
                    <a:effectLst>
                      <a:outerShdw blurRad="57150" dist="19050" dir="5400000" algn="ctr" rotWithShape="0">
                        <a:srgbClr val="000000">
                          <a:alpha val="63000"/>
                        </a:srgbClr>
                      </a:outerShdw>
                    </a:effectLst>
                  </c15:spPr>
                  <c15:invertIfNegative val="0"/>
                  <c15:bubble3D val="0"/>
                </c15:categoryFilterException>
              </c15:categoryFilterExceptions>
            </c:ext>
            <c:ext xmlns:c16="http://schemas.microsoft.com/office/drawing/2014/chart" uri="{C3380CC4-5D6E-409C-BE32-E72D297353CC}">
              <c16:uniqueId val="{00000004-AE8F-4A87-832A-A9C7772CDEF5}"/>
            </c:ext>
          </c:extLst>
        </c:ser>
        <c:dLbls>
          <c:dLblPos val="outEnd"/>
          <c:showLegendKey val="0"/>
          <c:showVal val="1"/>
          <c:showCatName val="0"/>
          <c:showSerName val="0"/>
          <c:showPercent val="0"/>
          <c:showBubbleSize val="0"/>
        </c:dLbls>
        <c:gapWidth val="115"/>
        <c:overlap val="-20"/>
        <c:axId val="395514816"/>
        <c:axId val="395517952"/>
      </c:barChart>
      <c:catAx>
        <c:axId val="39551481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7952"/>
        <c:crosses val="autoZero"/>
        <c:auto val="1"/>
        <c:lblAlgn val="ctr"/>
        <c:lblOffset val="100"/>
        <c:noMultiLvlLbl val="0"/>
      </c:catAx>
      <c:valAx>
        <c:axId val="39551795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4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[20200720_Myanmar_WASH_4W_2020_Q2_All_Village_Consolidate.xlsx]Analysis!R_Geo</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 Number of Non-IDP Sites - Coverage/Gaps </a:t>
            </a:r>
          </a:p>
        </c:rich>
      </c:tx>
      <c:layout>
        <c:manualLayout>
          <c:xMode val="edge"/>
          <c:yMode val="edge"/>
          <c:x val="0.37496606587236875"/>
          <c:y val="3.11607718608660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540226698995605"/>
          <c:y val="0.1709895472032491"/>
          <c:w val="0.7162328642427549"/>
          <c:h val="0.59374132694776072"/>
        </c:manualLayout>
      </c:layout>
      <c:barChart>
        <c:barDir val="bar"/>
        <c:grouping val="clustered"/>
        <c:varyColors val="0"/>
        <c:ser>
          <c:idx val="0"/>
          <c:order val="0"/>
          <c:tx>
            <c:strRef>
              <c:f>Analysis!$I$189:$I$190</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Analysis!$H$191</c:f>
              <c:strCache>
                <c:ptCount val="1"/>
                <c:pt idx="0">
                  <c:v>Village</c:v>
                </c:pt>
              </c:strCache>
            </c:strRef>
          </c:cat>
          <c:val>
            <c:numRef>
              <c:f>Analysis!$I$191</c:f>
              <c:numCache>
                <c:formatCode>General</c:formatCode>
                <c:ptCount val="1"/>
                <c:pt idx="0">
                  <c:v>126</c:v>
                </c:pt>
              </c:numCache>
            </c:numRef>
          </c:val>
          <c:extLst>
            <c:ext xmlns:c16="http://schemas.microsoft.com/office/drawing/2014/chart" uri="{C3380CC4-5D6E-409C-BE32-E72D297353CC}">
              <c16:uniqueId val="{00000000-4072-4BFF-9FC1-55C1B1ECB3C1}"/>
            </c:ext>
          </c:extLst>
        </c:ser>
        <c:dLbls>
          <c:showLegendKey val="0"/>
          <c:showVal val="0"/>
          <c:showCatName val="0"/>
          <c:showSerName val="0"/>
          <c:showPercent val="0"/>
          <c:showBubbleSize val="0"/>
        </c:dLbls>
        <c:gapWidth val="100"/>
        <c:axId val="395622536"/>
        <c:axId val="395628024"/>
      </c:barChart>
      <c:catAx>
        <c:axId val="3956225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8024"/>
        <c:crosses val="autoZero"/>
        <c:auto val="1"/>
        <c:lblAlgn val="ctr"/>
        <c:lblOffset val="100"/>
        <c:noMultiLvlLbl val="0"/>
      </c:catAx>
      <c:valAx>
        <c:axId val="39562802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536"/>
        <c:crosses val="autoZero"/>
        <c:crossBetween val="between"/>
      </c:valAx>
      <c:spPr>
        <a:noFill/>
        <a:ln>
          <a:noFill/>
        </a:ln>
        <a:effectLst/>
      </c:spPr>
    </c:plotArea>
    <c:legend>
      <c:legendPos val="r"/>
      <c:layout>
        <c:manualLayout>
          <c:xMode val="edge"/>
          <c:yMode val="edge"/>
          <c:x val="0.86163218289379784"/>
          <c:y val="0.40916787328661758"/>
          <c:w val="9.099910705379545E-2"/>
          <c:h val="8.00334032153514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[20200720_Myanmar_WASH_4W_2020_Q2_All_Village_Consolidate.xlsx]Analysis!W_R_C_G_V</c:name>
    <c:fmtId val="4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 People access to safe/improved drinking water, meeting demand for domestic purposes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Analysis!$C$54</c:f>
              <c:strCache>
                <c:ptCount val="1"/>
                <c:pt idx="0">
                  <c:v>Accessed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Analysis!$B$55:$B$59</c:f>
              <c:strCache>
                <c:ptCount val="5"/>
                <c:pt idx="0">
                  <c:v>Kyauktaw</c:v>
                </c:pt>
                <c:pt idx="1">
                  <c:v>Minbya</c:v>
                </c:pt>
                <c:pt idx="2">
                  <c:v>Myebon</c:v>
                </c:pt>
                <c:pt idx="3">
                  <c:v>Pauktaw</c:v>
                </c:pt>
                <c:pt idx="4">
                  <c:v>Sittwe</c:v>
                </c:pt>
              </c:strCache>
            </c:strRef>
          </c:cat>
          <c:val>
            <c:numRef>
              <c:f>Analysis!$C$55:$C$59</c:f>
              <c:numCache>
                <c:formatCode>0%</c:formatCode>
                <c:ptCount val="5"/>
                <c:pt idx="0">
                  <c:v>0.737441791340533</c:v>
                </c:pt>
                <c:pt idx="1">
                  <c:v>1</c:v>
                </c:pt>
                <c:pt idx="2">
                  <c:v>1</c:v>
                </c:pt>
                <c:pt idx="3">
                  <c:v>1</c:v>
                </c:pt>
                <c:pt idx="4">
                  <c:v>0.70496193342776203</c:v>
                </c:pt>
              </c:numCache>
            </c:numRef>
          </c:val>
          <c:extLst>
            <c:ext xmlns:c16="http://schemas.microsoft.com/office/drawing/2014/chart" uri="{C3380CC4-5D6E-409C-BE32-E72D297353CC}">
              <c16:uniqueId val="{00000000-801B-4899-AB7B-B3EA77915599}"/>
            </c:ext>
          </c:extLst>
        </c:ser>
        <c:ser>
          <c:idx val="1"/>
          <c:order val="1"/>
          <c:tx>
            <c:strRef>
              <c:f>Analysis!$D$54</c:f>
              <c:strCache>
                <c:ptCount val="1"/>
                <c:pt idx="0">
                  <c:v>No Access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Analysis!$B$55:$B$59</c:f>
              <c:strCache>
                <c:ptCount val="5"/>
                <c:pt idx="0">
                  <c:v>Kyauktaw</c:v>
                </c:pt>
                <c:pt idx="1">
                  <c:v>Minbya</c:v>
                </c:pt>
                <c:pt idx="2">
                  <c:v>Myebon</c:v>
                </c:pt>
                <c:pt idx="3">
                  <c:v>Pauktaw</c:v>
                </c:pt>
                <c:pt idx="4">
                  <c:v>Sittwe</c:v>
                </c:pt>
              </c:strCache>
            </c:strRef>
          </c:cat>
          <c:val>
            <c:numRef>
              <c:f>Analysis!$D$55:$D$59</c:f>
              <c:numCache>
                <c:formatCode>0%</c:formatCode>
                <c:ptCount val="5"/>
                <c:pt idx="0">
                  <c:v>0.262558208659467</c:v>
                </c:pt>
                <c:pt idx="1">
                  <c:v>0</c:v>
                </c:pt>
                <c:pt idx="2">
                  <c:v>0</c:v>
                </c:pt>
                <c:pt idx="3">
                  <c:v>0</c:v>
                </c:pt>
                <c:pt idx="4">
                  <c:v>0.29503806657223797</c:v>
                </c:pt>
              </c:numCache>
            </c:numRef>
          </c:val>
          <c:extLst>
            <c:ext xmlns:c16="http://schemas.microsoft.com/office/drawing/2014/chart" uri="{C3380CC4-5D6E-409C-BE32-E72D297353CC}">
              <c16:uniqueId val="{00000001-801B-4899-AB7B-B3EA77915599}"/>
            </c:ext>
          </c:extLst>
        </c:ser>
        <c:dLbls>
          <c:dLblPos val="ctr"/>
          <c:showLegendKey val="0"/>
          <c:showVal val="1"/>
          <c:showCatName val="0"/>
          <c:showSerName val="0"/>
          <c:showPercent val="0"/>
          <c:showBubbleSize val="0"/>
        </c:dLbls>
        <c:gapWidth val="150"/>
        <c:overlap val="100"/>
        <c:axId val="414767120"/>
        <c:axId val="414769864"/>
      </c:barChart>
      <c:catAx>
        <c:axId val="4147671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9864"/>
        <c:crosses val="autoZero"/>
        <c:auto val="1"/>
        <c:lblAlgn val="ctr"/>
        <c:lblOffset val="100"/>
        <c:noMultiLvlLbl val="0"/>
      </c:catAx>
      <c:valAx>
        <c:axId val="4147698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[20200720_Myanmar_WASH_4W_2020_Q2_All_Village_Consolidate.xlsx]Analysis!K_L_CG_N</c:name>
    <c:fmtId val="4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 VS GAP in Villages</a:t>
            </a:r>
          </a:p>
          <a:p>
            <a:pPr>
              <a:defRPr sz="1200"/>
            </a:pPr>
            <a:r>
              <a:rPr lang="en-US" sz="1200"/>
              <a:t>in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Analysis!$C$102</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Analysis!$B$103:$B$111</c:f>
              <c:strCache>
                <c:ptCount val="9"/>
                <c:pt idx="0">
                  <c:v>Kyauktaw</c:v>
                </c:pt>
                <c:pt idx="1">
                  <c:v>Minbya</c:v>
                </c:pt>
                <c:pt idx="2">
                  <c:v>Myebon</c:v>
                </c:pt>
                <c:pt idx="3">
                  <c:v>Myitkyina</c:v>
                </c:pt>
                <c:pt idx="4">
                  <c:v>Pauktaw</c:v>
                </c:pt>
                <c:pt idx="5">
                  <c:v>Sittwe</c:v>
                </c:pt>
                <c:pt idx="6">
                  <c:v>Sumprabum</c:v>
                </c:pt>
                <c:pt idx="7">
                  <c:v>Waingmaw</c:v>
                </c:pt>
                <c:pt idx="8">
                  <c:v>Injangyang</c:v>
                </c:pt>
              </c:strCache>
            </c:strRef>
          </c:cat>
          <c:val>
            <c:numRef>
              <c:f>Analysis!$C$103:$C$111</c:f>
              <c:numCache>
                <c:formatCode>0%</c:formatCode>
                <c:ptCount val="9"/>
                <c:pt idx="0">
                  <c:v>0.42851481224611115</c:v>
                </c:pt>
                <c:pt idx="1">
                  <c:v>0.51311941673677042</c:v>
                </c:pt>
                <c:pt idx="2">
                  <c:v>1</c:v>
                </c:pt>
                <c:pt idx="3">
                  <c:v>0.62240663900414939</c:v>
                </c:pt>
                <c:pt idx="4">
                  <c:v>0.12483745123537061</c:v>
                </c:pt>
                <c:pt idx="5">
                  <c:v>0.28496813031161472</c:v>
                </c:pt>
                <c:pt idx="6">
                  <c:v>0</c:v>
                </c:pt>
                <c:pt idx="7">
                  <c:v>0.27171757239190797</c:v>
                </c:pt>
                <c:pt idx="8">
                  <c:v>0</c:v>
                </c:pt>
              </c:numCache>
            </c:numRef>
          </c:val>
          <c:extLst>
            <c:ext xmlns:c16="http://schemas.microsoft.com/office/drawing/2014/chart" uri="{C3380CC4-5D6E-409C-BE32-E72D297353CC}">
              <c16:uniqueId val="{00000000-9C64-449A-9CF4-9D86FE4832EB}"/>
            </c:ext>
          </c:extLst>
        </c:ser>
        <c:ser>
          <c:idx val="1"/>
          <c:order val="1"/>
          <c:tx>
            <c:strRef>
              <c:f>Analysis!$D$102</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Analysis!$B$103:$B$111</c:f>
              <c:strCache>
                <c:ptCount val="9"/>
                <c:pt idx="0">
                  <c:v>Kyauktaw</c:v>
                </c:pt>
                <c:pt idx="1">
                  <c:v>Minbya</c:v>
                </c:pt>
                <c:pt idx="2">
                  <c:v>Myebon</c:v>
                </c:pt>
                <c:pt idx="3">
                  <c:v>Myitkyina</c:v>
                </c:pt>
                <c:pt idx="4">
                  <c:v>Pauktaw</c:v>
                </c:pt>
                <c:pt idx="5">
                  <c:v>Sittwe</c:v>
                </c:pt>
                <c:pt idx="6">
                  <c:v>Sumprabum</c:v>
                </c:pt>
                <c:pt idx="7">
                  <c:v>Waingmaw</c:v>
                </c:pt>
                <c:pt idx="8">
                  <c:v>Injangyang</c:v>
                </c:pt>
              </c:strCache>
            </c:strRef>
          </c:cat>
          <c:val>
            <c:numRef>
              <c:f>Analysis!$D$103:$D$111</c:f>
              <c:numCache>
                <c:formatCode>0%</c:formatCode>
                <c:ptCount val="9"/>
                <c:pt idx="0">
                  <c:v>0.5714851877538889</c:v>
                </c:pt>
                <c:pt idx="1">
                  <c:v>0.48688058326322958</c:v>
                </c:pt>
                <c:pt idx="2">
                  <c:v>0</c:v>
                </c:pt>
                <c:pt idx="3">
                  <c:v>0.37759336099585061</c:v>
                </c:pt>
                <c:pt idx="4">
                  <c:v>0.8751625487646294</c:v>
                </c:pt>
                <c:pt idx="5">
                  <c:v>0.71503186968838528</c:v>
                </c:pt>
                <c:pt idx="6">
                  <c:v>1</c:v>
                </c:pt>
                <c:pt idx="7">
                  <c:v>0.72828242760809203</c:v>
                </c:pt>
                <c:pt idx="8">
                  <c:v>1</c:v>
                </c:pt>
              </c:numCache>
            </c:numRef>
          </c:val>
          <c:extLst>
            <c:ext xmlns:c16="http://schemas.microsoft.com/office/drawing/2014/chart" uri="{C3380CC4-5D6E-409C-BE32-E72D297353CC}">
              <c16:uniqueId val="{00000001-9C64-449A-9CF4-9D86FE4832EB}"/>
            </c:ext>
          </c:extLst>
        </c:ser>
        <c:dLbls>
          <c:dLblPos val="ctr"/>
          <c:showLegendKey val="0"/>
          <c:showVal val="1"/>
          <c:showCatName val="0"/>
          <c:showSerName val="0"/>
          <c:showPercent val="0"/>
          <c:showBubbleSize val="0"/>
        </c:dLbls>
        <c:gapWidth val="80"/>
        <c:overlap val="100"/>
        <c:axId val="414769080"/>
        <c:axId val="414771040"/>
      </c:barChart>
      <c:catAx>
        <c:axId val="4147690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2"/>
                </a:solidFill>
                <a:latin typeface="+mn-lt"/>
                <a:ea typeface="+mn-ea"/>
                <a:cs typeface="+mn-cs"/>
              </a:defRPr>
            </a:pPr>
            <a:endParaRPr lang="en-US"/>
          </a:p>
        </c:txPr>
        <c:crossAx val="414771040"/>
        <c:crosses val="autoZero"/>
        <c:auto val="1"/>
        <c:lblAlgn val="ctr"/>
        <c:lblOffset val="100"/>
        <c:noMultiLvlLbl val="0"/>
      </c:catAx>
      <c:valAx>
        <c:axId val="41477104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9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[20200720_Myanmar_WASH_4W_2020_Q2_All_Village_Consolidate.xlsx]Analysis!R_H_CG_V</c:name>
    <c:fmtId val="4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VS GAP in Villages </a:t>
            </a:r>
          </a:p>
          <a:p>
            <a:pPr>
              <a:defRPr sz="1400"/>
            </a:pPr>
            <a:r>
              <a:rPr lang="en-US" sz="1400" b="1" i="0" baseline="0">
                <a:effectLst/>
              </a:rPr>
              <a:t>in Rakhine</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Analysis!$C$166</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Analysis!$B$167:$B$171</c:f>
              <c:strCache>
                <c:ptCount val="5"/>
                <c:pt idx="0">
                  <c:v>Kyauktaw</c:v>
                </c:pt>
                <c:pt idx="1">
                  <c:v>Minbya</c:v>
                </c:pt>
                <c:pt idx="2">
                  <c:v>Myebon</c:v>
                </c:pt>
                <c:pt idx="3">
                  <c:v>Pauktaw</c:v>
                </c:pt>
                <c:pt idx="4">
                  <c:v>Sittwe</c:v>
                </c:pt>
              </c:strCache>
            </c:strRef>
          </c:cat>
          <c:val>
            <c:numRef>
              <c:f>Analysis!$C$167:$C$171</c:f>
              <c:numCache>
                <c:formatCode>0%</c:formatCode>
                <c:ptCount val="5"/>
                <c:pt idx="0">
                  <c:v>0</c:v>
                </c:pt>
                <c:pt idx="1">
                  <c:v>0</c:v>
                </c:pt>
                <c:pt idx="2">
                  <c:v>1</c:v>
                </c:pt>
                <c:pt idx="3">
                  <c:v>0.27932379713914174</c:v>
                </c:pt>
                <c:pt idx="4">
                  <c:v>0.28558781869688388</c:v>
                </c:pt>
              </c:numCache>
            </c:numRef>
          </c:val>
          <c:extLst>
            <c:ext xmlns:c16="http://schemas.microsoft.com/office/drawing/2014/chart" uri="{C3380CC4-5D6E-409C-BE32-E72D297353CC}">
              <c16:uniqueId val="{00000000-40A2-448B-BDAB-C901EA89DC43}"/>
            </c:ext>
          </c:extLst>
        </c:ser>
        <c:ser>
          <c:idx val="1"/>
          <c:order val="1"/>
          <c:tx>
            <c:strRef>
              <c:f>Analysis!$D$166</c:f>
              <c:strCache>
                <c:ptCount val="1"/>
                <c:pt idx="0">
                  <c:v>  % Hygiene Gap</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Analysis!$B$167:$B$171</c:f>
              <c:strCache>
                <c:ptCount val="5"/>
                <c:pt idx="0">
                  <c:v>Kyauktaw</c:v>
                </c:pt>
                <c:pt idx="1">
                  <c:v>Minbya</c:v>
                </c:pt>
                <c:pt idx="2">
                  <c:v>Myebon</c:v>
                </c:pt>
                <c:pt idx="3">
                  <c:v>Pauktaw</c:v>
                </c:pt>
                <c:pt idx="4">
                  <c:v>Sittwe</c:v>
                </c:pt>
              </c:strCache>
            </c:strRef>
          </c:cat>
          <c:val>
            <c:numRef>
              <c:f>Analysis!$D$167:$D$171</c:f>
              <c:numCache>
                <c:formatCode>0%</c:formatCode>
                <c:ptCount val="5"/>
                <c:pt idx="0">
                  <c:v>1</c:v>
                </c:pt>
                <c:pt idx="1">
                  <c:v>1</c:v>
                </c:pt>
                <c:pt idx="2">
                  <c:v>0</c:v>
                </c:pt>
                <c:pt idx="3">
                  <c:v>0.72067620286085821</c:v>
                </c:pt>
                <c:pt idx="4">
                  <c:v>0.71441218130311612</c:v>
                </c:pt>
              </c:numCache>
            </c:numRef>
          </c:val>
          <c:extLst>
            <c:ext xmlns:c16="http://schemas.microsoft.com/office/drawing/2014/chart" uri="{C3380CC4-5D6E-409C-BE32-E72D297353CC}">
              <c16:uniqueId val="{00000001-40A2-448B-BDAB-C901EA89DC43}"/>
            </c:ext>
          </c:extLst>
        </c:ser>
        <c:dLbls>
          <c:dLblPos val="ctr"/>
          <c:showLegendKey val="0"/>
          <c:showVal val="1"/>
          <c:showCatName val="0"/>
          <c:showSerName val="0"/>
          <c:showPercent val="0"/>
          <c:showBubbleSize val="0"/>
        </c:dLbls>
        <c:gapWidth val="150"/>
        <c:overlap val="100"/>
        <c:axId val="415867648"/>
        <c:axId val="415867256"/>
      </c:barChart>
      <c:catAx>
        <c:axId val="415867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67256"/>
        <c:crosses val="autoZero"/>
        <c:auto val="1"/>
        <c:lblAlgn val="ctr"/>
        <c:lblOffset val="100"/>
        <c:noMultiLvlLbl val="0"/>
      </c:catAx>
      <c:valAx>
        <c:axId val="41586725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7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[20200720_Myanmar_WASH_4W_2020_Q2_All_Village_Consolidate.xlsx]Analysis!PivotTable2</c:name>
    <c:fmtId val="12"/>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village with school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rgbClr val="7030A0"/>
          </a:solidFill>
          <a:ln>
            <a:noFill/>
          </a:ln>
          <a:effectLst/>
        </c:spPr>
      </c:pivotFmt>
      <c:pivotFmt>
        <c:idx val="2"/>
        <c:spPr>
          <a:solidFill>
            <a:srgbClr val="E4B6E4"/>
          </a:solidFill>
          <a:ln>
            <a:noFill/>
          </a:ln>
          <a:effectLst/>
        </c:spPr>
      </c:pivotFmt>
    </c:pivotFmts>
    <c:plotArea>
      <c:layout>
        <c:manualLayout>
          <c:layoutTarget val="inner"/>
          <c:xMode val="edge"/>
          <c:yMode val="edge"/>
          <c:x val="0.30256167979002624"/>
          <c:y val="0.19226669582968794"/>
          <c:w val="0.41987685914260719"/>
          <c:h val="0.69979476523767858"/>
        </c:manualLayout>
      </c:layout>
      <c:pieChart>
        <c:varyColors val="1"/>
        <c:ser>
          <c:idx val="0"/>
          <c:order val="0"/>
          <c:tx>
            <c:strRef>
              <c:f>Analysis!$D$285</c:f>
              <c:strCache>
                <c:ptCount val="1"/>
                <c:pt idx="0">
                  <c:v>Total</c:v>
                </c:pt>
              </c:strCache>
            </c:strRef>
          </c:tx>
          <c:dPt>
            <c:idx val="0"/>
            <c:bubble3D val="0"/>
            <c:spPr>
              <a:solidFill>
                <a:srgbClr val="7030A0"/>
              </a:solidFill>
              <a:ln>
                <a:noFill/>
              </a:ln>
              <a:effectLst/>
            </c:spPr>
            <c:extLst>
              <c:ext xmlns:c16="http://schemas.microsoft.com/office/drawing/2014/chart" uri="{C3380CC4-5D6E-409C-BE32-E72D297353CC}">
                <c16:uniqueId val="{00000001-AD6D-4237-846D-0BB2B7C55C83}"/>
              </c:ext>
            </c:extLst>
          </c:dPt>
          <c:dPt>
            <c:idx val="1"/>
            <c:bubble3D val="0"/>
            <c:spPr>
              <a:solidFill>
                <a:srgbClr val="E4B6E4"/>
              </a:solidFill>
              <a:ln>
                <a:noFill/>
              </a:ln>
              <a:effectLst/>
            </c:spPr>
            <c:extLst>
              <c:ext xmlns:c16="http://schemas.microsoft.com/office/drawing/2014/chart" uri="{C3380CC4-5D6E-409C-BE32-E72D297353CC}">
                <c16:uniqueId val="{00000002-AD6D-4237-846D-0BB2B7C55C8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Analysis!$C$286:$C$287</c:f>
              <c:strCache>
                <c:ptCount val="2"/>
                <c:pt idx="0">
                  <c:v>Yes</c:v>
                </c:pt>
                <c:pt idx="1">
                  <c:v>No</c:v>
                </c:pt>
              </c:strCache>
            </c:strRef>
          </c:cat>
          <c:val>
            <c:numRef>
              <c:f>Analysis!$D$286:$D$287</c:f>
              <c:numCache>
                <c:formatCode>_(* #,##0_);_(* \(#,##0\);_(* "-"??_);_(@_)</c:formatCode>
                <c:ptCount val="2"/>
                <c:pt idx="0">
                  <c:v>39</c:v>
                </c:pt>
                <c:pt idx="1">
                  <c:v>136</c:v>
                </c:pt>
              </c:numCache>
            </c:numRef>
          </c:val>
          <c:extLst>
            <c:ext xmlns:c16="http://schemas.microsoft.com/office/drawing/2014/chart" uri="{C3380CC4-5D6E-409C-BE32-E72D297353CC}">
              <c16:uniqueId val="{00000000-AD6D-4237-846D-0BB2B7C55C83}"/>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ofPieChart>
        <c:ofPieType val="pie"/>
        <c:varyColors val="1"/>
        <c:ser>
          <c:idx val="0"/>
          <c:order val="0"/>
          <c:dPt>
            <c:idx val="0"/>
            <c:bubble3D val="0"/>
            <c:spPr>
              <a:solidFill>
                <a:srgbClr val="E4B6E4"/>
              </a:solidFill>
              <a:ln>
                <a:noFill/>
              </a:ln>
              <a:effectLst/>
            </c:spPr>
            <c:extLst>
              <c:ext xmlns:c16="http://schemas.microsoft.com/office/drawing/2014/chart" uri="{C3380CC4-5D6E-409C-BE32-E72D297353CC}">
                <c16:uniqueId val="{00000001-B27E-42FB-B078-AA2BBAA3A4AF}"/>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2-B27E-42FB-B078-AA2BBAA3A4AF}"/>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B-B27E-42FB-B078-AA2BBAA3A4AF}"/>
              </c:ext>
            </c:extLst>
          </c:dPt>
          <c:dPt>
            <c:idx val="3"/>
            <c:bubble3D val="0"/>
            <c:spPr>
              <a:solidFill>
                <a:schemeClr val="accent2">
                  <a:lumMod val="50000"/>
                </a:schemeClr>
              </a:solidFill>
              <a:ln>
                <a:noFill/>
              </a:ln>
              <a:effectLst/>
            </c:spPr>
            <c:extLst>
              <c:ext xmlns:c16="http://schemas.microsoft.com/office/drawing/2014/chart" uri="{C3380CC4-5D6E-409C-BE32-E72D297353CC}">
                <c16:uniqueId val="{00000010-B27E-42FB-B078-AA2BBAA3A4AF}"/>
              </c:ext>
            </c:extLst>
          </c:dPt>
          <c:dPt>
            <c:idx val="4"/>
            <c:bubble3D val="0"/>
            <c:spPr>
              <a:solidFill>
                <a:srgbClr val="7030A0"/>
              </a:solidFill>
              <a:ln>
                <a:noFill/>
              </a:ln>
              <a:effectLst/>
            </c:spPr>
            <c:extLst>
              <c:ext xmlns:c16="http://schemas.microsoft.com/office/drawing/2014/chart" uri="{C3380CC4-5D6E-409C-BE32-E72D297353CC}">
                <c16:uniqueId val="{00000008-BDC3-4C61-A6DA-51AA4253D0FA}"/>
              </c:ext>
            </c:extLst>
          </c:dPt>
          <c:dLbls>
            <c:dLbl>
              <c:idx val="0"/>
              <c:layout>
                <c:manualLayout>
                  <c:x val="0.12335148731408571"/>
                  <c:y val="-3.64114902303878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7E-42FB-B078-AA2BBAA3A4AF}"/>
                </c:ext>
              </c:extLst>
            </c:dLbl>
            <c:dLbl>
              <c:idx val="1"/>
              <c:layout>
                <c:manualLayout>
                  <c:x val="0.13564960629921249"/>
                  <c:y val="-7.860746573345006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27E-42FB-B078-AA2BBAA3A4AF}"/>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27E-42FB-B078-AA2BBAA3A4AF}"/>
                </c:ext>
              </c:extLst>
            </c:dLbl>
            <c:dLbl>
              <c:idx val="3"/>
              <c:layout>
                <c:manualLayout>
                  <c:x val="-6.3331022893477057E-2"/>
                  <c:y val="-0.139058325241784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bg1"/>
                        </a:solidFill>
                        <a:latin typeface="+mn-lt"/>
                        <a:ea typeface="+mn-ea"/>
                        <a:cs typeface="+mn-cs"/>
                      </a:defRPr>
                    </a:pPr>
                    <a:fld id="{681C728E-7085-4BDE-8881-35137157971A}" type="PERCENTAGE">
                      <a:rPr lang="en-US" baseline="0">
                        <a:solidFill>
                          <a:schemeClr val="bg1"/>
                        </a:solidFill>
                      </a:rPr>
                      <a:pPr>
                        <a:defRPr sz="1200">
                          <a:solidFill>
                            <a:schemeClr val="bg1"/>
                          </a:solidFill>
                        </a:defRPr>
                      </a:pPr>
                      <a:t>[PERCENTAGE]</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layout>
                    <c:manualLayout>
                      <c:w val="8.2555537498788814E-2"/>
                      <c:h val="0.1980698659574669"/>
                    </c:manualLayout>
                  </c15:layout>
                  <c15:dlblFieldTable/>
                  <c15:showDataLabelsRange val="0"/>
                </c:ext>
                <c:ext xmlns:c16="http://schemas.microsoft.com/office/drawing/2014/chart" uri="{C3380CC4-5D6E-409C-BE32-E72D297353CC}">
                  <c16:uniqueId val="{00000010-B27E-42FB-B078-AA2BBAA3A4AF}"/>
                </c:ext>
              </c:extLst>
            </c:dLbl>
            <c:dLbl>
              <c:idx val="4"/>
              <c:layout>
                <c:manualLayout>
                  <c:x val="-0.17315514585408009"/>
                  <c:y val="5.6164307952861023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r>
                      <a:rPr lang="en-US"/>
                      <a:t>Village With School</a:t>
                    </a:r>
                    <a:r>
                      <a:rPr lang="en-US" baseline="0"/>
                      <a:t>
</a:t>
                    </a:r>
                    <a:fld id="{0E71715D-DE55-4321-B78F-549DC05D3BE8}" type="PERCENTAGE">
                      <a:rPr lang="en-US" baseline="0"/>
                      <a:pPr>
                        <a:defRPr sz="1200">
                          <a:solidFill>
                            <a:schemeClr val="bg1"/>
                          </a:solidFill>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BDC3-4C61-A6DA-51AA4253D0F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Analysis!$I$96:$L$96</c:f>
              <c:strCache>
                <c:ptCount val="4"/>
                <c:pt idx="0">
                  <c:v> Village With No School </c:v>
                </c:pt>
                <c:pt idx="1">
                  <c:v> No drainage in school compound </c:v>
                </c:pt>
                <c:pt idx="2">
                  <c:v> Drainage in school compound </c:v>
                </c:pt>
                <c:pt idx="3">
                  <c:v> NA </c:v>
                </c:pt>
              </c:strCache>
            </c:strRef>
          </c:cat>
          <c:val>
            <c:numRef>
              <c:f>Analysis!$I$97:$L$97</c:f>
              <c:numCache>
                <c:formatCode>_(* #,##0_);_(* \(#,##0\);_(* "-"??_);_(@_)</c:formatCode>
                <c:ptCount val="4"/>
                <c:pt idx="0">
                  <c:v>87</c:v>
                </c:pt>
                <c:pt idx="1">
                  <c:v>16</c:v>
                </c:pt>
                <c:pt idx="2">
                  <c:v>7</c:v>
                </c:pt>
                <c:pt idx="3">
                  <c:v>16</c:v>
                </c:pt>
              </c:numCache>
            </c:numRef>
          </c:val>
          <c:extLst>
            <c:ext xmlns:c16="http://schemas.microsoft.com/office/drawing/2014/chart" uri="{C3380CC4-5D6E-409C-BE32-E72D297353CC}">
              <c16:uniqueId val="{00000000-B27E-42FB-B078-AA2BBAA3A4AF}"/>
            </c:ext>
          </c:extLst>
        </c:ser>
        <c:dLbls>
          <c:showLegendKey val="0"/>
          <c:showVal val="0"/>
          <c:showCatName val="0"/>
          <c:showSerName val="0"/>
          <c:showPercent val="0"/>
          <c:showBubbleSize val="0"/>
          <c:showLeaderLines val="0"/>
        </c:dLbls>
        <c:gapWidth val="100"/>
        <c:splitType val="cust"/>
        <c:custSplit>
          <c:secondPiePt val="1"/>
          <c:secondPiePt val="2"/>
          <c:secondPiePt val="3"/>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in School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472E-424E-942E-565B7324466A}"/>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9-472E-424E-942E-565B7324466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6="http://schemas.microsoft.com/office/drawing/2014/chart" uri="{C3380CC4-5D6E-409C-BE32-E72D297353CC}">
                  <c16:uniqueId val="{00000001-472E-424E-942E-565B7324466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(Analysis!$E$123,Analysis!$E$125)</c:f>
              <c:strCache>
                <c:ptCount val="2"/>
                <c:pt idx="0">
                  <c:v>Coverage</c:v>
                </c:pt>
                <c:pt idx="1">
                  <c:v>Gap</c:v>
                </c:pt>
              </c:strCache>
            </c:strRef>
          </c:cat>
          <c:val>
            <c:numRef>
              <c:f>(Analysis!$F$123,Analysis!$F$125)</c:f>
              <c:numCache>
                <c:formatCode>_(* #,##0_);_(* \(#,##0\);_(* "-"??_);_(@_)</c:formatCode>
                <c:ptCount val="2"/>
                <c:pt idx="0">
                  <c:v>97</c:v>
                </c:pt>
                <c:pt idx="1">
                  <c:v>41.300000000000011</c:v>
                </c:pt>
              </c:numCache>
            </c:numRef>
          </c:val>
          <c:extLst>
            <c:ext xmlns:c16="http://schemas.microsoft.com/office/drawing/2014/chart" uri="{C3380CC4-5D6E-409C-BE32-E72D297353CC}">
              <c16:uniqueId val="{00000000-472E-424E-942E-565B7324466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[20200720_Myanmar_WASH_4W_2020_Q2_All_Village_Consolidate.xlsx]Analysis!PivotTable5</c:name>
    <c:fmtId val="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Students received appropriate</a:t>
            </a:r>
            <a:r>
              <a:rPr lang="en-US" sz="1400" baseline="0"/>
              <a:t> hygiene messages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5942279090113737"/>
              <c:y val="1.662401574803149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260761154855643"/>
              <c:y val="8.4922717993584137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Analysis!$C$149</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2-0AE3-48F3-A5CE-E2623C17D9A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1-0AE3-48F3-A5CE-E2623C17D9A4}"/>
              </c:ext>
            </c:extLst>
          </c:dPt>
          <c:dLbls>
            <c:dLbl>
              <c:idx val="0"/>
              <c:layout>
                <c:manualLayout>
                  <c:x val="-0.1260761154855643"/>
                  <c:y val="8.492271799358413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E3-48F3-A5CE-E2623C17D9A4}"/>
                </c:ext>
              </c:extLst>
            </c:dLbl>
            <c:dLbl>
              <c:idx val="1"/>
              <c:layout>
                <c:manualLayout>
                  <c:x val="0.15942279090113737"/>
                  <c:y val="1.662401574803149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E3-48F3-A5CE-E2623C17D9A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Analysis!$B$150:$B$151</c:f>
              <c:strCache>
                <c:ptCount val="2"/>
                <c:pt idx="0">
                  <c:v>Boys</c:v>
                </c:pt>
                <c:pt idx="1">
                  <c:v>Girls</c:v>
                </c:pt>
              </c:strCache>
            </c:strRef>
          </c:cat>
          <c:val>
            <c:numRef>
              <c:f>Analysis!$C$150:$C$151</c:f>
              <c:numCache>
                <c:formatCode>General</c:formatCode>
                <c:ptCount val="2"/>
                <c:pt idx="0">
                  <c:v>3627</c:v>
                </c:pt>
                <c:pt idx="1">
                  <c:v>3673</c:v>
                </c:pt>
              </c:numCache>
            </c:numRef>
          </c:val>
          <c:extLst>
            <c:ext xmlns:c16="http://schemas.microsoft.com/office/drawing/2014/chart" uri="{C3380CC4-5D6E-409C-BE32-E72D297353CC}">
              <c16:uniqueId val="{00000000-0AE3-48F3-A5CE-E2623C17D9A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of people who</a:t>
            </a:r>
            <a:r>
              <a:rPr lang="en-US" baseline="0"/>
              <a:t> received appropriate hygiene messages in non-IDP sites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6-00A4-4427-9F03-1C8EEFD64B67}"/>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14-00A4-4427-9F03-1C8EEFD64B67}"/>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1A-00A4-4427-9F03-1C8EEFD64B67}"/>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21-00A4-4427-9F03-1C8EEFD64B67}"/>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27-00A4-4427-9F03-1C8EEFD64B67}"/>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C-00A4-4427-9F03-1C8EEFD64B67}"/>
              </c:ext>
            </c:extLst>
          </c:dPt>
          <c:dLbls>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14-00A4-4427-9F03-1C8EEFD64B67}"/>
                </c:ext>
              </c:extLst>
            </c:dLbl>
            <c:dLbl>
              <c:idx val="2"/>
              <c:layout>
                <c:manualLayout>
                  <c:x val="7.0511444381342145E-2"/>
                  <c:y val="5.18339310325780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A-00A4-4427-9F03-1C8EEFD64B67}"/>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21-00A4-4427-9F03-1C8EEFD64B67}"/>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27-00A4-4427-9F03-1C8EEFD64B67}"/>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C-00A4-4427-9F03-1C8EEFD64B6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Analysis!$E$136:$I$136</c:f>
              <c:strCache>
                <c:ptCount val="5"/>
                <c:pt idx="0">
                  <c:v>No Reached</c:v>
                </c:pt>
                <c:pt idx="1">
                  <c:v>Men</c:v>
                </c:pt>
                <c:pt idx="2">
                  <c:v>Women</c:v>
                </c:pt>
                <c:pt idx="3">
                  <c:v>Boys</c:v>
                </c:pt>
                <c:pt idx="4">
                  <c:v>Girls</c:v>
                </c:pt>
              </c:strCache>
            </c:strRef>
          </c:cat>
          <c:val>
            <c:numRef>
              <c:f>Analysis!$E$137:$I$137</c:f>
              <c:numCache>
                <c:formatCode>General</c:formatCode>
                <c:ptCount val="5"/>
                <c:pt idx="0">
                  <c:v>127775</c:v>
                </c:pt>
                <c:pt idx="1">
                  <c:v>7173</c:v>
                </c:pt>
                <c:pt idx="2">
                  <c:v>8633</c:v>
                </c:pt>
                <c:pt idx="3">
                  <c:v>4570</c:v>
                </c:pt>
                <c:pt idx="4">
                  <c:v>4441</c:v>
                </c:pt>
              </c:numCache>
            </c:numRef>
          </c:val>
          <c:extLst>
            <c:ext xmlns:c16="http://schemas.microsoft.com/office/drawing/2014/chart" uri="{C3380CC4-5D6E-409C-BE32-E72D297353CC}">
              <c16:uniqueId val="{00000000-00A4-4427-9F03-1C8EEFD64B67}"/>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PWD with adapted sanitation option at HH level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Analysis!$P$123</c:f>
              <c:strCache>
                <c:ptCount val="1"/>
                <c:pt idx="0">
                  <c:v> # of PWD with adapted sanitation option at HH level</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440E-4D99-91D2-203338F8244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2-440E-4D99-91D2-203338F8244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440E-4D99-91D2-203338F8244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Analysis!$Q$122:$R$122</c:f>
              <c:strCache>
                <c:ptCount val="2"/>
                <c:pt idx="0">
                  <c:v> Yes </c:v>
                </c:pt>
                <c:pt idx="1">
                  <c:v>No</c:v>
                </c:pt>
              </c:strCache>
            </c:strRef>
          </c:cat>
          <c:val>
            <c:numRef>
              <c:f>Analysis!$Q$123:$R$123</c:f>
              <c:numCache>
                <c:formatCode>_(* #,##0_);_(* \(#,##0\);_(* "-"??_);_(@_)</c:formatCode>
                <c:ptCount val="2"/>
                <c:pt idx="0">
                  <c:v>254</c:v>
                </c:pt>
                <c:pt idx="1">
                  <c:v>212</c:v>
                </c:pt>
              </c:numCache>
            </c:numRef>
          </c:val>
          <c:extLst>
            <c:ext xmlns:c16="http://schemas.microsoft.com/office/drawing/2014/chart" uri="{C3380CC4-5D6E-409C-BE32-E72D297353CC}">
              <c16:uniqueId val="{00000000-440E-4D99-91D2-203338F8244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Analysis!$T$78</c:f>
              <c:strCache>
                <c:ptCount val="1"/>
                <c:pt idx="0">
                  <c:v>Sum of HRP2</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C94F-4183-9122-2D3F8B95193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C94F-4183-9122-2D3F8B95193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Analysis!$U$77:$V$77</c:f>
              <c:strCache>
                <c:ptCount val="2"/>
                <c:pt idx="0">
                  <c:v> Access </c:v>
                </c:pt>
                <c:pt idx="1">
                  <c:v>No Access</c:v>
                </c:pt>
              </c:strCache>
            </c:strRef>
          </c:cat>
          <c:val>
            <c:numRef>
              <c:f>Analysis!$U$78:$V$78</c:f>
              <c:numCache>
                <c:formatCode>_(* #,##0_);_(* \(#,##0\);_(* "-"??_);_(@_)</c:formatCode>
                <c:ptCount val="2"/>
                <c:pt idx="0">
                  <c:v>45023</c:v>
                </c:pt>
                <c:pt idx="1">
                  <c:v>95998</c:v>
                </c:pt>
              </c:numCache>
            </c:numRef>
          </c:val>
          <c:extLst>
            <c:ext xmlns:c16="http://schemas.microsoft.com/office/drawing/2014/chart" uri="{C3380CC4-5D6E-409C-BE32-E72D297353CC}">
              <c16:uniqueId val="{00000000-1F4B-43D5-999E-F96F5F3557E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With Partners' Support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Analysis!$O$145</c:f>
              <c:strCache>
                <c:ptCount val="1"/>
                <c:pt idx="0">
                  <c:v>Accessed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Analysis!$N$146:$N$148</c:f>
              <c:strCache>
                <c:ptCount val="3"/>
                <c:pt idx="0">
                  <c:v> # People with access to soap</c:v>
                </c:pt>
                <c:pt idx="1">
                  <c:v> # People with access to Sanity Pads</c:v>
                </c:pt>
                <c:pt idx="2">
                  <c:v># people reached by regular dedicated hygiene promotion</c:v>
                </c:pt>
              </c:strCache>
            </c:strRef>
          </c:cat>
          <c:val>
            <c:numRef>
              <c:f>Analysis!$O$146:$O$148</c:f>
              <c:numCache>
                <c:formatCode>_(* #,##0_);_(* \(#,##0\);_(* "-"??_);_(@_)</c:formatCode>
                <c:ptCount val="3"/>
                <c:pt idx="0">
                  <c:v>26321</c:v>
                </c:pt>
                <c:pt idx="1">
                  <c:v>1099</c:v>
                </c:pt>
                <c:pt idx="2">
                  <c:v>24817</c:v>
                </c:pt>
              </c:numCache>
            </c:numRef>
          </c:val>
          <c:extLst>
            <c:ext xmlns:c16="http://schemas.microsoft.com/office/drawing/2014/chart" uri="{C3380CC4-5D6E-409C-BE32-E72D297353CC}">
              <c16:uniqueId val="{00000000-D2CF-40E7-A4D4-9AC53B52D312}"/>
            </c:ext>
          </c:extLst>
        </c:ser>
        <c:ser>
          <c:idx val="1"/>
          <c:order val="1"/>
          <c:tx>
            <c:strRef>
              <c:f>Analysis!$P$145</c:f>
              <c:strCache>
                <c:ptCount val="1"/>
                <c:pt idx="0">
                  <c:v>No Access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Analysis!$N$146:$N$148</c:f>
              <c:strCache>
                <c:ptCount val="3"/>
                <c:pt idx="0">
                  <c:v> # People with access to soap</c:v>
                </c:pt>
                <c:pt idx="1">
                  <c:v> # People with access to Sanity Pads</c:v>
                </c:pt>
                <c:pt idx="2">
                  <c:v># people reached by regular dedicated hygiene promotion</c:v>
                </c:pt>
              </c:strCache>
            </c:strRef>
          </c:cat>
          <c:val>
            <c:numRef>
              <c:f>Analysis!$P$146:$P$148</c:f>
              <c:numCache>
                <c:formatCode>_(* #,##0_);_(* \(#,##0\);_(* "-"??_);_(@_)</c:formatCode>
                <c:ptCount val="3"/>
                <c:pt idx="0">
                  <c:v>126271</c:v>
                </c:pt>
                <c:pt idx="1">
                  <c:v>44678.6</c:v>
                </c:pt>
                <c:pt idx="2">
                  <c:v>127775</c:v>
                </c:pt>
              </c:numCache>
            </c:numRef>
          </c:val>
          <c:extLst>
            <c:ext xmlns:c16="http://schemas.microsoft.com/office/drawing/2014/chart" uri="{C3380CC4-5D6E-409C-BE32-E72D297353CC}">
              <c16:uniqueId val="{00000001-D2CF-40E7-A4D4-9AC53B52D312}"/>
            </c:ext>
          </c:extLst>
        </c:ser>
        <c:dLbls>
          <c:dLblPos val="ctr"/>
          <c:showLegendKey val="0"/>
          <c:showVal val="1"/>
          <c:showCatName val="0"/>
          <c:showSerName val="0"/>
          <c:showPercent val="0"/>
          <c:showBubbleSize val="0"/>
        </c:dLbls>
        <c:gapWidth val="50"/>
        <c:overlap val="100"/>
        <c:axId val="1382135663"/>
        <c:axId val="1382398879"/>
      </c:barChart>
      <c:catAx>
        <c:axId val="138213566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82398879"/>
        <c:crosses val="autoZero"/>
        <c:auto val="1"/>
        <c:lblAlgn val="ctr"/>
        <c:lblOffset val="100"/>
        <c:noMultiLvlLbl val="0"/>
      </c:catAx>
      <c:valAx>
        <c:axId val="1382398879"/>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82135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Access to Water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rgbClr val="0070C0"/>
              </a:solidFill>
              <a:ln>
                <a:noFill/>
              </a:ln>
              <a:effectLst/>
            </c:spPr>
            <c:extLst>
              <c:ext xmlns:c16="http://schemas.microsoft.com/office/drawing/2014/chart" uri="{C3380CC4-5D6E-409C-BE32-E72D297353CC}">
                <c16:uniqueId val="{00000001-F262-4101-8A80-F83CF7A903C0}"/>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2-F262-4101-8A80-F83CF7A903C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Analysis!$M$35:$M$36</c:f>
              <c:strCache>
                <c:ptCount val="2"/>
                <c:pt idx="0">
                  <c:v># people access to sufficient quantity of safe drinking water</c:v>
                </c:pt>
                <c:pt idx="1">
                  <c:v># People accessed to unimproved water sources</c:v>
                </c:pt>
              </c:strCache>
            </c:strRef>
          </c:cat>
          <c:val>
            <c:numRef>
              <c:f>Analysis!$N$35:$N$36</c:f>
              <c:numCache>
                <c:formatCode>_(* #,##0_);_(* \(#,##0\);_(* "-"??_);_(@_)</c:formatCode>
                <c:ptCount val="2"/>
                <c:pt idx="0">
                  <c:v>97870</c:v>
                </c:pt>
                <c:pt idx="1">
                  <c:v>91210</c:v>
                </c:pt>
              </c:numCache>
            </c:numRef>
          </c:val>
          <c:extLst>
            <c:ext xmlns:c16="http://schemas.microsoft.com/office/drawing/2014/chart" uri="{C3380CC4-5D6E-409C-BE32-E72D297353CC}">
              <c16:uniqueId val="{00000000-F262-4101-8A80-F83CF7A903C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[20200720_Myanmar_WASH_4W_2020_Q2_All_Village_Consolidate.xlsx]Analysis!R_water1</c:name>
    <c:fmtId val="51"/>
  </c:pivotSource>
  <c:chart>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8842083056958751E-2"/>
          <c:y val="2.7777777777777776E-2"/>
          <c:w val="0.55221570600473824"/>
          <c:h val="0.8416746864975212"/>
        </c:manualLayout>
      </c:layout>
      <c:barChart>
        <c:barDir val="col"/>
        <c:grouping val="clustered"/>
        <c:varyColors val="0"/>
        <c:ser>
          <c:idx val="0"/>
          <c:order val="0"/>
          <c:tx>
            <c:strRef>
              <c:f>Analysis!$B$35</c:f>
              <c:strCache>
                <c:ptCount val="1"/>
                <c:pt idx="0">
                  <c:v> # Functioning protected hand dug well/open well</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Analysis!$B$36</c:f>
              <c:strCache>
                <c:ptCount val="1"/>
                <c:pt idx="0">
                  <c:v>Total</c:v>
                </c:pt>
              </c:strCache>
            </c:strRef>
          </c:cat>
          <c:val>
            <c:numRef>
              <c:f>Analysis!$B$36</c:f>
              <c:numCache>
                <c:formatCode>_(* #,##0_);_(* \(#,##0\);_(* "-"??_);_(@_)</c:formatCode>
                <c:ptCount val="1"/>
                <c:pt idx="0">
                  <c:v>921</c:v>
                </c:pt>
              </c:numCache>
            </c:numRef>
          </c:val>
          <c:extLst>
            <c:ext xmlns:c16="http://schemas.microsoft.com/office/drawing/2014/chart" uri="{C3380CC4-5D6E-409C-BE32-E72D297353CC}">
              <c16:uniqueId val="{00000000-D1CE-4788-A00B-E541EEA4EC30}"/>
            </c:ext>
          </c:extLst>
        </c:ser>
        <c:ser>
          <c:idx val="1"/>
          <c:order val="1"/>
          <c:tx>
            <c:strRef>
              <c:f>Analysis!$C$35</c:f>
              <c:strCache>
                <c:ptCount val="1"/>
                <c:pt idx="0">
                  <c:v> # Functioning Tube wells/boreholes/hand_pumps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Analysis!$B$36</c:f>
              <c:strCache>
                <c:ptCount val="1"/>
                <c:pt idx="0">
                  <c:v>Total</c:v>
                </c:pt>
              </c:strCache>
            </c:strRef>
          </c:cat>
          <c:val>
            <c:numRef>
              <c:f>Analysis!$C$36</c:f>
              <c:numCache>
                <c:formatCode>_(* #,##0_);_(* \(#,##0\);_(* "-"??_);_(@_)</c:formatCode>
                <c:ptCount val="1"/>
                <c:pt idx="0">
                  <c:v>6831</c:v>
                </c:pt>
              </c:numCache>
            </c:numRef>
          </c:val>
          <c:extLst>
            <c:ext xmlns:c16="http://schemas.microsoft.com/office/drawing/2014/chart" uri="{C3380CC4-5D6E-409C-BE32-E72D297353CC}">
              <c16:uniqueId val="{00000003-D1CE-4788-A00B-E541EEA4EC30}"/>
            </c:ext>
          </c:extLst>
        </c:ser>
        <c:ser>
          <c:idx val="2"/>
          <c:order val="2"/>
          <c:tx>
            <c:strRef>
              <c:f>Analysis!$D$35</c:f>
              <c:strCache>
                <c:ptCount val="1"/>
                <c:pt idx="0">
                  <c:v>  # Existing protected/fenced_ponds</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Analysis!$B$36</c:f>
              <c:strCache>
                <c:ptCount val="1"/>
                <c:pt idx="0">
                  <c:v>Total</c:v>
                </c:pt>
              </c:strCache>
            </c:strRef>
          </c:cat>
          <c:val>
            <c:numRef>
              <c:f>Analysis!$D$36</c:f>
              <c:numCache>
                <c:formatCode>_(* #,##0_);_(* \(#,##0\);_(* "-"??_);_(@_)</c:formatCode>
                <c:ptCount val="1"/>
                <c:pt idx="0">
                  <c:v>194</c:v>
                </c:pt>
              </c:numCache>
            </c:numRef>
          </c:val>
          <c:extLst>
            <c:ext xmlns:c16="http://schemas.microsoft.com/office/drawing/2014/chart" uri="{C3380CC4-5D6E-409C-BE32-E72D297353CC}">
              <c16:uniqueId val="{00000004-D1CE-4788-A00B-E541EEA4EC30}"/>
            </c:ext>
          </c:extLst>
        </c:ser>
        <c:dLbls>
          <c:showLegendKey val="0"/>
          <c:showVal val="0"/>
          <c:showCatName val="0"/>
          <c:showSerName val="0"/>
          <c:showPercent val="0"/>
          <c:showBubbleSize val="0"/>
        </c:dLbls>
        <c:gapWidth val="100"/>
        <c:overlap val="-24"/>
        <c:axId val="834064320"/>
        <c:axId val="824219760"/>
      </c:barChart>
      <c:catAx>
        <c:axId val="8340643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4219760"/>
        <c:crosses val="autoZero"/>
        <c:auto val="1"/>
        <c:lblAlgn val="ctr"/>
        <c:lblOffset val="100"/>
        <c:noMultiLvlLbl val="0"/>
      </c:catAx>
      <c:valAx>
        <c:axId val="824219760"/>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4064320"/>
        <c:crosses val="autoZero"/>
        <c:crossBetween val="between"/>
      </c:valAx>
      <c:spPr>
        <a:noFill/>
        <a:ln>
          <a:noFill/>
        </a:ln>
        <a:effectLst/>
      </c:spPr>
    </c:plotArea>
    <c:legend>
      <c:legendPos val="r"/>
      <c:layout>
        <c:manualLayout>
          <c:xMode val="edge"/>
          <c:yMode val="edge"/>
          <c:x val="0.61349580701916917"/>
          <c:y val="0.33875148446033815"/>
          <c:w val="0.37479620495247895"/>
          <c:h val="0.5050015835330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1612781656401217"/>
          <c:y val="0.11493115019255251"/>
          <c:w val="0.62188569619991574"/>
          <c:h val="0.82620867752909466"/>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Dashboard'!$A$30:$B$56</c:f>
              <c:multiLvlStrCache>
                <c:ptCount val="22"/>
                <c:lvl>
                  <c:pt idx="0">
                    <c:v>Myitkyina</c:v>
                  </c:pt>
                  <c:pt idx="1">
                    <c:v>Sumprabum</c:v>
                  </c:pt>
                  <c:pt idx="2">
                    <c:v>Waingmaw</c:v>
                  </c:pt>
                  <c:pt idx="3">
                    <c:v>Injangyang</c:v>
                  </c:pt>
                  <c:pt idx="4">
                    <c:v>Hseni</c:v>
                  </c:pt>
                  <c:pt idx="5">
                    <c:v>Lashio</c:v>
                  </c:pt>
                  <c:pt idx="6">
                    <c:v>Aik Chan (Ai' Chun)</c:v>
                  </c:pt>
                  <c:pt idx="7">
                    <c:v>Yin Pang</c:v>
                  </c:pt>
                  <c:pt idx="8">
                    <c:v>Nam Hkam Wu</c:v>
                  </c:pt>
                  <c:pt idx="9">
                    <c:v>Pang Hkam</c:v>
                  </c:pt>
                  <c:pt idx="10">
                    <c:v>Kawng Min Hsang</c:v>
                  </c:pt>
                  <c:pt idx="11">
                    <c:v>WA</c:v>
                  </c:pt>
                  <c:pt idx="12">
                    <c:v>SR4</c:v>
                  </c:pt>
                  <c:pt idx="13">
                    <c:v>KOK</c:v>
                  </c:pt>
                  <c:pt idx="14">
                    <c:v>Laukkaing (Kokang SAZ)</c:v>
                  </c:pt>
                  <c:pt idx="15">
                    <c:v>Kyaukpyu</c:v>
                  </c:pt>
                  <c:pt idx="16">
                    <c:v>Kyauktaw</c:v>
                  </c:pt>
                  <c:pt idx="17">
                    <c:v>Minbya</c:v>
                  </c:pt>
                  <c:pt idx="18">
                    <c:v>Myebon</c:v>
                  </c:pt>
                  <c:pt idx="19">
                    <c:v>Pauktaw</c:v>
                  </c:pt>
                  <c:pt idx="20">
                    <c:v>Sittwe</c:v>
                  </c:pt>
                  <c:pt idx="21">
                    <c:v>Hlaing Bwe</c:v>
                  </c:pt>
                </c:lvl>
                <c:lvl>
                  <c:pt idx="0">
                    <c:v>Kachin</c:v>
                  </c:pt>
                  <c:pt idx="4">
                    <c:v>Shan (North)</c:v>
                  </c:pt>
                  <c:pt idx="15">
                    <c:v>Central Rakhine</c:v>
                  </c:pt>
                  <c:pt idx="21">
                    <c:v>Kayin</c:v>
                  </c:pt>
                </c:lvl>
              </c:multiLvlStrCache>
            </c:multiLvlStrRef>
          </c:cat>
          <c:val>
            <c:numRef>
              <c:f>'Quarterly Dashboard'!$C$30:$C$56</c:f>
              <c:numCache>
                <c:formatCode>General</c:formatCode>
                <c:ptCount val="22"/>
                <c:pt idx="0">
                  <c:v>964</c:v>
                </c:pt>
                <c:pt idx="1">
                  <c:v>2306</c:v>
                </c:pt>
                <c:pt idx="2">
                  <c:v>10084</c:v>
                </c:pt>
                <c:pt idx="3">
                  <c:v>3741</c:v>
                </c:pt>
                <c:pt idx="4">
                  <c:v>413</c:v>
                </c:pt>
                <c:pt idx="5">
                  <c:v>1342</c:v>
                </c:pt>
                <c:pt idx="6">
                  <c:v>1209</c:v>
                </c:pt>
                <c:pt idx="7">
                  <c:v>871</c:v>
                </c:pt>
                <c:pt idx="8">
                  <c:v>937</c:v>
                </c:pt>
                <c:pt idx="9">
                  <c:v>617</c:v>
                </c:pt>
                <c:pt idx="10">
                  <c:v>272</c:v>
                </c:pt>
                <c:pt idx="11">
                  <c:v>5336</c:v>
                </c:pt>
                <c:pt idx="12">
                  <c:v>4563</c:v>
                </c:pt>
                <c:pt idx="13">
                  <c:v>291</c:v>
                </c:pt>
                <c:pt idx="14">
                  <c:v>4171</c:v>
                </c:pt>
                <c:pt idx="15">
                  <c:v>3451</c:v>
                </c:pt>
                <c:pt idx="16">
                  <c:v>20186</c:v>
                </c:pt>
                <c:pt idx="17">
                  <c:v>49926</c:v>
                </c:pt>
                <c:pt idx="18">
                  <c:v>434</c:v>
                </c:pt>
                <c:pt idx="19">
                  <c:v>30582</c:v>
                </c:pt>
                <c:pt idx="20">
                  <c:v>170635</c:v>
                </c:pt>
                <c:pt idx="21">
                  <c:v>7593</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Dashboard'!$A$30:$B$56</c:f>
              <c:multiLvlStrCache>
                <c:ptCount val="22"/>
                <c:lvl>
                  <c:pt idx="0">
                    <c:v>Myitkyina</c:v>
                  </c:pt>
                  <c:pt idx="1">
                    <c:v>Sumprabum</c:v>
                  </c:pt>
                  <c:pt idx="2">
                    <c:v>Waingmaw</c:v>
                  </c:pt>
                  <c:pt idx="3">
                    <c:v>Injangyang</c:v>
                  </c:pt>
                  <c:pt idx="4">
                    <c:v>Hseni</c:v>
                  </c:pt>
                  <c:pt idx="5">
                    <c:v>Lashio</c:v>
                  </c:pt>
                  <c:pt idx="6">
                    <c:v>Aik Chan (Ai' Chun)</c:v>
                  </c:pt>
                  <c:pt idx="7">
                    <c:v>Yin Pang</c:v>
                  </c:pt>
                  <c:pt idx="8">
                    <c:v>Nam Hkam Wu</c:v>
                  </c:pt>
                  <c:pt idx="9">
                    <c:v>Pang Hkam</c:v>
                  </c:pt>
                  <c:pt idx="10">
                    <c:v>Kawng Min Hsang</c:v>
                  </c:pt>
                  <c:pt idx="11">
                    <c:v>WA</c:v>
                  </c:pt>
                  <c:pt idx="12">
                    <c:v>SR4</c:v>
                  </c:pt>
                  <c:pt idx="13">
                    <c:v>KOK</c:v>
                  </c:pt>
                  <c:pt idx="14">
                    <c:v>Laukkaing (Kokang SAZ)</c:v>
                  </c:pt>
                  <c:pt idx="15">
                    <c:v>Kyaukpyu</c:v>
                  </c:pt>
                  <c:pt idx="16">
                    <c:v>Kyauktaw</c:v>
                  </c:pt>
                  <c:pt idx="17">
                    <c:v>Minbya</c:v>
                  </c:pt>
                  <c:pt idx="18">
                    <c:v>Myebon</c:v>
                  </c:pt>
                  <c:pt idx="19">
                    <c:v>Pauktaw</c:v>
                  </c:pt>
                  <c:pt idx="20">
                    <c:v>Sittwe</c:v>
                  </c:pt>
                  <c:pt idx="21">
                    <c:v>Hlaing Bwe</c:v>
                  </c:pt>
                </c:lvl>
                <c:lvl>
                  <c:pt idx="0">
                    <c:v>Kachin</c:v>
                  </c:pt>
                  <c:pt idx="4">
                    <c:v>Shan (North)</c:v>
                  </c:pt>
                  <c:pt idx="15">
                    <c:v>Central Rakhine</c:v>
                  </c:pt>
                  <c:pt idx="21">
                    <c:v>Kayin</c:v>
                  </c:pt>
                </c:lvl>
              </c:multiLvlStrCache>
            </c:multiLvlStrRef>
          </c:cat>
          <c:val>
            <c:numRef>
              <c:f>'Quarterly Dashboard'!$D$30:$D$56</c:f>
              <c:numCache>
                <c:formatCode>General</c:formatCode>
                <c:ptCount val="22"/>
                <c:pt idx="0">
                  <c:v>54</c:v>
                </c:pt>
                <c:pt idx="1">
                  <c:v>0</c:v>
                </c:pt>
                <c:pt idx="2">
                  <c:v>608</c:v>
                </c:pt>
                <c:pt idx="3">
                  <c:v>0</c:v>
                </c:pt>
                <c:pt idx="4">
                  <c:v>228</c:v>
                </c:pt>
                <c:pt idx="5">
                  <c:v>816</c:v>
                </c:pt>
                <c:pt idx="6">
                  <c:v>489</c:v>
                </c:pt>
                <c:pt idx="7">
                  <c:v>436</c:v>
                </c:pt>
                <c:pt idx="8">
                  <c:v>105</c:v>
                </c:pt>
                <c:pt idx="9">
                  <c:v>75</c:v>
                </c:pt>
                <c:pt idx="10">
                  <c:v>103</c:v>
                </c:pt>
                <c:pt idx="11">
                  <c:v>0</c:v>
                </c:pt>
                <c:pt idx="12">
                  <c:v>0</c:v>
                </c:pt>
                <c:pt idx="13">
                  <c:v>67</c:v>
                </c:pt>
                <c:pt idx="14">
                  <c:v>0</c:v>
                </c:pt>
                <c:pt idx="15">
                  <c:v>0</c:v>
                </c:pt>
                <c:pt idx="16">
                  <c:v>253</c:v>
                </c:pt>
                <c:pt idx="17">
                  <c:v>1443</c:v>
                </c:pt>
                <c:pt idx="18">
                  <c:v>434</c:v>
                </c:pt>
                <c:pt idx="19">
                  <c:v>13381</c:v>
                </c:pt>
                <c:pt idx="20">
                  <c:v>56431</c:v>
                </c:pt>
                <c:pt idx="21">
                  <c:v>0</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Dashboard'!$A$30:$B$56</c:f>
              <c:multiLvlStrCache>
                <c:ptCount val="22"/>
                <c:lvl>
                  <c:pt idx="0">
                    <c:v>Myitkyina</c:v>
                  </c:pt>
                  <c:pt idx="1">
                    <c:v>Sumprabum</c:v>
                  </c:pt>
                  <c:pt idx="2">
                    <c:v>Waingmaw</c:v>
                  </c:pt>
                  <c:pt idx="3">
                    <c:v>Injangyang</c:v>
                  </c:pt>
                  <c:pt idx="4">
                    <c:v>Hseni</c:v>
                  </c:pt>
                  <c:pt idx="5">
                    <c:v>Lashio</c:v>
                  </c:pt>
                  <c:pt idx="6">
                    <c:v>Aik Chan (Ai' Chun)</c:v>
                  </c:pt>
                  <c:pt idx="7">
                    <c:v>Yin Pang</c:v>
                  </c:pt>
                  <c:pt idx="8">
                    <c:v>Nam Hkam Wu</c:v>
                  </c:pt>
                  <c:pt idx="9">
                    <c:v>Pang Hkam</c:v>
                  </c:pt>
                  <c:pt idx="10">
                    <c:v>Kawng Min Hsang</c:v>
                  </c:pt>
                  <c:pt idx="11">
                    <c:v>WA</c:v>
                  </c:pt>
                  <c:pt idx="12">
                    <c:v>SR4</c:v>
                  </c:pt>
                  <c:pt idx="13">
                    <c:v>KOK</c:v>
                  </c:pt>
                  <c:pt idx="14">
                    <c:v>Laukkaing (Kokang SAZ)</c:v>
                  </c:pt>
                  <c:pt idx="15">
                    <c:v>Kyaukpyu</c:v>
                  </c:pt>
                  <c:pt idx="16">
                    <c:v>Kyauktaw</c:v>
                  </c:pt>
                  <c:pt idx="17">
                    <c:v>Minbya</c:v>
                  </c:pt>
                  <c:pt idx="18">
                    <c:v>Myebon</c:v>
                  </c:pt>
                  <c:pt idx="19">
                    <c:v>Pauktaw</c:v>
                  </c:pt>
                  <c:pt idx="20">
                    <c:v>Sittwe</c:v>
                  </c:pt>
                  <c:pt idx="21">
                    <c:v>Hlaing Bwe</c:v>
                  </c:pt>
                </c:lvl>
                <c:lvl>
                  <c:pt idx="0">
                    <c:v>Kachin</c:v>
                  </c:pt>
                  <c:pt idx="4">
                    <c:v>Shan (North)</c:v>
                  </c:pt>
                  <c:pt idx="15">
                    <c:v>Central Rakhine</c:v>
                  </c:pt>
                  <c:pt idx="21">
                    <c:v>Kayin</c:v>
                  </c:pt>
                </c:lvl>
              </c:multiLvlStrCache>
            </c:multiLvlStrRef>
          </c:cat>
          <c:val>
            <c:numRef>
              <c:f>'Quarterly Dashboard'!$E$30:$E$56</c:f>
              <c:numCache>
                <c:formatCode>General</c:formatCode>
                <c:ptCount val="22"/>
                <c:pt idx="0">
                  <c:v>600</c:v>
                </c:pt>
                <c:pt idx="1">
                  <c:v>0</c:v>
                </c:pt>
                <c:pt idx="2">
                  <c:v>2740</c:v>
                </c:pt>
                <c:pt idx="3">
                  <c:v>0</c:v>
                </c:pt>
                <c:pt idx="4">
                  <c:v>320</c:v>
                </c:pt>
                <c:pt idx="5">
                  <c:v>1262</c:v>
                </c:pt>
                <c:pt idx="6">
                  <c:v>18</c:v>
                </c:pt>
                <c:pt idx="7">
                  <c:v>0</c:v>
                </c:pt>
                <c:pt idx="8">
                  <c:v>0</c:v>
                </c:pt>
                <c:pt idx="9">
                  <c:v>156</c:v>
                </c:pt>
                <c:pt idx="10">
                  <c:v>0</c:v>
                </c:pt>
                <c:pt idx="11">
                  <c:v>819</c:v>
                </c:pt>
                <c:pt idx="12">
                  <c:v>1494</c:v>
                </c:pt>
                <c:pt idx="13">
                  <c:v>42</c:v>
                </c:pt>
                <c:pt idx="14">
                  <c:v>812</c:v>
                </c:pt>
                <c:pt idx="15">
                  <c:v>323</c:v>
                </c:pt>
                <c:pt idx="16">
                  <c:v>8650</c:v>
                </c:pt>
                <c:pt idx="17">
                  <c:v>25618</c:v>
                </c:pt>
                <c:pt idx="18">
                  <c:v>434</c:v>
                </c:pt>
                <c:pt idx="19">
                  <c:v>2580</c:v>
                </c:pt>
                <c:pt idx="20">
                  <c:v>51810</c:v>
                </c:pt>
                <c:pt idx="21">
                  <c:v>4602</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Dashboard'!$A$30:$B$56</c:f>
              <c:multiLvlStrCache>
                <c:ptCount val="22"/>
                <c:lvl>
                  <c:pt idx="0">
                    <c:v>Myitkyina</c:v>
                  </c:pt>
                  <c:pt idx="1">
                    <c:v>Sumprabum</c:v>
                  </c:pt>
                  <c:pt idx="2">
                    <c:v>Waingmaw</c:v>
                  </c:pt>
                  <c:pt idx="3">
                    <c:v>Injangyang</c:v>
                  </c:pt>
                  <c:pt idx="4">
                    <c:v>Hseni</c:v>
                  </c:pt>
                  <c:pt idx="5">
                    <c:v>Lashio</c:v>
                  </c:pt>
                  <c:pt idx="6">
                    <c:v>Aik Chan (Ai' Chun)</c:v>
                  </c:pt>
                  <c:pt idx="7">
                    <c:v>Yin Pang</c:v>
                  </c:pt>
                  <c:pt idx="8">
                    <c:v>Nam Hkam Wu</c:v>
                  </c:pt>
                  <c:pt idx="9">
                    <c:v>Pang Hkam</c:v>
                  </c:pt>
                  <c:pt idx="10">
                    <c:v>Kawng Min Hsang</c:v>
                  </c:pt>
                  <c:pt idx="11">
                    <c:v>WA</c:v>
                  </c:pt>
                  <c:pt idx="12">
                    <c:v>SR4</c:v>
                  </c:pt>
                  <c:pt idx="13">
                    <c:v>KOK</c:v>
                  </c:pt>
                  <c:pt idx="14">
                    <c:v>Laukkaing (Kokang SAZ)</c:v>
                  </c:pt>
                  <c:pt idx="15">
                    <c:v>Kyaukpyu</c:v>
                  </c:pt>
                  <c:pt idx="16">
                    <c:v>Kyauktaw</c:v>
                  </c:pt>
                  <c:pt idx="17">
                    <c:v>Minbya</c:v>
                  </c:pt>
                  <c:pt idx="18">
                    <c:v>Myebon</c:v>
                  </c:pt>
                  <c:pt idx="19">
                    <c:v>Pauktaw</c:v>
                  </c:pt>
                  <c:pt idx="20">
                    <c:v>Sittwe</c:v>
                  </c:pt>
                  <c:pt idx="21">
                    <c:v>Hlaing Bwe</c:v>
                  </c:pt>
                </c:lvl>
                <c:lvl>
                  <c:pt idx="0">
                    <c:v>Kachin</c:v>
                  </c:pt>
                  <c:pt idx="4">
                    <c:v>Shan (North)</c:v>
                  </c:pt>
                  <c:pt idx="15">
                    <c:v>Central Rakhine</c:v>
                  </c:pt>
                  <c:pt idx="21">
                    <c:v>Kayin</c:v>
                  </c:pt>
                </c:lvl>
              </c:multiLvlStrCache>
            </c:multiLvlStrRef>
          </c:cat>
          <c:val>
            <c:numRef>
              <c:f>'Quarterly Dashboard'!$F$30:$F$56</c:f>
              <c:numCache>
                <c:formatCode>General</c:formatCode>
                <c:ptCount val="22"/>
                <c:pt idx="0">
                  <c:v>964</c:v>
                </c:pt>
                <c:pt idx="1">
                  <c:v>0</c:v>
                </c:pt>
                <c:pt idx="2">
                  <c:v>4844</c:v>
                </c:pt>
                <c:pt idx="3">
                  <c:v>0</c:v>
                </c:pt>
                <c:pt idx="4">
                  <c:v>170</c:v>
                </c:pt>
                <c:pt idx="5">
                  <c:v>260</c:v>
                </c:pt>
                <c:pt idx="6">
                  <c:v>0</c:v>
                </c:pt>
                <c:pt idx="7">
                  <c:v>0</c:v>
                </c:pt>
                <c:pt idx="8">
                  <c:v>0</c:v>
                </c:pt>
                <c:pt idx="9">
                  <c:v>0</c:v>
                </c:pt>
                <c:pt idx="10">
                  <c:v>0</c:v>
                </c:pt>
                <c:pt idx="11">
                  <c:v>0</c:v>
                </c:pt>
                <c:pt idx="12">
                  <c:v>0</c:v>
                </c:pt>
                <c:pt idx="13">
                  <c:v>0</c:v>
                </c:pt>
                <c:pt idx="14">
                  <c:v>2624</c:v>
                </c:pt>
                <c:pt idx="15">
                  <c:v>323</c:v>
                </c:pt>
                <c:pt idx="16">
                  <c:v>14886</c:v>
                </c:pt>
                <c:pt idx="17">
                  <c:v>49926</c:v>
                </c:pt>
                <c:pt idx="18">
                  <c:v>434</c:v>
                </c:pt>
                <c:pt idx="19">
                  <c:v>30582</c:v>
                </c:pt>
                <c:pt idx="20">
                  <c:v>129162</c:v>
                </c:pt>
                <c:pt idx="21">
                  <c:v>7144</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8223399264"/>
          <c:y val="0.2294476557200536"/>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[20200720_Myanmar_WASH_4W_2020_Q2_All_Village_Consolidate.xlsx]Analysis!R_Geo</c:name>
    <c:fmtId val="33"/>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4033474602027133E-2"/>
          <c:y val="0.18660326932633103"/>
          <c:w val="0.70386355380808219"/>
          <c:h val="0.61659333224571267"/>
        </c:manualLayout>
      </c:layout>
      <c:barChart>
        <c:barDir val="bar"/>
        <c:grouping val="clustered"/>
        <c:varyColors val="0"/>
        <c:ser>
          <c:idx val="0"/>
          <c:order val="0"/>
          <c:tx>
            <c:strRef>
              <c:f>Analysis!$I$189:$I$190</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Analysis!$H$191</c:f>
              <c:strCache>
                <c:ptCount val="1"/>
                <c:pt idx="0">
                  <c:v>Village</c:v>
                </c:pt>
              </c:strCache>
            </c:strRef>
          </c:cat>
          <c:val>
            <c:numRef>
              <c:f>Analysis!$I$191</c:f>
              <c:numCache>
                <c:formatCode>General</c:formatCode>
                <c:ptCount val="1"/>
                <c:pt idx="0">
                  <c:v>126</c:v>
                </c:pt>
              </c:numCache>
            </c:numRef>
          </c:val>
          <c:extLst>
            <c:ext xmlns:c16="http://schemas.microsoft.com/office/drawing/2014/chart" uri="{C3380CC4-5D6E-409C-BE32-E72D297353CC}">
              <c16:uniqueId val="{00000000-BD5C-4B33-A72A-BB3EB2213EEB}"/>
            </c:ext>
          </c:extLst>
        </c:ser>
        <c:dLbls>
          <c:dLblPos val="outEnd"/>
          <c:showLegendKey val="0"/>
          <c:showVal val="1"/>
          <c:showCatName val="0"/>
          <c:showSerName val="0"/>
          <c:showPercent val="0"/>
          <c:showBubbleSize val="0"/>
        </c:dLbls>
        <c:gapWidth val="100"/>
        <c:axId val="417007224"/>
        <c:axId val="417013496"/>
      </c:barChart>
      <c:catAx>
        <c:axId val="417007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13496"/>
        <c:crosses val="autoZero"/>
        <c:auto val="1"/>
        <c:lblAlgn val="ctr"/>
        <c:lblOffset val="100"/>
        <c:noMultiLvlLbl val="0"/>
      </c:catAx>
      <c:valAx>
        <c:axId val="4170134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7224"/>
        <c:crosses val="autoZero"/>
        <c:crossBetween val="between"/>
      </c:valAx>
      <c:spPr>
        <a:noFill/>
        <a:ln>
          <a:noFill/>
        </a:ln>
        <a:effectLst/>
      </c:spPr>
    </c:plotArea>
    <c:legend>
      <c:legendPos val="r"/>
      <c:layout>
        <c:manualLayout>
          <c:xMode val="edge"/>
          <c:yMode val="edge"/>
          <c:x val="0.88825752779955003"/>
          <c:y val="0.38298215948169401"/>
          <c:w val="0.11174249534321064"/>
          <c:h val="9.861407451337715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Number of ppl Covered against 2020 HRP targets</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0.48411962887625587"/>
          <c:y val="0.10167668696838546"/>
          <c:w val="0.46523678440230043"/>
          <c:h val="0.79980514266690172"/>
        </c:manualLayout>
      </c:layout>
      <c:barChart>
        <c:barDir val="bar"/>
        <c:grouping val="percentStacked"/>
        <c:varyColors val="0"/>
        <c:ser>
          <c:idx val="0"/>
          <c:order val="0"/>
          <c:tx>
            <c:strRef>
              <c:f>HRP!$E$56</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82EC-4DD7-AC7E-DD0A62556135}"/>
              </c:ext>
            </c:extLst>
          </c:dPt>
          <c:dPt>
            <c:idx val="2"/>
            <c:invertIfNegative val="0"/>
            <c:bubble3D val="0"/>
            <c:spPr>
              <a:solidFill>
                <a:srgbClr val="0070C0"/>
              </a:solidFill>
              <a:ln>
                <a:noFill/>
              </a:ln>
              <a:effectLst/>
            </c:spPr>
            <c:extLst>
              <c:ext xmlns:c16="http://schemas.microsoft.com/office/drawing/2014/chart" uri="{C3380CC4-5D6E-409C-BE32-E72D297353CC}">
                <c16:uniqueId val="{00000003-82EC-4DD7-AC7E-DD0A62556135}"/>
              </c:ext>
            </c:extLst>
          </c:dPt>
          <c:dLbls>
            <c:dLbl>
              <c:idx val="0"/>
              <c:layout>
                <c:manualLayout>
                  <c:x val="1.9236634564733027E-2"/>
                  <c:y val="-2.4734151929968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EC-4DD7-AC7E-DD0A62556135}"/>
                </c:ext>
              </c:extLst>
            </c:dLbl>
            <c:dLbl>
              <c:idx val="1"/>
              <c:layout>
                <c:manualLayout>
                  <c:x val="3.0262156910700094E-2"/>
                  <c:y val="-3.22163806526436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EC-4DD7-AC7E-DD0A62556135}"/>
                </c:ext>
              </c:extLst>
            </c:dLbl>
            <c:dLbl>
              <c:idx val="2"/>
              <c:layout>
                <c:manualLayout>
                  <c:x val="3.1216471481786908E-2"/>
                  <c:y val="-2.47338915662298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EC-4DD7-AC7E-DD0A6255613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HRP!$C$57:$C$59</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HRP!$E$57:$E$59</c:f>
              <c:numCache>
                <c:formatCode>_(* #,##0_);_(* \(#,##0\);_(* "-"??_);_(@_)</c:formatCode>
                <c:ptCount val="3"/>
                <c:pt idx="0">
                  <c:v>41621</c:v>
                </c:pt>
                <c:pt idx="1">
                  <c:v>45023</c:v>
                </c:pt>
                <c:pt idx="2">
                  <c:v>113604</c:v>
                </c:pt>
              </c:numCache>
            </c:numRef>
          </c:val>
          <c:extLst>
            <c:ext xmlns:c16="http://schemas.microsoft.com/office/drawing/2014/chart" uri="{C3380CC4-5D6E-409C-BE32-E72D297353CC}">
              <c16:uniqueId val="{00000005-82EC-4DD7-AC7E-DD0A62556135}"/>
            </c:ext>
          </c:extLst>
        </c:ser>
        <c:ser>
          <c:idx val="1"/>
          <c:order val="1"/>
          <c:tx>
            <c:strRef>
              <c:f>HRP!$F$56</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82EC-4DD7-AC7E-DD0A62556135}"/>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9-82EC-4DD7-AC7E-DD0A6255613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HRP!$C$57:$C$59</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HRP!$F$57:$F$59</c:f>
              <c:numCache>
                <c:formatCode>_(* #,##0_);_(* \(#,##0\);_(* "-"??_);_(@_)</c:formatCode>
                <c:ptCount val="3"/>
                <c:pt idx="0">
                  <c:v>221082</c:v>
                </c:pt>
                <c:pt idx="1">
                  <c:v>217680</c:v>
                </c:pt>
                <c:pt idx="2">
                  <c:v>149099</c:v>
                </c:pt>
              </c:numCache>
            </c:numRef>
          </c:val>
          <c:extLst>
            <c:ext xmlns:c16="http://schemas.microsoft.com/office/drawing/2014/chart" uri="{C3380CC4-5D6E-409C-BE32-E72D297353CC}">
              <c16:uniqueId val="{0000000A-82EC-4DD7-AC7E-DD0A62556135}"/>
            </c:ext>
          </c:extLst>
        </c:ser>
        <c:dLbls>
          <c:showLegendKey val="0"/>
          <c:showVal val="0"/>
          <c:showCatName val="0"/>
          <c:showSerName val="0"/>
          <c:showPercent val="0"/>
          <c:showBubbleSize val="0"/>
        </c:dLbls>
        <c:gapWidth val="150"/>
        <c:overlap val="100"/>
        <c:axId val="419840080"/>
        <c:axId val="419840472"/>
      </c:barChart>
      <c:catAx>
        <c:axId val="4198400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419840472"/>
        <c:crosses val="autoZero"/>
        <c:auto val="1"/>
        <c:lblAlgn val="ctr"/>
        <c:lblOffset val="100"/>
        <c:noMultiLvlLbl val="0"/>
      </c:catAx>
      <c:valAx>
        <c:axId val="41984047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008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 in Schools (50:1)</a:t>
            </a:r>
          </a:p>
        </c:rich>
      </c:tx>
      <c:layout>
        <c:manualLayout>
          <c:xMode val="edge"/>
          <c:yMode val="edge"/>
          <c:x val="0.14402088429020482"/>
          <c:y val="0"/>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1074152561316916"/>
          <c:y val="0.31605206885900688"/>
          <c:w val="0.49014312225503515"/>
          <c:h val="0.51307933115103388"/>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F2FC-4680-8196-110FDDFEEA5C}"/>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F2FC-4680-8196-110FDDFEEA5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2FC-4680-8196-110FDDFEEA5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(Analysis!$E$123,Analysis!$E$125)</c:f>
              <c:strCache>
                <c:ptCount val="2"/>
                <c:pt idx="0">
                  <c:v>Coverage</c:v>
                </c:pt>
                <c:pt idx="1">
                  <c:v>Gap</c:v>
                </c:pt>
              </c:strCache>
            </c:strRef>
          </c:cat>
          <c:val>
            <c:numRef>
              <c:f>(Analysis!$F$123,Analysis!$F$125)</c:f>
              <c:numCache>
                <c:formatCode>_(* #,##0_);_(* \(#,##0\);_(* "-"??_);_(@_)</c:formatCode>
                <c:ptCount val="2"/>
                <c:pt idx="0">
                  <c:v>97</c:v>
                </c:pt>
                <c:pt idx="1">
                  <c:v>41.300000000000011</c:v>
                </c:pt>
              </c:numCache>
            </c:numRef>
          </c:val>
          <c:extLst>
            <c:ext xmlns:c16="http://schemas.microsoft.com/office/drawing/2014/chart" uri="{C3380CC4-5D6E-409C-BE32-E72D297353CC}">
              <c16:uniqueId val="{00000004-F2FC-4680-8196-110FDDFEEA5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[20200720_Myanmar_WASH_4W_2020_Q2_All_Village_Consolidate.xlsx]Analysis!PivotTable2</c:name>
    <c:fmtId val="1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non-IDP sites with schools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bg1">
              <a:lumMod val="50000"/>
            </a:schemeClr>
          </a:solidFill>
          <a:ln>
            <a:noFill/>
          </a:ln>
          <a:effectLst/>
        </c:spPr>
      </c:pivotFmt>
      <c:pivotFmt>
        <c:idx val="2"/>
        <c:spPr>
          <a:solidFill>
            <a:schemeClr val="bg1">
              <a:lumMod val="85000"/>
            </a:schemeClr>
          </a:solidFill>
          <a:ln>
            <a:noFill/>
          </a:ln>
          <a:effectLst/>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bg1">
              <a:lumMod val="50000"/>
            </a:schemeClr>
          </a:solidFill>
          <a:ln>
            <a:noFill/>
          </a:ln>
          <a:effectLst/>
        </c:spPr>
      </c:pivotFmt>
      <c:pivotFmt>
        <c:idx val="5"/>
        <c:spPr>
          <a:solidFill>
            <a:schemeClr val="bg1">
              <a:lumMod val="85000"/>
            </a:schemeClr>
          </a:solidFill>
          <a:ln>
            <a:noFill/>
          </a:ln>
          <a:effectLst/>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7"/>
        <c:spPr>
          <a:solidFill>
            <a:srgbClr val="7030A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rgbClr val="D692D6"/>
          </a:solidFill>
          <a:ln>
            <a:noFill/>
          </a:ln>
          <a:effectLst/>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0"/>
        <c:spPr>
          <a:solidFill>
            <a:srgbClr val="7030A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rgbClr val="D692D6"/>
          </a:solidFill>
          <a:ln>
            <a:noFill/>
          </a:ln>
          <a:effectLst/>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manualLayout>
          <c:layoutTarget val="inner"/>
          <c:xMode val="edge"/>
          <c:yMode val="edge"/>
          <c:x val="0.18228953372427684"/>
          <c:y val="0.27295917494008903"/>
          <c:w val="0.51615952809687449"/>
          <c:h val="0.5420609380349195"/>
        </c:manualLayout>
      </c:layout>
      <c:pieChart>
        <c:varyColors val="1"/>
        <c:ser>
          <c:idx val="0"/>
          <c:order val="0"/>
          <c:tx>
            <c:strRef>
              <c:f>Analysis!$D$285</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451D-4279-BFA3-D4C3608C52D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451D-4279-BFA3-D4C3608C52D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Analysis!$C$286:$C$287</c:f>
              <c:strCache>
                <c:ptCount val="2"/>
                <c:pt idx="0">
                  <c:v>Yes</c:v>
                </c:pt>
                <c:pt idx="1">
                  <c:v>No</c:v>
                </c:pt>
              </c:strCache>
            </c:strRef>
          </c:cat>
          <c:val>
            <c:numRef>
              <c:f>Analysis!$D$286:$D$287</c:f>
              <c:numCache>
                <c:formatCode>_(* #,##0_);_(* \(#,##0\);_(* "-"??_);_(@_)</c:formatCode>
                <c:ptCount val="2"/>
                <c:pt idx="0">
                  <c:v>39</c:v>
                </c:pt>
                <c:pt idx="1">
                  <c:v>136</c:v>
                </c:pt>
              </c:numCache>
            </c:numRef>
          </c:val>
          <c:extLst>
            <c:ext xmlns:c16="http://schemas.microsoft.com/office/drawing/2014/chart" uri="{C3380CC4-5D6E-409C-BE32-E72D297353CC}">
              <c16:uniqueId val="{00000000-87DA-4FC7-A511-A7CF4DC93F2D}"/>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a:t>
            </a:r>
            <a:r>
              <a:rPr lang="en-US" sz="1400" baseline="0"/>
              <a:t> a</a:t>
            </a:r>
            <a:r>
              <a:rPr lang="en-US" sz="1400"/>
              <a:t>ccess to functioning Latrine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9989773237804734"/>
          <c:y val="0.27725523567366578"/>
          <c:w val="0.63527954275985787"/>
          <c:h val="0.51417937992125995"/>
        </c:manualLayout>
      </c:layout>
      <c:pieChart>
        <c:varyColors val="1"/>
        <c:ser>
          <c:idx val="0"/>
          <c:order val="0"/>
          <c:tx>
            <c:strRef>
              <c:f>Analysis!$C$82</c:f>
              <c:strCache>
                <c:ptCount val="1"/>
                <c:pt idx="0">
                  <c:v> # in villages (6:1) </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87F1-4766-B034-EC56DC123520}"/>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87F1-4766-B034-EC56DC123520}"/>
              </c:ext>
            </c:extLst>
          </c:dPt>
          <c:dLbls>
            <c:dLbl>
              <c:idx val="0"/>
              <c:layout>
                <c:manualLayout>
                  <c:x val="-0.17310808347780249"/>
                  <c:y val="4.408105458722912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separator>
</c:separator>
              <c:extLst>
                <c:ext xmlns:c15="http://schemas.microsoft.com/office/drawing/2012/chart" uri="{CE6537A1-D6FC-4f65-9D91-7224C49458BB}">
                  <c15:layout>
                    <c:manualLayout>
                      <c:w val="0.22538610038610038"/>
                      <c:h val="0.14019097222222221"/>
                    </c:manualLayout>
                  </c15:layout>
                </c:ext>
                <c:ext xmlns:c16="http://schemas.microsoft.com/office/drawing/2014/chart" uri="{C3380CC4-5D6E-409C-BE32-E72D297353CC}">
                  <c16:uniqueId val="{00000001-87F1-4766-B034-EC56DC123520}"/>
                </c:ext>
              </c:extLst>
            </c:dLbl>
            <c:dLbl>
              <c:idx val="1"/>
              <c:layout>
                <c:manualLayout>
                  <c:x val="0.25442299103745358"/>
                  <c:y val="-0.1133036144905574"/>
                </c:manualLayout>
              </c:layout>
              <c:showLegendKey val="0"/>
              <c:showVal val="1"/>
              <c:showCatName val="0"/>
              <c:showSerName val="0"/>
              <c:showPercent val="1"/>
              <c:showBubbleSize val="0"/>
              <c:separator>
</c:separator>
              <c:extLst>
                <c:ext xmlns:c15="http://schemas.microsoft.com/office/drawing/2012/chart" uri="{CE6537A1-D6FC-4f65-9D91-7224C49458BB}">
                  <c15:layout>
                    <c:manualLayout>
                      <c:w val="0.24300214162418882"/>
                      <c:h val="0.2673611111111111"/>
                    </c:manualLayout>
                  </c15:layout>
                </c:ext>
                <c:ext xmlns:c16="http://schemas.microsoft.com/office/drawing/2014/chart" uri="{C3380CC4-5D6E-409C-BE32-E72D297353CC}">
                  <c16:uniqueId val="{00000003-87F1-4766-B034-EC56DC12352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Analysis!$B$83:$B$84</c:f>
              <c:strCache>
                <c:ptCount val="2"/>
                <c:pt idx="0">
                  <c:v> Accessed  </c:v>
                </c:pt>
                <c:pt idx="1">
                  <c:v> No access  </c:v>
                </c:pt>
              </c:strCache>
            </c:strRef>
          </c:cat>
          <c:val>
            <c:numRef>
              <c:f>Analysis!$C$83:$C$84</c:f>
              <c:numCache>
                <c:formatCode>_(* #,##0_);_(* \(#,##0\);_(* "-"??_);_(@_)</c:formatCode>
                <c:ptCount val="2"/>
                <c:pt idx="0">
                  <c:v>10898</c:v>
                </c:pt>
                <c:pt idx="1">
                  <c:v>12615</c:v>
                </c:pt>
              </c:numCache>
            </c:numRef>
          </c:val>
          <c:extLst>
            <c:ext xmlns:c16="http://schemas.microsoft.com/office/drawing/2014/chart" uri="{C3380CC4-5D6E-409C-BE32-E72D297353CC}">
              <c16:uniqueId val="{00000004-87F1-4766-B034-EC56DC12352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[20200720_Myanmar_WASH_4W_2020_Q2_All_Village_Consolidate.xlsx]Analysis!PivotTable5</c:name>
    <c:fmtId val="1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of Students received appropriate</a:t>
            </a:r>
            <a:r>
              <a:rPr lang="en-US" sz="1200" baseline="0"/>
              <a:t> hygiene messages</a:t>
            </a:r>
            <a:endParaRPr lang="en-US" sz="1200"/>
          </a:p>
        </c:rich>
      </c:tx>
      <c:layout>
        <c:manualLayout>
          <c:xMode val="edge"/>
          <c:yMode val="edge"/>
          <c:x val="0.19213491815328135"/>
          <c:y val="0"/>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5942279090113737"/>
              <c:y val="1.662401574803149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260761154855643"/>
              <c:y val="8.4922717993584137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260761154855643"/>
              <c:y val="8.4922717993584137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15942279090113737"/>
              <c:y val="1.662401574803149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7"/>
        <c:spPr>
          <a:solidFill>
            <a:srgbClr val="7030A0"/>
          </a:solidFill>
          <a:ln>
            <a:noFill/>
          </a:ln>
          <a:effectLst/>
        </c:spPr>
        <c:dLbl>
          <c:idx val="0"/>
          <c:layout>
            <c:manualLayout>
              <c:x val="-0.13107775590551188"/>
              <c:y val="-1.4655924723198654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8"/>
        <c:spPr>
          <a:solidFill>
            <a:srgbClr val="D692D6"/>
          </a:solidFill>
          <a:ln>
            <a:noFill/>
          </a:ln>
          <a:effectLst/>
        </c:spPr>
        <c:dLbl>
          <c:idx val="0"/>
          <c:layout>
            <c:manualLayout>
              <c:x val="0.1528506853310003"/>
              <c:y val="-1.733814212988920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0"/>
        <c:spPr>
          <a:solidFill>
            <a:srgbClr val="7030A0"/>
          </a:solidFill>
          <a:ln>
            <a:noFill/>
          </a:ln>
          <a:effectLst/>
        </c:spPr>
        <c:dLbl>
          <c:idx val="0"/>
          <c:layout>
            <c:manualLayout>
              <c:x val="-0.13107775590551188"/>
              <c:y val="-1.4655924723198654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1"/>
        <c:spPr>
          <a:solidFill>
            <a:srgbClr val="D692D6"/>
          </a:solidFill>
          <a:ln>
            <a:noFill/>
          </a:ln>
          <a:effectLst/>
        </c:spPr>
        <c:dLbl>
          <c:idx val="0"/>
          <c:layout>
            <c:manualLayout>
              <c:x val="0.1528506853310003"/>
              <c:y val="-1.733814212988920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3"/>
        <c:spPr>
          <a:solidFill>
            <a:srgbClr val="7030A0"/>
          </a:solidFill>
          <a:ln>
            <a:noFill/>
          </a:ln>
          <a:effectLst/>
        </c:spPr>
        <c:dLbl>
          <c:idx val="0"/>
          <c:layout>
            <c:manualLayout>
              <c:x val="-0.24969563822572716"/>
              <c:y val="-2.0090722355357755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4"/>
        <c:spPr>
          <a:solidFill>
            <a:srgbClr val="D692D6"/>
          </a:solidFill>
          <a:ln>
            <a:noFill/>
          </a:ln>
          <a:effectLst/>
        </c:spPr>
        <c:dLbl>
          <c:idx val="0"/>
          <c:layout>
            <c:manualLayout>
              <c:x val="0.1528506853310003"/>
              <c:y val="-1.733814212988920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13426394805342473"/>
          <c:y val="0.31746448134200622"/>
          <c:w val="0.51681644487579848"/>
          <c:h val="0.54462341663813763"/>
        </c:manualLayout>
      </c:layout>
      <c:pieChart>
        <c:varyColors val="1"/>
        <c:ser>
          <c:idx val="0"/>
          <c:order val="0"/>
          <c:tx>
            <c:strRef>
              <c:f>Analysis!$C$149</c:f>
              <c:strCache>
                <c:ptCount val="1"/>
                <c:pt idx="0">
                  <c:v>Total</c:v>
                </c:pt>
              </c:strCache>
            </c:strRef>
          </c:tx>
          <c:dPt>
            <c:idx val="0"/>
            <c:bubble3D val="0"/>
            <c:spPr>
              <a:solidFill>
                <a:srgbClr val="7030A0"/>
              </a:solidFill>
              <a:ln>
                <a:noFill/>
              </a:ln>
              <a:effectLst/>
            </c:spPr>
            <c:extLst>
              <c:ext xmlns:c16="http://schemas.microsoft.com/office/drawing/2014/chart" uri="{C3380CC4-5D6E-409C-BE32-E72D297353CC}">
                <c16:uniqueId val="{00000001-2DF6-4287-8FFB-D7A6EFAA1E5E}"/>
              </c:ext>
            </c:extLst>
          </c:dPt>
          <c:dPt>
            <c:idx val="1"/>
            <c:bubble3D val="0"/>
            <c:spPr>
              <a:solidFill>
                <a:srgbClr val="D692D6"/>
              </a:solidFill>
              <a:ln>
                <a:noFill/>
              </a:ln>
              <a:effectLst/>
            </c:spPr>
            <c:extLst>
              <c:ext xmlns:c16="http://schemas.microsoft.com/office/drawing/2014/chart" uri="{C3380CC4-5D6E-409C-BE32-E72D297353CC}">
                <c16:uniqueId val="{00000003-2DF6-4287-8FFB-D7A6EFAA1E5E}"/>
              </c:ext>
            </c:extLst>
          </c:dPt>
          <c:dLbls>
            <c:dLbl>
              <c:idx val="0"/>
              <c:layout>
                <c:manualLayout>
                  <c:x val="-0.24969563822572716"/>
                  <c:y val="-2.00907223553577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DF6-4287-8FFB-D7A6EFAA1E5E}"/>
                </c:ext>
              </c:extLst>
            </c:dLbl>
            <c:dLbl>
              <c:idx val="1"/>
              <c:layout>
                <c:manualLayout>
                  <c:x val="0.1528506853310003"/>
                  <c:y val="-1.73381421298892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DF6-4287-8FFB-D7A6EFAA1E5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Analysis!$B$150:$B$151</c:f>
              <c:strCache>
                <c:ptCount val="2"/>
                <c:pt idx="0">
                  <c:v>Boys</c:v>
                </c:pt>
                <c:pt idx="1">
                  <c:v>Girls</c:v>
                </c:pt>
              </c:strCache>
            </c:strRef>
          </c:cat>
          <c:val>
            <c:numRef>
              <c:f>Analysis!$C$150:$C$151</c:f>
              <c:numCache>
                <c:formatCode>General</c:formatCode>
                <c:ptCount val="2"/>
                <c:pt idx="0">
                  <c:v>3627</c:v>
                </c:pt>
                <c:pt idx="1">
                  <c:v>3673</c:v>
                </c:pt>
              </c:numCache>
            </c:numRef>
          </c:val>
          <c:extLst>
            <c:ext xmlns:c16="http://schemas.microsoft.com/office/drawing/2014/chart" uri="{C3380CC4-5D6E-409C-BE32-E72D297353CC}">
              <c16:uniqueId val="{00000004-2DF6-4287-8FFB-D7A6EFAA1E5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School Drainage in non-IDP sites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7121815655396017E-2"/>
          <c:y val="0.18255764904386954"/>
          <c:w val="0.98287818434460383"/>
          <c:h val="0.63408245844269462"/>
        </c:manualLayout>
      </c:layout>
      <c:ofPieChart>
        <c:ofPieType val="pie"/>
        <c:varyColors val="1"/>
        <c:ser>
          <c:idx val="0"/>
          <c:order val="0"/>
          <c:dPt>
            <c:idx val="0"/>
            <c:bubble3D val="0"/>
            <c:spPr>
              <a:solidFill>
                <a:srgbClr val="E4B6E4"/>
              </a:solidFill>
              <a:ln>
                <a:noFill/>
              </a:ln>
              <a:effectLst/>
            </c:spPr>
            <c:extLst>
              <c:ext xmlns:c16="http://schemas.microsoft.com/office/drawing/2014/chart" uri="{C3380CC4-5D6E-409C-BE32-E72D297353CC}">
                <c16:uniqueId val="{00000001-4CFE-4E9A-9DC7-BCA313B3532D}"/>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4CFE-4E9A-9DC7-BCA313B3532D}"/>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5-4CFE-4E9A-9DC7-BCA313B3532D}"/>
              </c:ext>
            </c:extLst>
          </c:dPt>
          <c:dPt>
            <c:idx val="3"/>
            <c:bubble3D val="0"/>
            <c:spPr>
              <a:solidFill>
                <a:schemeClr val="accent2">
                  <a:lumMod val="50000"/>
                </a:schemeClr>
              </a:solidFill>
              <a:ln>
                <a:noFill/>
              </a:ln>
              <a:effectLst/>
            </c:spPr>
            <c:extLst>
              <c:ext xmlns:c16="http://schemas.microsoft.com/office/drawing/2014/chart" uri="{C3380CC4-5D6E-409C-BE32-E72D297353CC}">
                <c16:uniqueId val="{00000007-4CFE-4E9A-9DC7-BCA313B3532D}"/>
              </c:ext>
            </c:extLst>
          </c:dPt>
          <c:dPt>
            <c:idx val="4"/>
            <c:bubble3D val="0"/>
            <c:spPr>
              <a:solidFill>
                <a:srgbClr val="7030A0"/>
              </a:solidFill>
              <a:ln>
                <a:noFill/>
              </a:ln>
              <a:effectLst/>
            </c:spPr>
            <c:extLst>
              <c:ext xmlns:c16="http://schemas.microsoft.com/office/drawing/2014/chart" uri="{C3380CC4-5D6E-409C-BE32-E72D297353CC}">
                <c16:uniqueId val="{00000009-4CFE-4E9A-9DC7-BCA313B3532D}"/>
              </c:ext>
            </c:extLst>
          </c:dPt>
          <c:dLbls>
            <c:dLbl>
              <c:idx val="0"/>
              <c:layout>
                <c:manualLayout>
                  <c:x val="8.4696089459405752E-2"/>
                  <c:y val="4.791393263342082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CFE-4E9A-9DC7-BCA313B3532D}"/>
                </c:ext>
              </c:extLst>
            </c:dLbl>
            <c:dLbl>
              <c:idx val="1"/>
              <c:layout>
                <c:manualLayout>
                  <c:x val="6.0032547406510574E-2"/>
                  <c:y val="-9.449885937155051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CFE-4E9A-9DC7-BCA313B3532D}"/>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CFE-4E9A-9DC7-BCA313B3532D}"/>
                </c:ext>
              </c:extLst>
            </c:dLbl>
            <c:dLbl>
              <c:idx val="3"/>
              <c:layout>
                <c:manualLayout>
                  <c:x val="-8.1891243727303803E-2"/>
                  <c:y val="-3.5444109205976277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bg1"/>
                        </a:solidFill>
                        <a:latin typeface="+mn-lt"/>
                        <a:ea typeface="+mn-ea"/>
                        <a:cs typeface="+mn-cs"/>
                      </a:defRPr>
                    </a:pPr>
                    <a:fld id="{681C728E-7085-4BDE-8881-35137157971A}" type="PERCENTAGE">
                      <a:rPr lang="en-US" baseline="0">
                        <a:solidFill>
                          <a:schemeClr val="bg1"/>
                        </a:solidFill>
                      </a:rPr>
                      <a:pPr>
                        <a:defRPr sz="1200">
                          <a:solidFill>
                            <a:schemeClr val="bg1"/>
                          </a:solidFill>
                        </a:defRPr>
                      </a:pPr>
                      <a:t>[PERCENTAGE]</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layout>
                    <c:manualLayout>
                      <c:w val="8.2555537498788814E-2"/>
                      <c:h val="0.1980698659574669"/>
                    </c:manualLayout>
                  </c15:layout>
                  <c15:dlblFieldTable/>
                  <c15:showDataLabelsRange val="0"/>
                </c:ext>
                <c:ext xmlns:c16="http://schemas.microsoft.com/office/drawing/2014/chart" uri="{C3380CC4-5D6E-409C-BE32-E72D297353CC}">
                  <c16:uniqueId val="{00000007-4CFE-4E9A-9DC7-BCA313B3532D}"/>
                </c:ext>
              </c:extLst>
            </c:dLbl>
            <c:dLbl>
              <c:idx val="4"/>
              <c:layout>
                <c:manualLayout>
                  <c:x val="-0.10592820750347388"/>
                  <c:y val="7.6005733658292579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bg1"/>
                        </a:solidFill>
                        <a:latin typeface="+mn-lt"/>
                        <a:ea typeface="+mn-ea"/>
                        <a:cs typeface="+mn-cs"/>
                      </a:defRPr>
                    </a:pPr>
                    <a:r>
                      <a:rPr lang="en-US"/>
                      <a:t>Village With School</a:t>
                    </a:r>
                    <a:r>
                      <a:rPr lang="en-US" baseline="0"/>
                      <a:t>
</a:t>
                    </a:r>
                    <a:fld id="{0E71715D-DE55-4321-B78F-549DC05D3BE8}" type="PERCENTAGE">
                      <a:rPr lang="en-US" baseline="0"/>
                      <a:pPr>
                        <a:defRPr sz="1200">
                          <a:solidFill>
                            <a:schemeClr val="bg1"/>
                          </a:solidFill>
                        </a:defRPr>
                      </a:pPr>
                      <a:t>[PERCENTAGE]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0057142857142856"/>
                      <c:h val="0.40823412698412692"/>
                    </c:manualLayout>
                  </c15:layout>
                  <c15:dlblFieldTable/>
                  <c15:showDataLabelsRange val="0"/>
                </c:ext>
                <c:ext xmlns:c16="http://schemas.microsoft.com/office/drawing/2014/chart" uri="{C3380CC4-5D6E-409C-BE32-E72D297353CC}">
                  <c16:uniqueId val="{00000009-4CFE-4E9A-9DC7-BCA313B3532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Analysis!$I$96:$L$96</c:f>
              <c:strCache>
                <c:ptCount val="4"/>
                <c:pt idx="0">
                  <c:v> Village With No School </c:v>
                </c:pt>
                <c:pt idx="1">
                  <c:v> No drainage in school compound </c:v>
                </c:pt>
                <c:pt idx="2">
                  <c:v> Drainage in school compound </c:v>
                </c:pt>
                <c:pt idx="3">
                  <c:v> NA </c:v>
                </c:pt>
              </c:strCache>
            </c:strRef>
          </c:cat>
          <c:val>
            <c:numRef>
              <c:f>Analysis!$I$97:$L$97</c:f>
              <c:numCache>
                <c:formatCode>_(* #,##0_);_(* \(#,##0\);_(* "-"??_);_(@_)</c:formatCode>
                <c:ptCount val="4"/>
                <c:pt idx="0">
                  <c:v>87</c:v>
                </c:pt>
                <c:pt idx="1">
                  <c:v>16</c:v>
                </c:pt>
                <c:pt idx="2">
                  <c:v>7</c:v>
                </c:pt>
                <c:pt idx="3">
                  <c:v>16</c:v>
                </c:pt>
              </c:numCache>
            </c:numRef>
          </c:val>
          <c:extLst>
            <c:ext xmlns:c16="http://schemas.microsoft.com/office/drawing/2014/chart" uri="{C3380CC4-5D6E-409C-BE32-E72D297353CC}">
              <c16:uniqueId val="{0000000A-4CFE-4E9A-9DC7-BCA313B3532D}"/>
            </c:ext>
          </c:extLst>
        </c:ser>
        <c:dLbls>
          <c:showLegendKey val="0"/>
          <c:showVal val="0"/>
          <c:showCatName val="0"/>
          <c:showSerName val="0"/>
          <c:showPercent val="0"/>
          <c:showBubbleSize val="0"/>
          <c:showLeaderLines val="0"/>
        </c:dLbls>
        <c:gapWidth val="100"/>
        <c:splitType val="cust"/>
        <c:custSplit>
          <c:secondPiePt val="1"/>
          <c:secondPiePt val="2"/>
          <c:secondPiePt val="3"/>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of people who</a:t>
            </a:r>
            <a:r>
              <a:rPr lang="en-US" baseline="0"/>
              <a:t> received appropriate hygiene messages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3345-4AA6-AC0C-54AB03A5ED6C}"/>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3-3345-4AA6-AC0C-54AB03A5ED6C}"/>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3345-4AA6-AC0C-54AB03A5ED6C}"/>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07-3345-4AA6-AC0C-54AB03A5ED6C}"/>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09-3345-4AA6-AC0C-54AB03A5ED6C}"/>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B-3345-4AA6-AC0C-54AB03A5ED6C}"/>
              </c:ext>
            </c:extLst>
          </c:dPt>
          <c:dLbls>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3345-4AA6-AC0C-54AB03A5ED6C}"/>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3345-4AA6-AC0C-54AB03A5ED6C}"/>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7-3345-4AA6-AC0C-54AB03A5ED6C}"/>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9-3345-4AA6-AC0C-54AB03A5ED6C}"/>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3345-4AA6-AC0C-54AB03A5ED6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Analysis!$E$136:$I$136</c:f>
              <c:strCache>
                <c:ptCount val="5"/>
                <c:pt idx="0">
                  <c:v>No Reached</c:v>
                </c:pt>
                <c:pt idx="1">
                  <c:v>Men</c:v>
                </c:pt>
                <c:pt idx="2">
                  <c:v>Women</c:v>
                </c:pt>
                <c:pt idx="3">
                  <c:v>Boys</c:v>
                </c:pt>
                <c:pt idx="4">
                  <c:v>Girls</c:v>
                </c:pt>
              </c:strCache>
            </c:strRef>
          </c:cat>
          <c:val>
            <c:numRef>
              <c:f>Analysis!$E$137:$I$137</c:f>
              <c:numCache>
                <c:formatCode>General</c:formatCode>
                <c:ptCount val="5"/>
                <c:pt idx="0">
                  <c:v>127775</c:v>
                </c:pt>
                <c:pt idx="1">
                  <c:v>7173</c:v>
                </c:pt>
                <c:pt idx="2">
                  <c:v>8633</c:v>
                </c:pt>
                <c:pt idx="3">
                  <c:v>4570</c:v>
                </c:pt>
                <c:pt idx="4">
                  <c:v>4441</c:v>
                </c:pt>
              </c:numCache>
            </c:numRef>
          </c:val>
          <c:extLst>
            <c:ext xmlns:c16="http://schemas.microsoft.com/office/drawing/2014/chart" uri="{C3380CC4-5D6E-409C-BE32-E72D297353CC}">
              <c16:uniqueId val="{0000000C-3345-4AA6-AC0C-54AB03A5ED6C}"/>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PWD with adapted sanitation option at HH level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Analysis!$P$123</c:f>
              <c:strCache>
                <c:ptCount val="1"/>
                <c:pt idx="0">
                  <c:v> # of PWD with adapted sanitation option at HH level</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5A75-43C9-9507-79ED60E0F3B7}"/>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5A75-43C9-9507-79ED60E0F3B7}"/>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5A75-43C9-9507-79ED60E0F3B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Analysis!$Q$122:$R$122</c:f>
              <c:strCache>
                <c:ptCount val="2"/>
                <c:pt idx="0">
                  <c:v> Yes </c:v>
                </c:pt>
                <c:pt idx="1">
                  <c:v>No</c:v>
                </c:pt>
              </c:strCache>
            </c:strRef>
          </c:cat>
          <c:val>
            <c:numRef>
              <c:f>Analysis!$Q$123:$R$123</c:f>
              <c:numCache>
                <c:formatCode>_(* #,##0_);_(* \(#,##0\);_(* "-"??_);_(@_)</c:formatCode>
                <c:ptCount val="2"/>
                <c:pt idx="0">
                  <c:v>254</c:v>
                </c:pt>
                <c:pt idx="1">
                  <c:v>212</c:v>
                </c:pt>
              </c:numCache>
            </c:numRef>
          </c:val>
          <c:extLst>
            <c:ext xmlns:c16="http://schemas.microsoft.com/office/drawing/2014/chart" uri="{C3380CC4-5D6E-409C-BE32-E72D297353CC}">
              <c16:uniqueId val="{00000004-5A75-43C9-9507-79ED60E0F3B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With Partners' Support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Analysis!$O$145</c:f>
              <c:strCache>
                <c:ptCount val="1"/>
                <c:pt idx="0">
                  <c:v>Accessed</c:v>
                </c:pt>
              </c:strCache>
            </c:strRef>
          </c:tx>
          <c:spPr>
            <a:solidFill>
              <a:schemeClr val="accent6">
                <a:lumMod val="75000"/>
              </a:schemeClr>
            </a:solidFill>
            <a:ln>
              <a:noFill/>
            </a:ln>
            <a:effectLst/>
          </c:spPr>
          <c:invertIfNegative val="0"/>
          <c:dLbls>
            <c:dLbl>
              <c:idx val="1"/>
              <c:layout>
                <c:manualLayout>
                  <c:x val="0"/>
                  <c:y val="-3.1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62-4A07-9D4A-5A08BF01119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Analysis!$N$146:$N$148</c:f>
              <c:strCache>
                <c:ptCount val="3"/>
                <c:pt idx="0">
                  <c:v> # People with access to soap</c:v>
                </c:pt>
                <c:pt idx="1">
                  <c:v> # People with access to Sanity Pads</c:v>
                </c:pt>
                <c:pt idx="2">
                  <c:v># people reached by regular dedicated hygiene promotion</c:v>
                </c:pt>
              </c:strCache>
            </c:strRef>
          </c:cat>
          <c:val>
            <c:numRef>
              <c:f>Analysis!$O$146:$O$148</c:f>
              <c:numCache>
                <c:formatCode>_(* #,##0_);_(* \(#,##0\);_(* "-"??_);_(@_)</c:formatCode>
                <c:ptCount val="3"/>
                <c:pt idx="0">
                  <c:v>26321</c:v>
                </c:pt>
                <c:pt idx="1">
                  <c:v>1099</c:v>
                </c:pt>
                <c:pt idx="2">
                  <c:v>24817</c:v>
                </c:pt>
              </c:numCache>
            </c:numRef>
          </c:val>
          <c:extLst>
            <c:ext xmlns:c16="http://schemas.microsoft.com/office/drawing/2014/chart" uri="{C3380CC4-5D6E-409C-BE32-E72D297353CC}">
              <c16:uniqueId val="{00000000-F362-4A07-9D4A-5A08BF01119E}"/>
            </c:ext>
          </c:extLst>
        </c:ser>
        <c:ser>
          <c:idx val="1"/>
          <c:order val="1"/>
          <c:tx>
            <c:strRef>
              <c:f>Analysis!$P$145</c:f>
              <c:strCache>
                <c:ptCount val="1"/>
                <c:pt idx="0">
                  <c:v>No Access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Analysis!$N$146:$N$148</c:f>
              <c:strCache>
                <c:ptCount val="3"/>
                <c:pt idx="0">
                  <c:v> # People with access to soap</c:v>
                </c:pt>
                <c:pt idx="1">
                  <c:v> # People with access to Sanity Pads</c:v>
                </c:pt>
                <c:pt idx="2">
                  <c:v># people reached by regular dedicated hygiene promotion</c:v>
                </c:pt>
              </c:strCache>
            </c:strRef>
          </c:cat>
          <c:val>
            <c:numRef>
              <c:f>Analysis!$P$146:$P$148</c:f>
              <c:numCache>
                <c:formatCode>_(* #,##0_);_(* \(#,##0\);_(* "-"??_);_(@_)</c:formatCode>
                <c:ptCount val="3"/>
                <c:pt idx="0">
                  <c:v>126271</c:v>
                </c:pt>
                <c:pt idx="1">
                  <c:v>44678.6</c:v>
                </c:pt>
                <c:pt idx="2">
                  <c:v>127775</c:v>
                </c:pt>
              </c:numCache>
            </c:numRef>
          </c:val>
          <c:extLst>
            <c:ext xmlns:c16="http://schemas.microsoft.com/office/drawing/2014/chart" uri="{C3380CC4-5D6E-409C-BE32-E72D297353CC}">
              <c16:uniqueId val="{00000001-F362-4A07-9D4A-5A08BF01119E}"/>
            </c:ext>
          </c:extLst>
        </c:ser>
        <c:dLbls>
          <c:dLblPos val="ctr"/>
          <c:showLegendKey val="0"/>
          <c:showVal val="1"/>
          <c:showCatName val="0"/>
          <c:showSerName val="0"/>
          <c:showPercent val="0"/>
          <c:showBubbleSize val="0"/>
        </c:dLbls>
        <c:gapWidth val="50"/>
        <c:overlap val="100"/>
        <c:axId val="1382135663"/>
        <c:axId val="1382398879"/>
      </c:barChart>
      <c:catAx>
        <c:axId val="138213566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82398879"/>
        <c:crosses val="autoZero"/>
        <c:auto val="1"/>
        <c:lblAlgn val="ctr"/>
        <c:lblOffset val="100"/>
        <c:noMultiLvlLbl val="0"/>
      </c:catAx>
      <c:valAx>
        <c:axId val="1382398879"/>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82135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Access to Water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2312861337701326"/>
          <c:y val="0.15214764740726994"/>
          <c:w val="0.51414265617453336"/>
          <c:h val="0.51414219143857642"/>
        </c:manualLayout>
      </c:layout>
      <c:pieChart>
        <c:varyColors val="1"/>
        <c:ser>
          <c:idx val="0"/>
          <c:order val="0"/>
          <c:dPt>
            <c:idx val="0"/>
            <c:bubble3D val="0"/>
            <c:spPr>
              <a:solidFill>
                <a:srgbClr val="0070C0"/>
              </a:solidFill>
              <a:ln>
                <a:noFill/>
              </a:ln>
              <a:effectLst/>
            </c:spPr>
            <c:extLst>
              <c:ext xmlns:c16="http://schemas.microsoft.com/office/drawing/2014/chart" uri="{C3380CC4-5D6E-409C-BE32-E72D297353CC}">
                <c16:uniqueId val="{00000001-694A-428E-B9DC-A36AB6D43C49}"/>
              </c:ext>
            </c:extLst>
          </c:dPt>
          <c:dPt>
            <c:idx val="1"/>
            <c:bubble3D val="0"/>
            <c:spPr>
              <a:solidFill>
                <a:schemeClr val="accent1">
                  <a:lumMod val="20000"/>
                  <a:lumOff val="80000"/>
                </a:schemeClr>
              </a:solidFill>
              <a:ln>
                <a:noFill/>
              </a:ln>
              <a:effectLst/>
            </c:spPr>
            <c:extLst>
              <c:ext xmlns:c16="http://schemas.microsoft.com/office/drawing/2014/chart" uri="{C3380CC4-5D6E-409C-BE32-E72D297353CC}">
                <c16:uniqueId val="{00000003-694A-428E-B9DC-A36AB6D43C4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694A-428E-B9DC-A36AB6D43C49}"/>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694A-428E-B9DC-A36AB6D43C4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Analysis!$M$35:$M$36</c:f>
              <c:strCache>
                <c:ptCount val="2"/>
                <c:pt idx="0">
                  <c:v># people access to sufficient quantity of safe drinking water</c:v>
                </c:pt>
                <c:pt idx="1">
                  <c:v># People accessed to unimproved water sources</c:v>
                </c:pt>
              </c:strCache>
            </c:strRef>
          </c:cat>
          <c:val>
            <c:numRef>
              <c:f>Analysis!$N$35:$N$36</c:f>
              <c:numCache>
                <c:formatCode>_(* #,##0_);_(* \(#,##0\);_(* "-"??_);_(@_)</c:formatCode>
                <c:ptCount val="2"/>
                <c:pt idx="0">
                  <c:v>97870</c:v>
                </c:pt>
                <c:pt idx="1">
                  <c:v>91210</c:v>
                </c:pt>
              </c:numCache>
            </c:numRef>
          </c:val>
          <c:extLst>
            <c:ext xmlns:c16="http://schemas.microsoft.com/office/drawing/2014/chart" uri="{C3380CC4-5D6E-409C-BE32-E72D297353CC}">
              <c16:uniqueId val="{00000006-694A-428E-B9DC-A36AB6D43C4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7.9251186217374724E-3"/>
          <c:y val="0.68998328981534451"/>
          <c:w val="0.98068555794837242"/>
          <c:h val="0.2985371206538002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[20200720_Myanmar_WASH_4W_2020_Q2_All_Village_Consolidate.xlsx]Analysis!W_R_C_G_V</c:name>
    <c:fmtId val="56"/>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 People access to safe/improved drinking water, meeting demand for domestic purposes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Analysis!$C$54</c:f>
              <c:strCache>
                <c:ptCount val="1"/>
                <c:pt idx="0">
                  <c:v>Accessed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Analysis!$B$55:$B$59</c:f>
              <c:strCache>
                <c:ptCount val="5"/>
                <c:pt idx="0">
                  <c:v>Kyauktaw</c:v>
                </c:pt>
                <c:pt idx="1">
                  <c:v>Minbya</c:v>
                </c:pt>
                <c:pt idx="2">
                  <c:v>Myebon</c:v>
                </c:pt>
                <c:pt idx="3">
                  <c:v>Pauktaw</c:v>
                </c:pt>
                <c:pt idx="4">
                  <c:v>Sittwe</c:v>
                </c:pt>
              </c:strCache>
            </c:strRef>
          </c:cat>
          <c:val>
            <c:numRef>
              <c:f>Analysis!$C$55:$C$59</c:f>
              <c:numCache>
                <c:formatCode>0%</c:formatCode>
                <c:ptCount val="5"/>
                <c:pt idx="0">
                  <c:v>0.737441791340533</c:v>
                </c:pt>
                <c:pt idx="1">
                  <c:v>1</c:v>
                </c:pt>
                <c:pt idx="2">
                  <c:v>1</c:v>
                </c:pt>
                <c:pt idx="3">
                  <c:v>1</c:v>
                </c:pt>
                <c:pt idx="4">
                  <c:v>0.70496193342776203</c:v>
                </c:pt>
              </c:numCache>
            </c:numRef>
          </c:val>
          <c:extLst>
            <c:ext xmlns:c16="http://schemas.microsoft.com/office/drawing/2014/chart" uri="{C3380CC4-5D6E-409C-BE32-E72D297353CC}">
              <c16:uniqueId val="{00000000-7497-4C1B-A96F-D66BC34494AE}"/>
            </c:ext>
          </c:extLst>
        </c:ser>
        <c:ser>
          <c:idx val="1"/>
          <c:order val="1"/>
          <c:tx>
            <c:strRef>
              <c:f>Analysis!$D$54</c:f>
              <c:strCache>
                <c:ptCount val="1"/>
                <c:pt idx="0">
                  <c:v>No Access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Analysis!$B$55:$B$59</c:f>
              <c:strCache>
                <c:ptCount val="5"/>
                <c:pt idx="0">
                  <c:v>Kyauktaw</c:v>
                </c:pt>
                <c:pt idx="1">
                  <c:v>Minbya</c:v>
                </c:pt>
                <c:pt idx="2">
                  <c:v>Myebon</c:v>
                </c:pt>
                <c:pt idx="3">
                  <c:v>Pauktaw</c:v>
                </c:pt>
                <c:pt idx="4">
                  <c:v>Sittwe</c:v>
                </c:pt>
              </c:strCache>
            </c:strRef>
          </c:cat>
          <c:val>
            <c:numRef>
              <c:f>Analysis!$D$55:$D$59</c:f>
              <c:numCache>
                <c:formatCode>0%</c:formatCode>
                <c:ptCount val="5"/>
                <c:pt idx="0">
                  <c:v>0.262558208659467</c:v>
                </c:pt>
                <c:pt idx="1">
                  <c:v>0</c:v>
                </c:pt>
                <c:pt idx="2">
                  <c:v>0</c:v>
                </c:pt>
                <c:pt idx="3">
                  <c:v>0</c:v>
                </c:pt>
                <c:pt idx="4">
                  <c:v>0.29503806657223797</c:v>
                </c:pt>
              </c:numCache>
            </c:numRef>
          </c:val>
          <c:extLst>
            <c:ext xmlns:c16="http://schemas.microsoft.com/office/drawing/2014/chart" uri="{C3380CC4-5D6E-409C-BE32-E72D297353CC}">
              <c16:uniqueId val="{00000001-7497-4C1B-A96F-D66BC34494AE}"/>
            </c:ext>
          </c:extLst>
        </c:ser>
        <c:dLbls>
          <c:dLblPos val="ctr"/>
          <c:showLegendKey val="0"/>
          <c:showVal val="1"/>
          <c:showCatName val="0"/>
          <c:showSerName val="0"/>
          <c:showPercent val="0"/>
          <c:showBubbleSize val="0"/>
        </c:dLbls>
        <c:gapWidth val="50"/>
        <c:overlap val="100"/>
        <c:axId val="414767120"/>
        <c:axId val="414769864"/>
      </c:barChart>
      <c:catAx>
        <c:axId val="4147671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9864"/>
        <c:crosses val="autoZero"/>
        <c:auto val="1"/>
        <c:lblAlgn val="ctr"/>
        <c:lblOffset val="100"/>
        <c:noMultiLvlLbl val="0"/>
      </c:catAx>
      <c:valAx>
        <c:axId val="4147698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Cumulative Funding Received/Gap as of 2020-Q2(US$)</a:t>
            </a:r>
            <a:endParaRPr lang="en-US" sz="16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'[5]Rakhine Analysis 2'!$C$2</c:f>
              <c:strCache>
                <c:ptCount val="1"/>
                <c:pt idx="0">
                  <c:v>Camps</c:v>
                </c:pt>
              </c:strCache>
            </c:strRef>
          </c:tx>
          <c:spPr>
            <a:solidFill>
              <a:schemeClr val="tx2">
                <a:lumMod val="60000"/>
                <a:lumOff val="40000"/>
              </a:schemeClr>
            </a:solidFill>
            <a:ln>
              <a:noFill/>
            </a:ln>
            <a:effectLst/>
          </c:spPr>
          <c:invertIfNegative val="0"/>
          <c:dLbls>
            <c:dLbl>
              <c:idx val="0"/>
              <c:layout>
                <c:manualLayout>
                  <c:x val="-1.8215448645785809E-2"/>
                  <c:y val="-1.57841229123322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28-4CBF-A50C-DAEDD3E8314F}"/>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'[5]Rakhine Analysis 2'!$C$3</c:f>
              <c:numCache>
                <c:formatCode>General</c:formatCode>
                <c:ptCount val="1"/>
                <c:pt idx="0">
                  <c:v>6141359.6574982088</c:v>
                </c:pt>
              </c:numCache>
            </c:numRef>
          </c:val>
          <c:extLst>
            <c:ext xmlns:c16="http://schemas.microsoft.com/office/drawing/2014/chart" uri="{C3380CC4-5D6E-409C-BE32-E72D297353CC}">
              <c16:uniqueId val="{00000001-1428-4CBF-A50C-DAEDD3E8314F}"/>
            </c:ext>
          </c:extLst>
        </c:ser>
        <c:ser>
          <c:idx val="1"/>
          <c:order val="1"/>
          <c:tx>
            <c:strRef>
              <c:f>'[5]Rakhine Analysis 2'!$D$2</c:f>
              <c:strCache>
                <c:ptCount val="1"/>
                <c:pt idx="0">
                  <c:v>Non-IDP Camps</c:v>
                </c:pt>
              </c:strCache>
            </c:strRef>
          </c:tx>
          <c:spPr>
            <a:solidFill>
              <a:schemeClr val="tx2">
                <a:lumMod val="40000"/>
                <a:lumOff val="60000"/>
              </a:schemeClr>
            </a:solidFill>
            <a:ln>
              <a:noFill/>
            </a:ln>
            <a:effectLst/>
          </c:spPr>
          <c:invertIfNegative val="0"/>
          <c:dLbls>
            <c:dLbl>
              <c:idx val="0"/>
              <c:layout>
                <c:manualLayout>
                  <c:x val="5.9917570690765773E-3"/>
                  <c:y val="-1.7039395679375992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28-4CBF-A50C-DAEDD3E8314F}"/>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'[5]Rakhine Analysis 2'!$D$3</c:f>
              <c:numCache>
                <c:formatCode>General</c:formatCode>
                <c:ptCount val="1"/>
                <c:pt idx="0">
                  <c:v>3007836.6307325601</c:v>
                </c:pt>
              </c:numCache>
            </c:numRef>
          </c:val>
          <c:extLst>
            <c:ext xmlns:c16="http://schemas.microsoft.com/office/drawing/2014/chart" uri="{C3380CC4-5D6E-409C-BE32-E72D297353CC}">
              <c16:uniqueId val="{00000003-1428-4CBF-A50C-DAEDD3E8314F}"/>
            </c:ext>
          </c:extLst>
        </c:ser>
        <c:ser>
          <c:idx val="2"/>
          <c:order val="2"/>
          <c:tx>
            <c:strRef>
              <c:f>'[5]Rakhine Analysis 2'!$E$2</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'[5]Rakhine Analysis 2'!$E$3</c:f>
              <c:numCache>
                <c:formatCode>General</c:formatCode>
                <c:ptCount val="1"/>
                <c:pt idx="0">
                  <c:v>20296214.265230548</c:v>
                </c:pt>
              </c:numCache>
            </c:numRef>
          </c:val>
          <c:extLst>
            <c:ext xmlns:c16="http://schemas.microsoft.com/office/drawing/2014/chart" uri="{C3380CC4-5D6E-409C-BE32-E72D297353CC}">
              <c16:uniqueId val="{00000004-1428-4CBF-A50C-DAEDD3E8314F}"/>
            </c:ext>
          </c:extLst>
        </c:ser>
        <c:dLbls>
          <c:dLblPos val="ctr"/>
          <c:showLegendKey val="0"/>
          <c:showVal val="1"/>
          <c:showCatName val="0"/>
          <c:showSerName val="0"/>
          <c:showPercent val="0"/>
          <c:showBubbleSize val="0"/>
        </c:dLbls>
        <c:gapWidth val="50"/>
        <c:overlap val="100"/>
        <c:axId val="140520544"/>
        <c:axId val="92133488"/>
      </c:barChart>
      <c:catAx>
        <c:axId val="140520544"/>
        <c:scaling>
          <c:orientation val="minMax"/>
        </c:scaling>
        <c:delete val="1"/>
        <c:axPos val="l"/>
        <c:numFmt formatCode="General" sourceLinked="1"/>
        <c:majorTickMark val="none"/>
        <c:minorTickMark val="none"/>
        <c:tickLblPos val="nextTo"/>
        <c:crossAx val="92133488"/>
        <c:crosses val="autoZero"/>
        <c:auto val="1"/>
        <c:lblAlgn val="ctr"/>
        <c:lblOffset val="100"/>
        <c:noMultiLvlLbl val="0"/>
      </c:catAx>
      <c:valAx>
        <c:axId val="921334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52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0.93168462554104758</c:v>
              </c:pt>
            </c:numLit>
          </c:val>
          <c:extLst>
            <c:ext xmlns:c16="http://schemas.microsoft.com/office/drawing/2014/chart" uri="{C3380CC4-5D6E-409C-BE32-E72D297353CC}">
              <c16:uniqueId val="{00000000-9F7F-4946-BE03-BCB28B36D226}"/>
            </c:ext>
          </c:extLst>
        </c:ser>
        <c:ser>
          <c:idx val="1"/>
          <c:order val="1"/>
          <c:tx>
            <c:v>LNGO</c:v>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4.1235668592301308E-2</c:v>
              </c:pt>
            </c:numLit>
          </c:val>
          <c:extLst>
            <c:ext xmlns:c16="http://schemas.microsoft.com/office/drawing/2014/chart" uri="{C3380CC4-5D6E-409C-BE32-E72D297353CC}">
              <c16:uniqueId val="{00000001-9F7F-4946-BE03-BCB28B36D226}"/>
            </c:ext>
          </c:extLst>
        </c:ser>
        <c:ser>
          <c:idx val="2"/>
          <c:order val="2"/>
          <c:tx>
            <c:v>GOV</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dLbl>
              <c:idx val="0"/>
              <c:layout>
                <c:manualLayout>
                  <c:x val="3.5185185185185187E-2"/>
                  <c:y val="-6.642512077294686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7F-4946-BE03-BCB28B36D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2.7910336035267495E-3</c:v>
              </c:pt>
            </c:numLit>
          </c:val>
          <c:extLst>
            <c:ext xmlns:c16="http://schemas.microsoft.com/office/drawing/2014/chart" uri="{C3380CC4-5D6E-409C-BE32-E72D297353CC}">
              <c16:uniqueId val="{00000003-9F7F-4946-BE03-BCB28B36D226}"/>
            </c:ext>
          </c:extLst>
        </c:ser>
        <c:ser>
          <c:idx val="3"/>
          <c:order val="3"/>
          <c:tx>
            <c:v>INGO/LNGO</c:v>
          </c:tx>
          <c:spPr>
            <a:solidFill>
              <a:schemeClr val="bg1">
                <a:lumMod val="85000"/>
              </a:schemeClr>
            </a:solidFill>
            <a:ln>
              <a:noFill/>
            </a:ln>
            <a:effectLst/>
          </c:spPr>
          <c:invertIfNegative val="0"/>
          <c:dLbls>
            <c:dLbl>
              <c:idx val="0"/>
              <c:layout>
                <c:manualLayout>
                  <c:x val="-2.0370370370370507E-2"/>
                  <c:y val="-0.175120772946859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7F-4946-BE03-BCB28B36D22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2.4149534358559075E-2</c:v>
              </c:pt>
            </c:numLit>
          </c:val>
          <c:extLst>
            <c:ext xmlns:c16="http://schemas.microsoft.com/office/drawing/2014/chart" uri="{C3380CC4-5D6E-409C-BE32-E72D297353CC}">
              <c16:uniqueId val="{00000005-9F7F-4946-BE03-BCB28B36D226}"/>
            </c:ext>
          </c:extLst>
        </c:ser>
        <c:ser>
          <c:idx val="4"/>
          <c:order val="4"/>
          <c:tx>
            <c:v>UN</c:v>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dLbl>
              <c:idx val="0"/>
              <c:layout>
                <c:manualLayout>
                  <c:x val="3.7037037037037038E-3"/>
                  <c:y val="0.2173913043478260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7F-4946-BE03-BCB28B36D22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1.3913790456518527E-4</c:v>
              </c:pt>
            </c:numLit>
          </c:val>
          <c:extLst>
            <c:ext xmlns:c16="http://schemas.microsoft.com/office/drawing/2014/chart" uri="{C3380CC4-5D6E-409C-BE32-E72D297353CC}">
              <c16:uniqueId val="{00000007-9F7F-4946-BE03-BCB28B36D226}"/>
            </c:ext>
          </c:extLst>
        </c:ser>
        <c:dLbls>
          <c:dLblPos val="ctr"/>
          <c:showLegendKey val="0"/>
          <c:showVal val="1"/>
          <c:showCatName val="0"/>
          <c:showSerName val="0"/>
          <c:showPercent val="0"/>
          <c:showBubbleSize val="0"/>
        </c:dLbls>
        <c:gapWidth val="150"/>
        <c:overlap val="100"/>
        <c:axId val="364369400"/>
        <c:axId val="364369792"/>
      </c:barChart>
      <c:catAx>
        <c:axId val="364369400"/>
        <c:scaling>
          <c:orientation val="minMax"/>
        </c:scaling>
        <c:delete val="1"/>
        <c:axPos val="l"/>
        <c:numFmt formatCode="General" sourceLinked="1"/>
        <c:majorTickMark val="none"/>
        <c:minorTickMark val="none"/>
        <c:tickLblPos val="nextTo"/>
        <c:crossAx val="364369792"/>
        <c:crosses val="autoZero"/>
        <c:auto val="1"/>
        <c:lblAlgn val="ctr"/>
        <c:lblOffset val="100"/>
        <c:noMultiLvlLbl val="0"/>
      </c:catAx>
      <c:valAx>
        <c:axId val="36436979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[20200720_Myanmar_WASH_4W_2020_Q2_All_Village_Consolidate.xlsx]By Site!PivotTable1</c:name>
    <c:fmtId val="4"/>
  </c:pivotSource>
  <c:chart>
    <c:title>
      <c:tx>
        <c:strRef>
          <c:f>'By Site'!$B$34</c:f>
          <c:strCache>
            <c:ptCount val="1"/>
            <c:pt idx="0">
              <c:v>2020_Q2</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39750826490748"/>
          <c:y val="0.11493115019255251"/>
          <c:w val="0.61261601843615388"/>
          <c:h val="0.82620867752909466"/>
        </c:manualLayout>
      </c:layout>
      <c:barChart>
        <c:barDir val="bar"/>
        <c:grouping val="clustered"/>
        <c:varyColors val="0"/>
        <c:ser>
          <c:idx val="0"/>
          <c:order val="0"/>
          <c:tx>
            <c:strRef>
              <c:f>'By Site'!$B$34</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'By Site'!$B$34</c:f>
              <c:strCache>
                <c:ptCount val="25"/>
                <c:pt idx="0">
                  <c:v>Baw Du Pha Village</c:v>
                </c:pt>
                <c:pt idx="1">
                  <c:v>Bu May Ohn Daw Chay</c:v>
                </c:pt>
                <c:pt idx="2">
                  <c:v>Chaung New Min Gan</c:v>
                </c:pt>
                <c:pt idx="3">
                  <c:v>Dar Paing Ywar Haung</c:v>
                </c:pt>
                <c:pt idx="4">
                  <c:v>Dar Paing Ywar Thit</c:v>
                </c:pt>
                <c:pt idx="5">
                  <c:v>Kan Pyin Ywa Haung</c:v>
                </c:pt>
                <c:pt idx="6">
                  <c:v>Kan Pyin Ywar Thit</c:v>
                </c:pt>
                <c:pt idx="7">
                  <c:v>Kha Tin Paik</c:v>
                </c:pt>
                <c:pt idx="8">
                  <c:v>Koe Saung (1) village</c:v>
                </c:pt>
                <c:pt idx="9">
                  <c:v>Kyan Taw</c:v>
                </c:pt>
                <c:pt idx="10">
                  <c:v>Kyar Ma Thauk</c:v>
                </c:pt>
                <c:pt idx="11">
                  <c:v>Kyauk Tan Chay</c:v>
                </c:pt>
                <c:pt idx="12">
                  <c:v>Kyauk Tan Gyi</c:v>
                </c:pt>
                <c:pt idx="13">
                  <c:v>Maung Ni Pyin</c:v>
                </c:pt>
                <c:pt idx="14">
                  <c:v>Ohn Ye Paw</c:v>
                </c:pt>
                <c:pt idx="15">
                  <c:v>Pyar Lay Chaung Ywar Haung</c:v>
                </c:pt>
                <c:pt idx="16">
                  <c:v>Pyin Shey Ku lar</c:v>
                </c:pt>
                <c:pt idx="17">
                  <c:v>Sa Ma Nya Village</c:v>
                </c:pt>
                <c:pt idx="18">
                  <c:v>Thein Tan</c:v>
                </c:pt>
                <c:pt idx="19">
                  <c:v>Thet Kay Pyin</c:v>
                </c:pt>
                <c:pt idx="20">
                  <c:v>Thin Ga Net</c:v>
                </c:pt>
                <c:pt idx="21">
                  <c:v>Thin Pone Tan</c:v>
                </c:pt>
                <c:pt idx="22">
                  <c:v>Thone Saung</c:v>
                </c:pt>
                <c:pt idx="23">
                  <c:v>Yae Chan Pyin</c:v>
                </c:pt>
                <c:pt idx="24">
                  <c:v>Ywar Thar Yar</c:v>
                </c:pt>
              </c:strCache>
            </c:strRef>
          </c:cat>
          <c:val>
            <c:numRef>
              <c:f>'By Site'!$B$34</c:f>
              <c:numCache>
                <c:formatCode>General</c:formatCode>
                <c:ptCount val="25"/>
                <c:pt idx="0">
                  <c:v>1435</c:v>
                </c:pt>
                <c:pt idx="1">
                  <c:v>4476</c:v>
                </c:pt>
                <c:pt idx="2">
                  <c:v>1083</c:v>
                </c:pt>
                <c:pt idx="3">
                  <c:v>1867</c:v>
                </c:pt>
                <c:pt idx="4">
                  <c:v>3768</c:v>
                </c:pt>
                <c:pt idx="5">
                  <c:v>373</c:v>
                </c:pt>
                <c:pt idx="6">
                  <c:v>481</c:v>
                </c:pt>
                <c:pt idx="7">
                  <c:v>2168</c:v>
                </c:pt>
                <c:pt idx="8">
                  <c:v>715</c:v>
                </c:pt>
                <c:pt idx="9">
                  <c:v>656</c:v>
                </c:pt>
                <c:pt idx="10">
                  <c:v>1117</c:v>
                </c:pt>
                <c:pt idx="11">
                  <c:v>741</c:v>
                </c:pt>
                <c:pt idx="12">
                  <c:v>978</c:v>
                </c:pt>
                <c:pt idx="13">
                  <c:v>1027</c:v>
                </c:pt>
                <c:pt idx="14">
                  <c:v>369</c:v>
                </c:pt>
                <c:pt idx="15">
                  <c:v>370</c:v>
                </c:pt>
                <c:pt idx="16">
                  <c:v>1369</c:v>
                </c:pt>
                <c:pt idx="17">
                  <c:v>1750</c:v>
                </c:pt>
                <c:pt idx="18">
                  <c:v>658</c:v>
                </c:pt>
                <c:pt idx="19">
                  <c:v>12993</c:v>
                </c:pt>
                <c:pt idx="20">
                  <c:v>1901</c:v>
                </c:pt>
                <c:pt idx="21">
                  <c:v>1574</c:v>
                </c:pt>
                <c:pt idx="22">
                  <c:v>454</c:v>
                </c:pt>
                <c:pt idx="23">
                  <c:v>1529</c:v>
                </c:pt>
                <c:pt idx="24">
                  <c:v>1473</c:v>
                </c:pt>
              </c:numCache>
            </c:numRef>
          </c:val>
          <c:extLst>
            <c:ext xmlns:c16="http://schemas.microsoft.com/office/drawing/2014/chart" uri="{C3380CC4-5D6E-409C-BE32-E72D297353CC}">
              <c16:uniqueId val="{00000000-92B1-419D-9658-6A092474F164}"/>
            </c:ext>
          </c:extLst>
        </c:ser>
        <c:ser>
          <c:idx val="1"/>
          <c:order val="1"/>
          <c:tx>
            <c:strRef>
              <c:f>'By Site'!$B$34</c:f>
              <c:strCache>
                <c:ptCount val="1"/>
                <c:pt idx="0">
                  <c:v># of People adopt basic personal and community hygiene practices</c:v>
                </c:pt>
              </c:strCache>
            </c:strRef>
          </c:tx>
          <c:spPr>
            <a:solidFill>
              <a:schemeClr val="accent6">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'By Site'!$B$34</c:f>
              <c:strCache>
                <c:ptCount val="25"/>
                <c:pt idx="0">
                  <c:v>Baw Du Pha Village</c:v>
                </c:pt>
                <c:pt idx="1">
                  <c:v>Bu May Ohn Daw Chay</c:v>
                </c:pt>
                <c:pt idx="2">
                  <c:v>Chaung New Min Gan</c:v>
                </c:pt>
                <c:pt idx="3">
                  <c:v>Dar Paing Ywar Haung</c:v>
                </c:pt>
                <c:pt idx="4">
                  <c:v>Dar Paing Ywar Thit</c:v>
                </c:pt>
                <c:pt idx="5">
                  <c:v>Kan Pyin Ywa Haung</c:v>
                </c:pt>
                <c:pt idx="6">
                  <c:v>Kan Pyin Ywar Thit</c:v>
                </c:pt>
                <c:pt idx="7">
                  <c:v>Kha Tin Paik</c:v>
                </c:pt>
                <c:pt idx="8">
                  <c:v>Koe Saung (1) village</c:v>
                </c:pt>
                <c:pt idx="9">
                  <c:v>Kyan Taw</c:v>
                </c:pt>
                <c:pt idx="10">
                  <c:v>Kyar Ma Thauk</c:v>
                </c:pt>
                <c:pt idx="11">
                  <c:v>Kyauk Tan Chay</c:v>
                </c:pt>
                <c:pt idx="12">
                  <c:v>Kyauk Tan Gyi</c:v>
                </c:pt>
                <c:pt idx="13">
                  <c:v>Maung Ni Pyin</c:v>
                </c:pt>
                <c:pt idx="14">
                  <c:v>Ohn Ye Paw</c:v>
                </c:pt>
                <c:pt idx="15">
                  <c:v>Pyar Lay Chaung Ywar Haung</c:v>
                </c:pt>
                <c:pt idx="16">
                  <c:v>Pyin Shey Ku lar</c:v>
                </c:pt>
                <c:pt idx="17">
                  <c:v>Sa Ma Nya Village</c:v>
                </c:pt>
                <c:pt idx="18">
                  <c:v>Thein Tan</c:v>
                </c:pt>
                <c:pt idx="19">
                  <c:v>Thet Kay Pyin</c:v>
                </c:pt>
                <c:pt idx="20">
                  <c:v>Thin Ga Net</c:v>
                </c:pt>
                <c:pt idx="21">
                  <c:v>Thin Pone Tan</c:v>
                </c:pt>
                <c:pt idx="22">
                  <c:v>Thone Saung</c:v>
                </c:pt>
                <c:pt idx="23">
                  <c:v>Yae Chan Pyin</c:v>
                </c:pt>
                <c:pt idx="24">
                  <c:v>Ywar Thar Yar</c:v>
                </c:pt>
              </c:strCache>
            </c:strRef>
          </c:cat>
          <c:val>
            <c:numRef>
              <c:f>'By Site'!$B$34</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AA6C-47F1-9AB0-98C69D3B90AD}"/>
            </c:ext>
          </c:extLst>
        </c:ser>
        <c:ser>
          <c:idx val="2"/>
          <c:order val="2"/>
          <c:tx>
            <c:strRef>
              <c:f>'By Site'!$B$34</c:f>
              <c:strCache>
                <c:ptCount val="1"/>
                <c:pt idx="0">
                  <c:v># of people access to functioning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'By Site'!$B$34</c:f>
              <c:strCache>
                <c:ptCount val="25"/>
                <c:pt idx="0">
                  <c:v>Baw Du Pha Village</c:v>
                </c:pt>
                <c:pt idx="1">
                  <c:v>Bu May Ohn Daw Chay</c:v>
                </c:pt>
                <c:pt idx="2">
                  <c:v>Chaung New Min Gan</c:v>
                </c:pt>
                <c:pt idx="3">
                  <c:v>Dar Paing Ywar Haung</c:v>
                </c:pt>
                <c:pt idx="4">
                  <c:v>Dar Paing Ywar Thit</c:v>
                </c:pt>
                <c:pt idx="5">
                  <c:v>Kan Pyin Ywa Haung</c:v>
                </c:pt>
                <c:pt idx="6">
                  <c:v>Kan Pyin Ywar Thit</c:v>
                </c:pt>
                <c:pt idx="7">
                  <c:v>Kha Tin Paik</c:v>
                </c:pt>
                <c:pt idx="8">
                  <c:v>Koe Saung (1) village</c:v>
                </c:pt>
                <c:pt idx="9">
                  <c:v>Kyan Taw</c:v>
                </c:pt>
                <c:pt idx="10">
                  <c:v>Kyar Ma Thauk</c:v>
                </c:pt>
                <c:pt idx="11">
                  <c:v>Kyauk Tan Chay</c:v>
                </c:pt>
                <c:pt idx="12">
                  <c:v>Kyauk Tan Gyi</c:v>
                </c:pt>
                <c:pt idx="13">
                  <c:v>Maung Ni Pyin</c:v>
                </c:pt>
                <c:pt idx="14">
                  <c:v>Ohn Ye Paw</c:v>
                </c:pt>
                <c:pt idx="15">
                  <c:v>Pyar Lay Chaung Ywar Haung</c:v>
                </c:pt>
                <c:pt idx="16">
                  <c:v>Pyin Shey Ku lar</c:v>
                </c:pt>
                <c:pt idx="17">
                  <c:v>Sa Ma Nya Village</c:v>
                </c:pt>
                <c:pt idx="18">
                  <c:v>Thein Tan</c:v>
                </c:pt>
                <c:pt idx="19">
                  <c:v>Thet Kay Pyin</c:v>
                </c:pt>
                <c:pt idx="20">
                  <c:v>Thin Ga Net</c:v>
                </c:pt>
                <c:pt idx="21">
                  <c:v>Thin Pone Tan</c:v>
                </c:pt>
                <c:pt idx="22">
                  <c:v>Thone Saung</c:v>
                </c:pt>
                <c:pt idx="23">
                  <c:v>Yae Chan Pyin</c:v>
                </c:pt>
                <c:pt idx="24">
                  <c:v>Ywar Thar Yar</c:v>
                </c:pt>
              </c:strCache>
            </c:strRef>
          </c:cat>
          <c:val>
            <c:numRef>
              <c:f>'By Site'!$B$34</c:f>
              <c:numCache>
                <c:formatCode>General</c:formatCode>
                <c:ptCount val="25"/>
                <c:pt idx="0">
                  <c:v>791.99999999999989</c:v>
                </c:pt>
                <c:pt idx="1">
                  <c:v>1302.0000000000002</c:v>
                </c:pt>
                <c:pt idx="2">
                  <c:v>672</c:v>
                </c:pt>
                <c:pt idx="3">
                  <c:v>1260</c:v>
                </c:pt>
                <c:pt idx="4">
                  <c:v>1194</c:v>
                </c:pt>
                <c:pt idx="5">
                  <c:v>264</c:v>
                </c:pt>
                <c:pt idx="6">
                  <c:v>402</c:v>
                </c:pt>
                <c:pt idx="7">
                  <c:v>1296</c:v>
                </c:pt>
                <c:pt idx="8">
                  <c:v>715</c:v>
                </c:pt>
                <c:pt idx="9">
                  <c:v>468</c:v>
                </c:pt>
                <c:pt idx="10">
                  <c:v>1117</c:v>
                </c:pt>
                <c:pt idx="11">
                  <c:v>738</c:v>
                </c:pt>
                <c:pt idx="12">
                  <c:v>708</c:v>
                </c:pt>
                <c:pt idx="13">
                  <c:v>396</c:v>
                </c:pt>
                <c:pt idx="14">
                  <c:v>348</c:v>
                </c:pt>
                <c:pt idx="15">
                  <c:v>370</c:v>
                </c:pt>
                <c:pt idx="16">
                  <c:v>1314</c:v>
                </c:pt>
                <c:pt idx="17">
                  <c:v>1188</c:v>
                </c:pt>
                <c:pt idx="18">
                  <c:v>588</c:v>
                </c:pt>
                <c:pt idx="19">
                  <c:v>1308</c:v>
                </c:pt>
                <c:pt idx="20">
                  <c:v>0</c:v>
                </c:pt>
                <c:pt idx="21">
                  <c:v>816</c:v>
                </c:pt>
                <c:pt idx="22">
                  <c:v>454</c:v>
                </c:pt>
                <c:pt idx="23">
                  <c:v>1116</c:v>
                </c:pt>
                <c:pt idx="24">
                  <c:v>474</c:v>
                </c:pt>
              </c:numCache>
            </c:numRef>
          </c:val>
          <c:extLst>
            <c:ext xmlns:c16="http://schemas.microsoft.com/office/drawing/2014/chart" uri="{C3380CC4-5D6E-409C-BE32-E72D297353CC}">
              <c16:uniqueId val="{00000002-AA6C-47F1-9AB0-98C69D3B90AD}"/>
            </c:ext>
          </c:extLst>
        </c:ser>
        <c:ser>
          <c:idx val="3"/>
          <c:order val="3"/>
          <c:tx>
            <c:strRef>
              <c:f>'By Site'!$B$34</c:f>
              <c:strCache>
                <c:ptCount val="1"/>
                <c:pt idx="0">
                  <c:v># of people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'By Site'!$B$34</c:f>
              <c:strCache>
                <c:ptCount val="25"/>
                <c:pt idx="0">
                  <c:v>Baw Du Pha Village</c:v>
                </c:pt>
                <c:pt idx="1">
                  <c:v>Bu May Ohn Daw Chay</c:v>
                </c:pt>
                <c:pt idx="2">
                  <c:v>Chaung New Min Gan</c:v>
                </c:pt>
                <c:pt idx="3">
                  <c:v>Dar Paing Ywar Haung</c:v>
                </c:pt>
                <c:pt idx="4">
                  <c:v>Dar Paing Ywar Thit</c:v>
                </c:pt>
                <c:pt idx="5">
                  <c:v>Kan Pyin Ywa Haung</c:v>
                </c:pt>
                <c:pt idx="6">
                  <c:v>Kan Pyin Ywar Thit</c:v>
                </c:pt>
                <c:pt idx="7">
                  <c:v>Kha Tin Paik</c:v>
                </c:pt>
                <c:pt idx="8">
                  <c:v>Koe Saung (1) village</c:v>
                </c:pt>
                <c:pt idx="9">
                  <c:v>Kyan Taw</c:v>
                </c:pt>
                <c:pt idx="10">
                  <c:v>Kyar Ma Thauk</c:v>
                </c:pt>
                <c:pt idx="11">
                  <c:v>Kyauk Tan Chay</c:v>
                </c:pt>
                <c:pt idx="12">
                  <c:v>Kyauk Tan Gyi</c:v>
                </c:pt>
                <c:pt idx="13">
                  <c:v>Maung Ni Pyin</c:v>
                </c:pt>
                <c:pt idx="14">
                  <c:v>Ohn Ye Paw</c:v>
                </c:pt>
                <c:pt idx="15">
                  <c:v>Pyar Lay Chaung Ywar Haung</c:v>
                </c:pt>
                <c:pt idx="16">
                  <c:v>Pyin Shey Ku lar</c:v>
                </c:pt>
                <c:pt idx="17">
                  <c:v>Sa Ma Nya Village</c:v>
                </c:pt>
                <c:pt idx="18">
                  <c:v>Thein Tan</c:v>
                </c:pt>
                <c:pt idx="19">
                  <c:v>Thet Kay Pyin</c:v>
                </c:pt>
                <c:pt idx="20">
                  <c:v>Thin Ga Net</c:v>
                </c:pt>
                <c:pt idx="21">
                  <c:v>Thin Pone Tan</c:v>
                </c:pt>
                <c:pt idx="22">
                  <c:v>Thone Saung</c:v>
                </c:pt>
                <c:pt idx="23">
                  <c:v>Yae Chan Pyin</c:v>
                </c:pt>
                <c:pt idx="24">
                  <c:v>Ywar Thar Yar</c:v>
                </c:pt>
              </c:strCache>
            </c:strRef>
          </c:cat>
          <c:val>
            <c:numRef>
              <c:f>'By Site'!$B$34</c:f>
              <c:numCache>
                <c:formatCode>General</c:formatCode>
                <c:ptCount val="25"/>
                <c:pt idx="0">
                  <c:v>1435</c:v>
                </c:pt>
                <c:pt idx="1">
                  <c:v>4476</c:v>
                </c:pt>
                <c:pt idx="2">
                  <c:v>1083</c:v>
                </c:pt>
                <c:pt idx="3">
                  <c:v>1867</c:v>
                </c:pt>
                <c:pt idx="4">
                  <c:v>3768</c:v>
                </c:pt>
                <c:pt idx="5">
                  <c:v>373</c:v>
                </c:pt>
                <c:pt idx="6">
                  <c:v>481</c:v>
                </c:pt>
                <c:pt idx="7">
                  <c:v>2168</c:v>
                </c:pt>
                <c:pt idx="8">
                  <c:v>715</c:v>
                </c:pt>
                <c:pt idx="9">
                  <c:v>656</c:v>
                </c:pt>
                <c:pt idx="10">
                  <c:v>1117</c:v>
                </c:pt>
                <c:pt idx="11">
                  <c:v>741</c:v>
                </c:pt>
                <c:pt idx="12">
                  <c:v>978</c:v>
                </c:pt>
                <c:pt idx="13">
                  <c:v>1027</c:v>
                </c:pt>
                <c:pt idx="14">
                  <c:v>369</c:v>
                </c:pt>
                <c:pt idx="15">
                  <c:v>370</c:v>
                </c:pt>
                <c:pt idx="16">
                  <c:v>1369</c:v>
                </c:pt>
                <c:pt idx="17">
                  <c:v>1750</c:v>
                </c:pt>
                <c:pt idx="18">
                  <c:v>658</c:v>
                </c:pt>
                <c:pt idx="19">
                  <c:v>12993</c:v>
                </c:pt>
                <c:pt idx="20">
                  <c:v>0</c:v>
                </c:pt>
                <c:pt idx="21">
                  <c:v>1574</c:v>
                </c:pt>
                <c:pt idx="22">
                  <c:v>454</c:v>
                </c:pt>
                <c:pt idx="23">
                  <c:v>1529</c:v>
                </c:pt>
                <c:pt idx="24">
                  <c:v>1473</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80171567357265161"/>
          <c:y val="0.18479079148282593"/>
          <c:w val="0.19828432642734836"/>
          <c:h val="0.5650200776787922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[20200720_Myanmar_WASH_4W_2020_Q2_All_Village_Consolidate.xlsx]Tracking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Dashboard'!$M$4</c:f>
              <c:strCache>
                <c:ptCount val="1"/>
                <c:pt idx="0">
                  <c:v>  Total PoP </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'Tracking Dashboard'!$L$5:$L$7</c:f>
              <c:strCache>
                <c:ptCount val="2"/>
                <c:pt idx="0">
                  <c:v>2020_Q1</c:v>
                </c:pt>
                <c:pt idx="1">
                  <c:v>2020_Q2</c:v>
                </c:pt>
              </c:strCache>
            </c:strRef>
          </c:cat>
          <c:val>
            <c:numRef>
              <c:f>'Tracking Dashboard'!$M$5:$M$7</c:f>
              <c:numCache>
                <c:formatCode>General</c:formatCode>
                <c:ptCount val="2"/>
                <c:pt idx="0">
                  <c:v>14096</c:v>
                </c:pt>
                <c:pt idx="1">
                  <c:v>5926</c:v>
                </c:pt>
              </c:numCache>
            </c:numRef>
          </c:val>
          <c:extLst>
            <c:ext xmlns:c16="http://schemas.microsoft.com/office/drawing/2014/chart" uri="{C3380CC4-5D6E-409C-BE32-E72D297353CC}">
              <c16:uniqueId val="{00000000-FFE7-4630-AA87-8BB156FFBC38}"/>
            </c:ext>
          </c:extLst>
        </c:ser>
        <c:ser>
          <c:idx val="1"/>
          <c:order val="1"/>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'Tracking Dashboard'!$L$5:$L$7</c:f>
              <c:strCache>
                <c:ptCount val="2"/>
                <c:pt idx="0">
                  <c:v>2020_Q1</c:v>
                </c:pt>
                <c:pt idx="1">
                  <c:v>2020_Q2</c:v>
                </c:pt>
              </c:strCache>
            </c:strRef>
          </c:cat>
          <c:val>
            <c:numRef>
              <c:f>'Tracking Dashboard'!$N$5:$N$7</c:f>
              <c:numCache>
                <c:formatCode>General</c:formatCode>
                <c:ptCount val="2"/>
                <c:pt idx="0">
                  <c:v>1275</c:v>
                </c:pt>
                <c:pt idx="1">
                  <c:v>1044</c:v>
                </c:pt>
              </c:numCache>
            </c:numRef>
          </c:val>
          <c:extLst>
            <c:ext xmlns:c16="http://schemas.microsoft.com/office/drawing/2014/chart" uri="{C3380CC4-5D6E-409C-BE32-E72D297353CC}">
              <c16:uniqueId val="{00000001-FFE7-4630-AA87-8BB156FFBC38}"/>
            </c:ext>
          </c:extLst>
        </c:ser>
        <c:ser>
          <c:idx val="2"/>
          <c:order val="2"/>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'Tracking Dashboard'!$L$5:$L$7</c:f>
              <c:strCache>
                <c:ptCount val="2"/>
                <c:pt idx="0">
                  <c:v>2020_Q1</c:v>
                </c:pt>
                <c:pt idx="1">
                  <c:v>2020_Q2</c:v>
                </c:pt>
              </c:strCache>
            </c:strRef>
          </c:cat>
          <c:val>
            <c:numRef>
              <c:f>'Tracking Dashboard'!$O$5:$O$7</c:f>
              <c:numCache>
                <c:formatCode>General</c:formatCode>
                <c:ptCount val="2"/>
                <c:pt idx="0">
                  <c:v>2529</c:v>
                </c:pt>
                <c:pt idx="1">
                  <c:v>2394</c:v>
                </c:pt>
              </c:numCache>
            </c:numRef>
          </c:val>
          <c:extLst>
            <c:ext xmlns:c16="http://schemas.microsoft.com/office/drawing/2014/chart" uri="{C3380CC4-5D6E-409C-BE32-E72D297353CC}">
              <c16:uniqueId val="{00000002-FFE7-4630-AA87-8BB156FFBC38}"/>
            </c:ext>
          </c:extLst>
        </c:ser>
        <c:ser>
          <c:idx val="3"/>
          <c:order val="3"/>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'Tracking Dashboard'!$L$5:$L$7</c:f>
              <c:strCache>
                <c:ptCount val="2"/>
                <c:pt idx="0">
                  <c:v>2020_Q1</c:v>
                </c:pt>
                <c:pt idx="1">
                  <c:v>2020_Q2</c:v>
                </c:pt>
              </c:strCache>
            </c:strRef>
          </c:cat>
          <c:val>
            <c:numRef>
              <c:f>'Tracking Dashboard'!$P$5:$P$7</c:f>
              <c:numCache>
                <c:formatCode>General</c:formatCode>
                <c:ptCount val="2"/>
                <c:pt idx="0">
                  <c:v>0</c:v>
                </c:pt>
                <c:pt idx="1">
                  <c:v>3054</c:v>
                </c:pt>
              </c:numCache>
            </c:numRef>
          </c:val>
          <c:extLst>
            <c:ext xmlns:c16="http://schemas.microsoft.com/office/drawing/2014/chart" uri="{C3380CC4-5D6E-409C-BE32-E72D297353CC}">
              <c16:uniqueId val="{00000000-9116-4F02-8F60-3C03EBF393F4}"/>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1163694784788678"/>
          <c:y val="0.42922885394612681"/>
          <c:w val="0.28836305215211328"/>
          <c:h val="0.258309584413730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5">
  <a:schemeClr val="accent2"/>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6" Type="http://schemas.openxmlformats.org/officeDocument/2006/relationships/chart" Target="../charts/chart18.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chart" Target="../charts/chart32.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chart" Target="../charts/chart3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oneCellAnchor>
    <xdr:from>
      <xdr:col>1</xdr:col>
      <xdr:colOff>3463</xdr:colOff>
      <xdr:row>73</xdr:row>
      <xdr:rowOff>562841</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470188" y="4732106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199608</xdr:colOff>
      <xdr:row>53</xdr:row>
      <xdr:rowOff>117315</xdr:rowOff>
    </xdr:from>
    <xdr:to>
      <xdr:col>13</xdr:col>
      <xdr:colOff>139390</xdr:colOff>
      <xdr:row>65</xdr:row>
      <xdr:rowOff>18585</xdr:rowOff>
    </xdr:to>
    <xdr:graphicFrame macro="">
      <xdr:nvGraphicFramePr>
        <xdr:cNvPr id="20" name="Chart 19">
          <a:extLst>
            <a:ext uri="{FF2B5EF4-FFF2-40B4-BE49-F238E27FC236}">
              <a16:creationId xmlns:a16="http://schemas.microsoft.com/office/drawing/2014/main" id="{00000000-0008-0000-07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190501</xdr:colOff>
      <xdr:row>10</xdr:row>
      <xdr:rowOff>114827</xdr:rowOff>
    </xdr:from>
    <xdr:to>
      <xdr:col>22</xdr:col>
      <xdr:colOff>688975</xdr:colOff>
      <xdr:row>45</xdr:row>
      <xdr:rowOff>89957</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862012</xdr:colOff>
      <xdr:row>211</xdr:row>
      <xdr:rowOff>142875</xdr:rowOff>
    </xdr:from>
    <xdr:to>
      <xdr:col>14</xdr:col>
      <xdr:colOff>873247</xdr:colOff>
      <xdr:row>220</xdr:row>
      <xdr:rowOff>111064</xdr:rowOff>
    </xdr:to>
    <mc:AlternateContent xmlns:mc="http://schemas.openxmlformats.org/markup-compatibility/2006" xmlns:a14="http://schemas.microsoft.com/office/drawing/2010/main">
      <mc:Choice Requires="a14">
        <xdr:graphicFrame macro="">
          <xdr:nvGraphicFramePr>
            <xdr:cNvPr id="3" name="State">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5411450" y="62793563"/>
              <a:ext cx="1830300" cy="1552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1028333</xdr:colOff>
      <xdr:row>71</xdr:row>
      <xdr:rowOff>13902</xdr:rowOff>
    </xdr:from>
    <xdr:to>
      <xdr:col>6</xdr:col>
      <xdr:colOff>48173</xdr:colOff>
      <xdr:row>84</xdr:row>
      <xdr:rowOff>24602</xdr:rowOff>
    </xdr:to>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450351</xdr:colOff>
      <xdr:row>264</xdr:row>
      <xdr:rowOff>170273</xdr:rowOff>
    </xdr:from>
    <xdr:to>
      <xdr:col>7</xdr:col>
      <xdr:colOff>177337</xdr:colOff>
      <xdr:row>278</xdr:row>
      <xdr:rowOff>113123</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36295</xdr:colOff>
      <xdr:row>182</xdr:row>
      <xdr:rowOff>187471</xdr:rowOff>
    </xdr:from>
    <xdr:to>
      <xdr:col>6</xdr:col>
      <xdr:colOff>4188</xdr:colOff>
      <xdr:row>200</xdr:row>
      <xdr:rowOff>32220</xdr:rowOff>
    </xdr:to>
    <xdr:graphicFrame macro="">
      <xdr:nvGraphicFramePr>
        <xdr:cNvPr id="55" name="Chart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858795</xdr:colOff>
      <xdr:row>46</xdr:row>
      <xdr:rowOff>99719</xdr:rowOff>
    </xdr:from>
    <xdr:to>
      <xdr:col>9</xdr:col>
      <xdr:colOff>716812</xdr:colOff>
      <xdr:row>62</xdr:row>
      <xdr:rowOff>115823</xdr:rowOff>
    </xdr:to>
    <xdr:graphicFrame macro="">
      <xdr:nvGraphicFramePr>
        <xdr:cNvPr id="26" name="Chart 25">
          <a:extLst>
            <a:ext uri="{FF2B5EF4-FFF2-40B4-BE49-F238E27FC236}">
              <a16:creationId xmlns:a16="http://schemas.microsoft.com/office/drawing/2014/main" id="{00000000-0008-0000-0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204996</xdr:colOff>
      <xdr:row>97</xdr:row>
      <xdr:rowOff>155515</xdr:rowOff>
    </xdr:from>
    <xdr:to>
      <xdr:col>8</xdr:col>
      <xdr:colOff>1209353</xdr:colOff>
      <xdr:row>111</xdr:row>
      <xdr:rowOff>128427</xdr:rowOff>
    </xdr:to>
    <xdr:graphicFrame macro="">
      <xdr:nvGraphicFramePr>
        <xdr:cNvPr id="53" name="Chart 52">
          <a:extLst>
            <a:ext uri="{FF2B5EF4-FFF2-40B4-BE49-F238E27FC236}">
              <a16:creationId xmlns:a16="http://schemas.microsoft.com/office/drawing/2014/main" id="{00000000-0008-0000-08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303640</xdr:colOff>
      <xdr:row>161</xdr:row>
      <xdr:rowOff>121782</xdr:rowOff>
    </xdr:from>
    <xdr:to>
      <xdr:col>9</xdr:col>
      <xdr:colOff>684319</xdr:colOff>
      <xdr:row>178</xdr:row>
      <xdr:rowOff>148692</xdr:rowOff>
    </xdr:to>
    <xdr:graphicFrame macro="">
      <xdr:nvGraphicFramePr>
        <xdr:cNvPr id="59" name="Chart 58">
          <a:extLst>
            <a:ext uri="{FF2B5EF4-FFF2-40B4-BE49-F238E27FC236}">
              <a16:creationId xmlns:a16="http://schemas.microsoft.com/office/drawing/2014/main" id="{00000000-0008-0000-08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15</xdr:col>
      <xdr:colOff>293327</xdr:colOff>
      <xdr:row>211</xdr:row>
      <xdr:rowOff>160627</xdr:rowOff>
    </xdr:from>
    <xdr:to>
      <xdr:col>16</xdr:col>
      <xdr:colOff>948048</xdr:colOff>
      <xdr:row>224</xdr:row>
      <xdr:rowOff>34260</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6139463" y="66835627"/>
              <a:ext cx="1830964" cy="245441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246151</xdr:colOff>
      <xdr:row>279</xdr:row>
      <xdr:rowOff>117724</xdr:rowOff>
    </xdr:from>
    <xdr:to>
      <xdr:col>6</xdr:col>
      <xdr:colOff>612544</xdr:colOff>
      <xdr:row>293</xdr:row>
      <xdr:rowOff>58434</xdr:rowOff>
    </xdr:to>
    <xdr:graphicFrame macro="">
      <xdr:nvGraphicFramePr>
        <xdr:cNvPr id="65" name="Chart 64">
          <a:extLst>
            <a:ext uri="{FF2B5EF4-FFF2-40B4-BE49-F238E27FC236}">
              <a16:creationId xmlns:a16="http://schemas.microsoft.com/office/drawing/2014/main" id="{A65B861A-2F65-49FE-BCC4-94FD95CC2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528691</xdr:colOff>
      <xdr:row>80</xdr:row>
      <xdr:rowOff>46446</xdr:rowOff>
    </xdr:from>
    <xdr:to>
      <xdr:col>15</xdr:col>
      <xdr:colOff>177658</xdr:colOff>
      <xdr:row>92</xdr:row>
      <xdr:rowOff>156893</xdr:rowOff>
    </xdr:to>
    <xdr:graphicFrame macro="">
      <xdr:nvGraphicFramePr>
        <xdr:cNvPr id="5" name="Chart 4">
          <a:extLst>
            <a:ext uri="{FF2B5EF4-FFF2-40B4-BE49-F238E27FC236}">
              <a16:creationId xmlns:a16="http://schemas.microsoft.com/office/drawing/2014/main" id="{A3CDD157-CD7C-4BC7-9267-0D16EEF652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223816</xdr:colOff>
      <xdr:row>114</xdr:row>
      <xdr:rowOff>112122</xdr:rowOff>
    </xdr:from>
    <xdr:to>
      <xdr:col>10</xdr:col>
      <xdr:colOff>797456</xdr:colOff>
      <xdr:row>126</xdr:row>
      <xdr:rowOff>145172</xdr:rowOff>
    </xdr:to>
    <xdr:graphicFrame macro="">
      <xdr:nvGraphicFramePr>
        <xdr:cNvPr id="7" name="Chart 6">
          <a:extLst>
            <a:ext uri="{FF2B5EF4-FFF2-40B4-BE49-F238E27FC236}">
              <a16:creationId xmlns:a16="http://schemas.microsoft.com/office/drawing/2014/main" id="{A591B72E-8E29-4CE6-8829-F87476CDFF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725926</xdr:colOff>
      <xdr:row>145</xdr:row>
      <xdr:rowOff>173968</xdr:rowOff>
    </xdr:from>
    <xdr:to>
      <xdr:col>6</xdr:col>
      <xdr:colOff>405930</xdr:colOff>
      <xdr:row>159</xdr:row>
      <xdr:rowOff>115824</xdr:rowOff>
    </xdr:to>
    <xdr:graphicFrame macro="">
      <xdr:nvGraphicFramePr>
        <xdr:cNvPr id="9" name="Chart 8">
          <a:extLst>
            <a:ext uri="{FF2B5EF4-FFF2-40B4-BE49-F238E27FC236}">
              <a16:creationId xmlns:a16="http://schemas.microsoft.com/office/drawing/2014/main" id="{8FA9050C-C9CE-47DE-98AF-DAEB79AF5C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1109004</xdr:colOff>
      <xdr:row>131</xdr:row>
      <xdr:rowOff>24213</xdr:rowOff>
    </xdr:from>
    <xdr:to>
      <xdr:col>9</xdr:col>
      <xdr:colOff>6671</xdr:colOff>
      <xdr:row>145</xdr:row>
      <xdr:rowOff>13460</xdr:rowOff>
    </xdr:to>
    <xdr:graphicFrame macro="">
      <xdr:nvGraphicFramePr>
        <xdr:cNvPr id="2" name="Chart 1">
          <a:extLst>
            <a:ext uri="{FF2B5EF4-FFF2-40B4-BE49-F238E27FC236}">
              <a16:creationId xmlns:a16="http://schemas.microsoft.com/office/drawing/2014/main" id="{59185517-18D5-4F5B-AE70-F0B02F977F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242047</xdr:colOff>
      <xdr:row>112</xdr:row>
      <xdr:rowOff>147918</xdr:rowOff>
    </xdr:from>
    <xdr:to>
      <xdr:col>22</xdr:col>
      <xdr:colOff>1075765</xdr:colOff>
      <xdr:row>126</xdr:row>
      <xdr:rowOff>129988</xdr:rowOff>
    </xdr:to>
    <xdr:graphicFrame macro="">
      <xdr:nvGraphicFramePr>
        <xdr:cNvPr id="4" name="Chart 3">
          <a:extLst>
            <a:ext uri="{FF2B5EF4-FFF2-40B4-BE49-F238E27FC236}">
              <a16:creationId xmlns:a16="http://schemas.microsoft.com/office/drawing/2014/main" id="{B66E439D-77D1-4918-AF92-57EC301D04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62752</xdr:colOff>
      <xdr:row>79</xdr:row>
      <xdr:rowOff>49307</xdr:rowOff>
    </xdr:from>
    <xdr:to>
      <xdr:col>19</xdr:col>
      <xdr:colOff>770964</xdr:colOff>
      <xdr:row>93</xdr:row>
      <xdr:rowOff>31377</xdr:rowOff>
    </xdr:to>
    <xdr:graphicFrame macro="">
      <xdr:nvGraphicFramePr>
        <xdr:cNvPr id="6" name="Chart 5">
          <a:extLst>
            <a:ext uri="{FF2B5EF4-FFF2-40B4-BE49-F238E27FC236}">
              <a16:creationId xmlns:a16="http://schemas.microsoft.com/office/drawing/2014/main" id="{A54C2601-7B13-4C2D-B2BA-8876BD98CD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860612</xdr:colOff>
      <xdr:row>148</xdr:row>
      <xdr:rowOff>67235</xdr:rowOff>
    </xdr:from>
    <xdr:to>
      <xdr:col>16</xdr:col>
      <xdr:colOff>1398494</xdr:colOff>
      <xdr:row>162</xdr:row>
      <xdr:rowOff>67235</xdr:rowOff>
    </xdr:to>
    <xdr:graphicFrame macro="">
      <xdr:nvGraphicFramePr>
        <xdr:cNvPr id="11" name="Chart 10">
          <a:extLst>
            <a:ext uri="{FF2B5EF4-FFF2-40B4-BE49-F238E27FC236}">
              <a16:creationId xmlns:a16="http://schemas.microsoft.com/office/drawing/2014/main" id="{D0C7D443-227B-4F7B-BA76-A0F498D181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304800</xdr:colOff>
      <xdr:row>28</xdr:row>
      <xdr:rowOff>76200</xdr:rowOff>
    </xdr:from>
    <xdr:to>
      <xdr:col>17</xdr:col>
      <xdr:colOff>1210236</xdr:colOff>
      <xdr:row>42</xdr:row>
      <xdr:rowOff>76200</xdr:rowOff>
    </xdr:to>
    <xdr:graphicFrame macro="">
      <xdr:nvGraphicFramePr>
        <xdr:cNvPr id="10" name="Chart 9">
          <a:extLst>
            <a:ext uri="{FF2B5EF4-FFF2-40B4-BE49-F238E27FC236}">
              <a16:creationId xmlns:a16="http://schemas.microsoft.com/office/drawing/2014/main" id="{E3D84015-3929-4203-990C-E53C82BEBA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1165411</xdr:colOff>
      <xdr:row>29</xdr:row>
      <xdr:rowOff>112060</xdr:rowOff>
    </xdr:from>
    <xdr:to>
      <xdr:col>8</xdr:col>
      <xdr:colOff>421340</xdr:colOff>
      <xdr:row>43</xdr:row>
      <xdr:rowOff>129989</xdr:rowOff>
    </xdr:to>
    <xdr:graphicFrame macro="">
      <xdr:nvGraphicFramePr>
        <xdr:cNvPr id="12" name="Chart 11">
          <a:extLst>
            <a:ext uri="{FF2B5EF4-FFF2-40B4-BE49-F238E27FC236}">
              <a16:creationId xmlns:a16="http://schemas.microsoft.com/office/drawing/2014/main" id="{5E66DD97-336E-45C3-8E35-C0DDE3EE47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12</xdr:col>
      <xdr:colOff>884144</xdr:colOff>
      <xdr:row>221</xdr:row>
      <xdr:rowOff>68917</xdr:rowOff>
    </xdr:from>
    <xdr:to>
      <xdr:col>14</xdr:col>
      <xdr:colOff>875179</xdr:colOff>
      <xdr:row>225</xdr:row>
      <xdr:rowOff>179295</xdr:rowOff>
    </xdr:to>
    <mc:AlternateContent xmlns:mc="http://schemas.openxmlformats.org/markup-compatibility/2006" xmlns:a14="http://schemas.microsoft.com/office/drawing/2010/main">
      <mc:Choice Requires="a14">
        <xdr:graphicFrame macro="">
          <xdr:nvGraphicFramePr>
            <xdr:cNvPr id="13" name="Covered">
              <a:extLst>
                <a:ext uri="{FF2B5EF4-FFF2-40B4-BE49-F238E27FC236}">
                  <a16:creationId xmlns:a16="http://schemas.microsoft.com/office/drawing/2014/main" id="{F4FABD60-45C3-419F-BD4C-9C4BB1596E6A}"/>
                </a:ext>
              </a:extLst>
            </xdr:cNvPr>
            <xdr:cNvGraphicFramePr/>
          </xdr:nvGraphicFramePr>
          <xdr:xfrm>
            <a:off x="0" y="0"/>
            <a:ext cx="0" cy="0"/>
          </xdr:xfrm>
          <a:graphic>
            <a:graphicData uri="http://schemas.microsoft.com/office/drawing/2010/slicer">
              <sle:slicer xmlns:sle="http://schemas.microsoft.com/office/drawing/2010/slicer" name="Covered"/>
            </a:graphicData>
          </a:graphic>
        </xdr:graphicFrame>
      </mc:Choice>
      <mc:Fallback xmlns="">
        <xdr:sp macro="" textlink="">
          <xdr:nvSpPr>
            <xdr:cNvPr id="0" name=""/>
            <xdr:cNvSpPr>
              <a:spLocks noTextEdit="1"/>
            </xdr:cNvSpPr>
          </xdr:nvSpPr>
          <xdr:spPr>
            <a:xfrm>
              <a:off x="16023291" y="44309741"/>
              <a:ext cx="1828800" cy="9172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8</xdr:col>
      <xdr:colOff>500062</xdr:colOff>
      <xdr:row>0</xdr:row>
      <xdr:rowOff>64820</xdr:rowOff>
    </xdr:from>
    <xdr:to>
      <xdr:col>24</xdr:col>
      <xdr:colOff>107156</xdr:colOff>
      <xdr:row>95</xdr:row>
      <xdr:rowOff>130969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38100</xdr:rowOff>
    </xdr:from>
    <xdr:to>
      <xdr:col>0</xdr:col>
      <xdr:colOff>1828800</xdr:colOff>
      <xdr:row>9</xdr:row>
      <xdr:rowOff>2963</xdr:rowOff>
    </xdr:to>
    <mc:AlternateContent xmlns:mc="http://schemas.openxmlformats.org/markup-compatibility/2006" xmlns:a14="http://schemas.microsoft.com/office/drawing/2010/main">
      <mc:Choice Requires="a14">
        <xdr:graphicFrame macro="">
          <xdr:nvGraphicFramePr>
            <xdr:cNvPr id="4" name="State 1">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8100"/>
              <a:ext cx="1828800" cy="14647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1257300</xdr:colOff>
      <xdr:row>0</xdr:row>
      <xdr:rowOff>9525</xdr:rowOff>
    </xdr:from>
    <xdr:to>
      <xdr:col>8</xdr:col>
      <xdr:colOff>302101</xdr:colOff>
      <xdr:row>25</xdr:row>
      <xdr:rowOff>147743</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156528</xdr:colOff>
      <xdr:row>9</xdr:row>
      <xdr:rowOff>73291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9</xdr:row>
      <xdr:rowOff>105833</xdr:rowOff>
    </xdr:from>
    <xdr:to>
      <xdr:col>2</xdr:col>
      <xdr:colOff>184256</xdr:colOff>
      <xdr:row>24</xdr:row>
      <xdr:rowOff>118745</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A0F92203-03F6-4917-8104-9294848FC898}"/>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0" y="1915583"/>
              <a:ext cx="4169832" cy="303741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1902884</xdr:colOff>
      <xdr:row>0</xdr:row>
      <xdr:rowOff>0</xdr:rowOff>
    </xdr:from>
    <xdr:to>
      <xdr:col>2</xdr:col>
      <xdr:colOff>145734</xdr:colOff>
      <xdr:row>9</xdr:row>
      <xdr:rowOff>0</xdr:rowOff>
    </xdr:to>
    <mc:AlternateContent xmlns:mc="http://schemas.openxmlformats.org/markup-compatibility/2006" xmlns:a14="http://schemas.microsoft.com/office/drawing/2010/main">
      <mc:Choice Requires="a14">
        <xdr:graphicFrame macro="">
          <xdr:nvGraphicFramePr>
            <xdr:cNvPr id="6" name="Location Type">
              <a:extLst>
                <a:ext uri="{FF2B5EF4-FFF2-40B4-BE49-F238E27FC236}">
                  <a16:creationId xmlns:a16="http://schemas.microsoft.com/office/drawing/2014/main" id="{CC18EE75-28CB-47C4-BE2D-19C566AC9B5F}"/>
                </a:ext>
              </a:extLst>
            </xdr:cNvPr>
            <xdr:cNvGraphicFramePr/>
          </xdr:nvGraphicFramePr>
          <xdr:xfrm>
            <a:off x="0" y="0"/>
            <a:ext cx="0" cy="0"/>
          </xdr:xfrm>
          <a:graphic>
            <a:graphicData uri="http://schemas.microsoft.com/office/drawing/2010/slicer">
              <sle:slicer xmlns:sle="http://schemas.microsoft.com/office/drawing/2010/slicer" name="Location Type"/>
            </a:graphicData>
          </a:graphic>
        </xdr:graphicFrame>
      </mc:Choice>
      <mc:Fallback xmlns="">
        <xdr:sp macro="" textlink="">
          <xdr:nvSpPr>
            <xdr:cNvPr id="0" name=""/>
            <xdr:cNvSpPr>
              <a:spLocks noTextEdit="1"/>
            </xdr:cNvSpPr>
          </xdr:nvSpPr>
          <xdr:spPr>
            <a:xfrm>
              <a:off x="1902884" y="0"/>
              <a:ext cx="2224616" cy="1809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(All)</a:t>
          </a:fld>
          <a:endParaRPr lang="en-US" sz="1600" b="1">
            <a:solidFill>
              <a:srgbClr val="44546A"/>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2</xdr:colOff>
      <xdr:row>66</xdr:row>
      <xdr:rowOff>166153</xdr:rowOff>
    </xdr:from>
    <xdr:to>
      <xdr:col>6</xdr:col>
      <xdr:colOff>1112175</xdr:colOff>
      <xdr:row>80</xdr:row>
      <xdr:rowOff>74082</xdr:rowOff>
    </xdr:to>
    <xdr:graphicFrame macro="">
      <xdr:nvGraphicFramePr>
        <xdr:cNvPr id="3" name="Chart 2">
          <a:extLst>
            <a:ext uri="{FF2B5EF4-FFF2-40B4-BE49-F238E27FC236}">
              <a16:creationId xmlns:a16="http://schemas.microsoft.com/office/drawing/2014/main" id="{EA2A8E97-86AB-4F63-B9A4-12010E85F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89171</xdr:colOff>
      <xdr:row>1</xdr:row>
      <xdr:rowOff>74346</xdr:rowOff>
    </xdr:from>
    <xdr:to>
      <xdr:col>16</xdr:col>
      <xdr:colOff>1598084</xdr:colOff>
      <xdr:row>3</xdr:row>
      <xdr:rowOff>122606</xdr:rowOff>
    </xdr:to>
    <xdr:sp macro="" textlink="">
      <xdr:nvSpPr>
        <xdr:cNvPr id="5" name="Rectangle 4">
          <a:extLst>
            <a:ext uri="{FF2B5EF4-FFF2-40B4-BE49-F238E27FC236}">
              <a16:creationId xmlns:a16="http://schemas.microsoft.com/office/drawing/2014/main" id="{15705A93-F883-4E40-A2AB-B49B87B38775}"/>
            </a:ext>
          </a:extLst>
        </xdr:cNvPr>
        <xdr:cNvSpPr/>
      </xdr:nvSpPr>
      <xdr:spPr>
        <a:xfrm>
          <a:off x="6830754" y="571763"/>
          <a:ext cx="7541413" cy="36576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a:t>
          </a:r>
        </a:p>
      </xdr:txBody>
    </xdr:sp>
    <xdr:clientData/>
  </xdr:twoCellAnchor>
  <xdr:twoCellAnchor>
    <xdr:from>
      <xdr:col>7</xdr:col>
      <xdr:colOff>64378</xdr:colOff>
      <xdr:row>23</xdr:row>
      <xdr:rowOff>59400</xdr:rowOff>
    </xdr:from>
    <xdr:to>
      <xdr:col>16</xdr:col>
      <xdr:colOff>1598083</xdr:colOff>
      <xdr:row>25</xdr:row>
      <xdr:rowOff>107660</xdr:rowOff>
    </xdr:to>
    <xdr:sp macro="" textlink="">
      <xdr:nvSpPr>
        <xdr:cNvPr id="6" name="TextBox 5">
          <a:extLst>
            <a:ext uri="{FF2B5EF4-FFF2-40B4-BE49-F238E27FC236}">
              <a16:creationId xmlns:a16="http://schemas.microsoft.com/office/drawing/2014/main" id="{C1BE4997-54AA-4565-B236-6F7430B00007}"/>
            </a:ext>
          </a:extLst>
        </xdr:cNvPr>
        <xdr:cNvSpPr txBox="1"/>
      </xdr:nvSpPr>
      <xdr:spPr>
        <a:xfrm>
          <a:off x="6805961" y="4049317"/>
          <a:ext cx="7566205" cy="36576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in communities </a:t>
          </a:r>
          <a:endParaRPr lang="en-US" sz="1400">
            <a:solidFill>
              <a:schemeClr val="bg1"/>
            </a:solidFill>
            <a:effectLst/>
          </a:endParaRPr>
        </a:p>
      </xdr:txBody>
    </xdr:sp>
    <xdr:clientData/>
  </xdr:twoCellAnchor>
  <xdr:twoCellAnchor>
    <xdr:from>
      <xdr:col>7</xdr:col>
      <xdr:colOff>66506</xdr:colOff>
      <xdr:row>43</xdr:row>
      <xdr:rowOff>311279</xdr:rowOff>
    </xdr:from>
    <xdr:to>
      <xdr:col>16</xdr:col>
      <xdr:colOff>1587499</xdr:colOff>
      <xdr:row>46</xdr:row>
      <xdr:rowOff>42039</xdr:rowOff>
    </xdr:to>
    <xdr:sp macro="" textlink="">
      <xdr:nvSpPr>
        <xdr:cNvPr id="7" name="TextBox 45">
          <a:extLst>
            <a:ext uri="{FF2B5EF4-FFF2-40B4-BE49-F238E27FC236}">
              <a16:creationId xmlns:a16="http://schemas.microsoft.com/office/drawing/2014/main" id="{808DA1AB-6995-45A1-B01B-049305761F22}"/>
            </a:ext>
          </a:extLst>
        </xdr:cNvPr>
        <xdr:cNvSpPr txBox="1"/>
      </xdr:nvSpPr>
      <xdr:spPr>
        <a:xfrm>
          <a:off x="6808089" y="7582029"/>
          <a:ext cx="7553493" cy="36576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&amp; Hygiene Promotion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0</xdr:col>
      <xdr:colOff>95249</xdr:colOff>
      <xdr:row>1</xdr:row>
      <xdr:rowOff>47718</xdr:rowOff>
    </xdr:from>
    <xdr:to>
      <xdr:col>6</xdr:col>
      <xdr:colOff>1132416</xdr:colOff>
      <xdr:row>25</xdr:row>
      <xdr:rowOff>95249</xdr:rowOff>
    </xdr:to>
    <xdr:graphicFrame macro="">
      <xdr:nvGraphicFramePr>
        <xdr:cNvPr id="8" name="Chart 7">
          <a:extLst>
            <a:ext uri="{FF2B5EF4-FFF2-40B4-BE49-F238E27FC236}">
              <a16:creationId xmlns:a16="http://schemas.microsoft.com/office/drawing/2014/main" id="{96F6CB4F-9792-4B55-AECF-8BD60B94C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201079</xdr:colOff>
      <xdr:row>59</xdr:row>
      <xdr:rowOff>1081449</xdr:rowOff>
    </xdr:from>
    <xdr:to>
      <xdr:col>14</xdr:col>
      <xdr:colOff>468626</xdr:colOff>
      <xdr:row>66</xdr:row>
      <xdr:rowOff>0</xdr:rowOff>
    </xdr:to>
    <xdr:graphicFrame macro="">
      <xdr:nvGraphicFramePr>
        <xdr:cNvPr id="13" name="Chart 12">
          <a:extLst>
            <a:ext uri="{FF2B5EF4-FFF2-40B4-BE49-F238E27FC236}">
              <a16:creationId xmlns:a16="http://schemas.microsoft.com/office/drawing/2014/main" id="{A99BDEB3-4A3B-4C8D-BA57-DC7C32220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74082</xdr:colOff>
      <xdr:row>59</xdr:row>
      <xdr:rowOff>1083725</xdr:rowOff>
    </xdr:from>
    <xdr:to>
      <xdr:col>11</xdr:col>
      <xdr:colOff>140545</xdr:colOff>
      <xdr:row>65</xdr:row>
      <xdr:rowOff>306712</xdr:rowOff>
    </xdr:to>
    <xdr:graphicFrame macro="">
      <xdr:nvGraphicFramePr>
        <xdr:cNvPr id="14" name="Chart 13">
          <a:extLst>
            <a:ext uri="{FF2B5EF4-FFF2-40B4-BE49-F238E27FC236}">
              <a16:creationId xmlns:a16="http://schemas.microsoft.com/office/drawing/2014/main" id="{C5F4A297-4E8C-4114-A27D-C0860F849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8465</xdr:colOff>
      <xdr:row>25</xdr:row>
      <xdr:rowOff>152400</xdr:rowOff>
    </xdr:from>
    <xdr:to>
      <xdr:col>12</xdr:col>
      <xdr:colOff>211667</xdr:colOff>
      <xdr:row>43</xdr:row>
      <xdr:rowOff>50383</xdr:rowOff>
    </xdr:to>
    <xdr:graphicFrame macro="">
      <xdr:nvGraphicFramePr>
        <xdr:cNvPr id="16" name="Chart 15">
          <a:extLst>
            <a:ext uri="{FF2B5EF4-FFF2-40B4-BE49-F238E27FC236}">
              <a16:creationId xmlns:a16="http://schemas.microsoft.com/office/drawing/2014/main" id="{C4A49F15-0767-4C81-8A94-E105F248E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550335</xdr:colOff>
      <xdr:row>59</xdr:row>
      <xdr:rowOff>1083734</xdr:rowOff>
    </xdr:from>
    <xdr:to>
      <xdr:col>16</xdr:col>
      <xdr:colOff>1590465</xdr:colOff>
      <xdr:row>65</xdr:row>
      <xdr:rowOff>306721</xdr:rowOff>
    </xdr:to>
    <xdr:graphicFrame macro="">
      <xdr:nvGraphicFramePr>
        <xdr:cNvPr id="18" name="Chart 17">
          <a:extLst>
            <a:ext uri="{FF2B5EF4-FFF2-40B4-BE49-F238E27FC236}">
              <a16:creationId xmlns:a16="http://schemas.microsoft.com/office/drawing/2014/main" id="{8B1C20BD-8477-4145-9CB6-2A2B9C0A0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52916</xdr:colOff>
      <xdr:row>59</xdr:row>
      <xdr:rowOff>518584</xdr:rowOff>
    </xdr:from>
    <xdr:to>
      <xdr:col>16</xdr:col>
      <xdr:colOff>1545167</xdr:colOff>
      <xdr:row>59</xdr:row>
      <xdr:rowOff>1024468</xdr:rowOff>
    </xdr:to>
    <xdr:sp macro="" textlink="">
      <xdr:nvSpPr>
        <xdr:cNvPr id="19" name="TextBox 45">
          <a:extLst>
            <a:ext uri="{FF2B5EF4-FFF2-40B4-BE49-F238E27FC236}">
              <a16:creationId xmlns:a16="http://schemas.microsoft.com/office/drawing/2014/main" id="{E389AF46-DA27-445F-8F66-C94E2B1C7782}"/>
            </a:ext>
          </a:extLst>
        </xdr:cNvPr>
        <xdr:cNvSpPr txBox="1"/>
      </xdr:nvSpPr>
      <xdr:spPr>
        <a:xfrm>
          <a:off x="7495116" y="11940117"/>
          <a:ext cx="7495118" cy="505884"/>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Education - WASH in School</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7</xdr:col>
      <xdr:colOff>74082</xdr:colOff>
      <xdr:row>66</xdr:row>
      <xdr:rowOff>173565</xdr:rowOff>
    </xdr:from>
    <xdr:to>
      <xdr:col>16</xdr:col>
      <xdr:colOff>1598082</xdr:colOff>
      <xdr:row>80</xdr:row>
      <xdr:rowOff>74084</xdr:rowOff>
    </xdr:to>
    <xdr:graphicFrame macro="">
      <xdr:nvGraphicFramePr>
        <xdr:cNvPr id="22" name="Chart 21">
          <a:extLst>
            <a:ext uri="{FF2B5EF4-FFF2-40B4-BE49-F238E27FC236}">
              <a16:creationId xmlns:a16="http://schemas.microsoft.com/office/drawing/2014/main" id="{972BD49A-AEE2-4E83-9CAB-C39E7DD56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71970</xdr:colOff>
      <xdr:row>46</xdr:row>
      <xdr:rowOff>61382</xdr:rowOff>
    </xdr:from>
    <xdr:to>
      <xdr:col>13</xdr:col>
      <xdr:colOff>601134</xdr:colOff>
      <xdr:row>59</xdr:row>
      <xdr:rowOff>431800</xdr:rowOff>
    </xdr:to>
    <xdr:graphicFrame macro="">
      <xdr:nvGraphicFramePr>
        <xdr:cNvPr id="23" name="Chart 22">
          <a:extLst>
            <a:ext uri="{FF2B5EF4-FFF2-40B4-BE49-F238E27FC236}">
              <a16:creationId xmlns:a16="http://schemas.microsoft.com/office/drawing/2014/main" id="{5AFBD011-343B-44FB-B6AC-DDA17A1B1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285750</xdr:colOff>
      <xdr:row>25</xdr:row>
      <xdr:rowOff>143934</xdr:rowOff>
    </xdr:from>
    <xdr:to>
      <xdr:col>16</xdr:col>
      <xdr:colOff>1574799</xdr:colOff>
      <xdr:row>43</xdr:row>
      <xdr:rowOff>59266</xdr:rowOff>
    </xdr:to>
    <xdr:graphicFrame macro="">
      <xdr:nvGraphicFramePr>
        <xdr:cNvPr id="24" name="Chart 23">
          <a:extLst>
            <a:ext uri="{FF2B5EF4-FFF2-40B4-BE49-F238E27FC236}">
              <a16:creationId xmlns:a16="http://schemas.microsoft.com/office/drawing/2014/main" id="{604598AE-5598-4BB8-B1D7-D111E34BF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651933</xdr:colOff>
      <xdr:row>46</xdr:row>
      <xdr:rowOff>59266</xdr:rowOff>
    </xdr:from>
    <xdr:to>
      <xdr:col>17</xdr:col>
      <xdr:colOff>0</xdr:colOff>
      <xdr:row>59</xdr:row>
      <xdr:rowOff>457200</xdr:rowOff>
    </xdr:to>
    <xdr:graphicFrame macro="">
      <xdr:nvGraphicFramePr>
        <xdr:cNvPr id="28" name="Chart 27">
          <a:extLst>
            <a:ext uri="{FF2B5EF4-FFF2-40B4-BE49-F238E27FC236}">
              <a16:creationId xmlns:a16="http://schemas.microsoft.com/office/drawing/2014/main" id="{AD5D8835-7557-4367-9132-60C64ACAA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84668</xdr:colOff>
      <xdr:row>4</xdr:row>
      <xdr:rowOff>50800</xdr:rowOff>
    </xdr:from>
    <xdr:to>
      <xdr:col>12</xdr:col>
      <xdr:colOff>203199</xdr:colOff>
      <xdr:row>22</xdr:row>
      <xdr:rowOff>169334</xdr:rowOff>
    </xdr:to>
    <xdr:graphicFrame macro="">
      <xdr:nvGraphicFramePr>
        <xdr:cNvPr id="26" name="Chart 25">
          <a:extLst>
            <a:ext uri="{FF2B5EF4-FFF2-40B4-BE49-F238E27FC236}">
              <a16:creationId xmlns:a16="http://schemas.microsoft.com/office/drawing/2014/main" id="{B4C30939-A52A-40BD-B642-7FD552A56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262467</xdr:colOff>
      <xdr:row>4</xdr:row>
      <xdr:rowOff>50800</xdr:rowOff>
    </xdr:from>
    <xdr:to>
      <xdr:col>16</xdr:col>
      <xdr:colOff>1557865</xdr:colOff>
      <xdr:row>23</xdr:row>
      <xdr:rowOff>0</xdr:rowOff>
    </xdr:to>
    <xdr:graphicFrame macro="">
      <xdr:nvGraphicFramePr>
        <xdr:cNvPr id="32" name="Chart 31">
          <a:extLst>
            <a:ext uri="{FF2B5EF4-FFF2-40B4-BE49-F238E27FC236}">
              <a16:creationId xmlns:a16="http://schemas.microsoft.com/office/drawing/2014/main" id="{31A06946-8C2C-4C78-9C00-E3689D025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84666</xdr:colOff>
      <xdr:row>25</xdr:row>
      <xdr:rowOff>148166</xdr:rowOff>
    </xdr:from>
    <xdr:to>
      <xdr:col>6</xdr:col>
      <xdr:colOff>1121833</xdr:colOff>
      <xdr:row>41</xdr:row>
      <xdr:rowOff>136736</xdr:rowOff>
    </xdr:to>
    <xdr:graphicFrame macro="">
      <xdr:nvGraphicFramePr>
        <xdr:cNvPr id="21" name="Chart 20">
          <a:extLst>
            <a:ext uri="{FF2B5EF4-FFF2-40B4-BE49-F238E27FC236}">
              <a16:creationId xmlns:a16="http://schemas.microsoft.com/office/drawing/2014/main" id="{9FC823FF-2833-4241-9B85-26B9B2EA0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84666</xdr:colOff>
      <xdr:row>42</xdr:row>
      <xdr:rowOff>133252</xdr:rowOff>
    </xdr:from>
    <xdr:to>
      <xdr:col>6</xdr:col>
      <xdr:colOff>1121833</xdr:colOff>
      <xdr:row>56</xdr:row>
      <xdr:rowOff>185322</xdr:rowOff>
    </xdr:to>
    <xdr:graphicFrame macro="">
      <xdr:nvGraphicFramePr>
        <xdr:cNvPr id="25" name="Chart 24">
          <a:extLst>
            <a:ext uri="{FF2B5EF4-FFF2-40B4-BE49-F238E27FC236}">
              <a16:creationId xmlns:a16="http://schemas.microsoft.com/office/drawing/2014/main" id="{4664C062-5848-46B7-9499-0D04E1185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84667</xdr:colOff>
      <xdr:row>57</xdr:row>
      <xdr:rowOff>137584</xdr:rowOff>
    </xdr:from>
    <xdr:to>
      <xdr:col>7</xdr:col>
      <xdr:colOff>0</xdr:colOff>
      <xdr:row>58</xdr:row>
      <xdr:rowOff>69131</xdr:rowOff>
    </xdr:to>
    <xdr:sp macro="" textlink="">
      <xdr:nvSpPr>
        <xdr:cNvPr id="27" name="Rectangle 26">
          <a:extLst>
            <a:ext uri="{FF2B5EF4-FFF2-40B4-BE49-F238E27FC236}">
              <a16:creationId xmlns:a16="http://schemas.microsoft.com/office/drawing/2014/main" id="{2344A46D-2D8A-4828-9278-B1C3AF677A89}"/>
            </a:ext>
          </a:extLst>
        </xdr:cNvPr>
        <xdr:cNvSpPr/>
      </xdr:nvSpPr>
      <xdr:spPr>
        <a:xfrm>
          <a:off x="84667" y="9884834"/>
          <a:ext cx="6858000" cy="608880"/>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GIZ, AA, BMZ, MA HQ, GHA</a:t>
          </a:r>
          <a:r>
            <a:rPr lang="en-US" sz="1400" b="0" i="0" u="none" strike="noStrike" baseline="0">
              <a:solidFill>
                <a:schemeClr val="bg1">
                  <a:lumMod val="50000"/>
                </a:schemeClr>
              </a:solidFill>
              <a:effectLst/>
              <a:latin typeface="+mn-lt"/>
              <a:ea typeface="+mn-ea"/>
              <a:cs typeface="+mn-cs"/>
            </a:rPr>
            <a:t> (AA), GAC, FFO, MA-UK HQ, ZOA, CDC, ECHO, OFDA, MHF, UNICEF, HARP-F</a:t>
          </a:r>
          <a:endParaRPr lang="en-US" sz="1400">
            <a:solidFill>
              <a:schemeClr val="bg1">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3004152</xdr:colOff>
      <xdr:row>2</xdr:row>
      <xdr:rowOff>11717</xdr:rowOff>
    </xdr:from>
    <xdr:to>
      <xdr:col>20</xdr:col>
      <xdr:colOff>13607</xdr:colOff>
      <xdr:row>37</xdr:row>
      <xdr:rowOff>240741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65011</xdr:colOff>
      <xdr:row>2</xdr:row>
      <xdr:rowOff>1814</xdr:rowOff>
    </xdr:from>
    <xdr:to>
      <xdr:col>5</xdr:col>
      <xdr:colOff>1901430</xdr:colOff>
      <xdr:row>12</xdr:row>
      <xdr:rowOff>2873</xdr:rowOff>
    </xdr:to>
    <mc:AlternateContent xmlns:mc="http://schemas.openxmlformats.org/markup-compatibility/2006" xmlns:a14="http://schemas.microsoft.com/office/drawing/2010/main">
      <mc:Choice Requires="a14">
        <xdr:graphicFrame macro="">
          <xdr:nvGraphicFramePr>
            <xdr:cNvPr id="4" name="State 2">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65011" y="535633"/>
              <a:ext cx="1828799" cy="199297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1052285</xdr:colOff>
      <xdr:row>2</xdr:row>
      <xdr:rowOff>15575</xdr:rowOff>
    </xdr:from>
    <xdr:to>
      <xdr:col>6</xdr:col>
      <xdr:colOff>2861966</xdr:colOff>
      <xdr:row>23</xdr:row>
      <xdr:rowOff>34646</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3888851" y="549394"/>
              <a:ext cx="1815396" cy="41387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48382</xdr:colOff>
      <xdr:row>12</xdr:row>
      <xdr:rowOff>133048</xdr:rowOff>
    </xdr:from>
    <xdr:to>
      <xdr:col>6</xdr:col>
      <xdr:colOff>993744</xdr:colOff>
      <xdr:row>23</xdr:row>
      <xdr:rowOff>1162</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EE4C039-1958-4372-8494-54DA83926F1C}"/>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48382" y="2655603"/>
              <a:ext cx="3792088" cy="205223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1994353</xdr:colOff>
      <xdr:row>1</xdr:row>
      <xdr:rowOff>188989</xdr:rowOff>
    </xdr:from>
    <xdr:to>
      <xdr:col>6</xdr:col>
      <xdr:colOff>987444</xdr:colOff>
      <xdr:row>12</xdr:row>
      <xdr:rowOff>41245</xdr:rowOff>
    </xdr:to>
    <mc:AlternateContent xmlns:mc="http://schemas.openxmlformats.org/markup-compatibility/2006" xmlns:a14="http://schemas.microsoft.com/office/drawing/2010/main">
      <mc:Choice Requires="a14">
        <xdr:graphicFrame macro="">
          <xdr:nvGraphicFramePr>
            <xdr:cNvPr id="6" name="Location Type 2">
              <a:extLst>
                <a:ext uri="{FF2B5EF4-FFF2-40B4-BE49-F238E27FC236}">
                  <a16:creationId xmlns:a16="http://schemas.microsoft.com/office/drawing/2014/main" id="{5931821A-DDAF-4FBF-8E6A-43CBDAF27F91}"/>
                </a:ext>
              </a:extLst>
            </xdr:cNvPr>
            <xdr:cNvGraphicFramePr/>
          </xdr:nvGraphicFramePr>
          <xdr:xfrm>
            <a:off x="0" y="0"/>
            <a:ext cx="0" cy="0"/>
          </xdr:xfrm>
          <a:graphic>
            <a:graphicData uri="http://schemas.microsoft.com/office/drawing/2010/slicer">
              <sle:slicer xmlns:sle="http://schemas.microsoft.com/office/drawing/2010/slicer" name="Location Type 2"/>
            </a:graphicData>
          </a:graphic>
        </xdr:graphicFrame>
      </mc:Choice>
      <mc:Fallback xmlns="">
        <xdr:sp macro="" textlink="">
          <xdr:nvSpPr>
            <xdr:cNvPr id="0" name=""/>
            <xdr:cNvSpPr>
              <a:spLocks noTextEdit="1"/>
            </xdr:cNvSpPr>
          </xdr:nvSpPr>
          <xdr:spPr>
            <a:xfrm>
              <a:off x="1994353" y="523934"/>
              <a:ext cx="1814417" cy="20500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133351</xdr:rowOff>
    </xdr:from>
    <xdr:to>
      <xdr:col>7</xdr:col>
      <xdr:colOff>1028700</xdr:colOff>
      <xdr:row>32</xdr:row>
      <xdr:rowOff>38101</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76200</xdr:colOff>
      <xdr:row>1</xdr:row>
      <xdr:rowOff>0</xdr:rowOff>
    </xdr:from>
    <xdr:to>
      <xdr:col>9</xdr:col>
      <xdr:colOff>187325</xdr:colOff>
      <xdr:row>11</xdr:row>
      <xdr:rowOff>147320</xdr:rowOff>
    </xdr:to>
    <mc:AlternateContent xmlns:mc="http://schemas.openxmlformats.org/markup-compatibility/2006" xmlns:a14="http://schemas.microsoft.com/office/drawing/2010/main">
      <mc:Choice Requires="a14">
        <xdr:graphicFrame macro="">
          <xdr:nvGraphicFramePr>
            <xdr:cNvPr id="4" name="State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microsoft.com/office/drawing/2010/slicer">
              <sle:slicer xmlns:sle="http://schemas.microsoft.com/office/drawing/2010/slicer" name="State 3"/>
            </a:graphicData>
          </a:graphic>
        </xdr:graphicFrame>
      </mc:Choice>
      <mc:Fallback xmlns="">
        <xdr:sp macro="" textlink="">
          <xdr:nvSpPr>
            <xdr:cNvPr id="0" name=""/>
            <xdr:cNvSpPr>
              <a:spLocks noTextEdit="1"/>
            </xdr:cNvSpPr>
          </xdr:nvSpPr>
          <xdr:spPr>
            <a:xfrm>
              <a:off x="8610600" y="200025"/>
              <a:ext cx="1828800" cy="2124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292553</xdr:colOff>
      <xdr:row>0</xdr:row>
      <xdr:rowOff>178252</xdr:rowOff>
    </xdr:from>
    <xdr:to>
      <xdr:col>10</xdr:col>
      <xdr:colOff>2129608</xdr:colOff>
      <xdr:row>26</xdr:row>
      <xdr:rowOff>31567</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12430124" y="178252"/>
              <a:ext cx="1835150" cy="49325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200025</xdr:colOff>
      <xdr:row>0</xdr:row>
      <xdr:rowOff>190500</xdr:rowOff>
    </xdr:from>
    <xdr:to>
      <xdr:col>10</xdr:col>
      <xdr:colOff>149225</xdr:colOff>
      <xdr:row>11</xdr:row>
      <xdr:rowOff>114300</xdr:rowOff>
    </xdr:to>
    <mc:AlternateContent xmlns:mc="http://schemas.openxmlformats.org/markup-compatibility/2006" xmlns:a14="http://schemas.microsoft.com/office/drawing/2010/main">
      <mc:Choice Requires="a14">
        <xdr:graphicFrame macro="">
          <xdr:nvGraphicFramePr>
            <xdr:cNvPr id="3" name="Location Type 1">
              <a:extLst>
                <a:ext uri="{FF2B5EF4-FFF2-40B4-BE49-F238E27FC236}">
                  <a16:creationId xmlns:a16="http://schemas.microsoft.com/office/drawing/2014/main" id="{598385C2-5E67-4F9F-992A-3E846D400C4E}"/>
                </a:ext>
              </a:extLst>
            </xdr:cNvPr>
            <xdr:cNvGraphicFramePr/>
          </xdr:nvGraphicFramePr>
          <xdr:xfrm>
            <a:off x="0" y="0"/>
            <a:ext cx="0" cy="0"/>
          </xdr:xfrm>
          <a:graphic>
            <a:graphicData uri="http://schemas.microsoft.com/office/drawing/2010/slicer">
              <sle:slicer xmlns:sle="http://schemas.microsoft.com/office/drawing/2010/slicer" name="Location Type 1"/>
            </a:graphicData>
          </a:graphic>
        </xdr:graphicFrame>
      </mc:Choice>
      <mc:Fallback xmlns="">
        <xdr:sp macro="" textlink="">
          <xdr:nvSpPr>
            <xdr:cNvPr id="0" name=""/>
            <xdr:cNvSpPr>
              <a:spLocks noTextEdit="1"/>
            </xdr:cNvSpPr>
          </xdr:nvSpPr>
          <xdr:spPr>
            <a:xfrm>
              <a:off x="10458450" y="190500"/>
              <a:ext cx="1828800" cy="2124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28575</xdr:colOff>
      <xdr:row>12</xdr:row>
      <xdr:rowOff>1</xdr:rowOff>
    </xdr:from>
    <xdr:to>
      <xdr:col>10</xdr:col>
      <xdr:colOff>186690</xdr:colOff>
      <xdr:row>26</xdr:row>
      <xdr:rowOff>76200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7B7A573B-D2BE-4B3B-9E6B-BF31653DDBA1}"/>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562975" y="2400301"/>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1045027</xdr:colOff>
      <xdr:row>26</xdr:row>
      <xdr:rowOff>130630</xdr:rowOff>
    </xdr:from>
    <xdr:to>
      <xdr:col>10</xdr:col>
      <xdr:colOff>152399</xdr:colOff>
      <xdr:row>31</xdr:row>
      <xdr:rowOff>145869</xdr:rowOff>
    </xdr:to>
    <mc:AlternateContent xmlns:mc="http://schemas.openxmlformats.org/markup-compatibility/2006" xmlns:a14="http://schemas.microsoft.com/office/drawing/2010/main">
      <mc:Choice Requires="a14">
        <xdr:graphicFrame macro="">
          <xdr:nvGraphicFramePr>
            <xdr:cNvPr id="7" name="Reporting Period 1">
              <a:extLst>
                <a:ext uri="{FF2B5EF4-FFF2-40B4-BE49-F238E27FC236}">
                  <a16:creationId xmlns:a16="http://schemas.microsoft.com/office/drawing/2014/main" id="{ABD6DBE5-5989-46F5-86FE-2AEAF70907F9}"/>
                </a:ext>
              </a:extLst>
            </xdr:cNvPr>
            <xdr:cNvGraphicFramePr/>
          </xdr:nvGraphicFramePr>
          <xdr:xfrm>
            <a:off x="0" y="0"/>
            <a:ext cx="0" cy="0"/>
          </xdr:xfrm>
          <a:graphic>
            <a:graphicData uri="http://schemas.microsoft.com/office/drawing/2010/slicer">
              <sle:slicer xmlns:sle="http://schemas.microsoft.com/office/drawing/2010/slicer" name="Reporting Period 1"/>
            </a:graphicData>
          </a:graphic>
        </xdr:graphicFrame>
      </mc:Choice>
      <mc:Fallback xmlns="">
        <xdr:sp macro="" textlink="">
          <xdr:nvSpPr>
            <xdr:cNvPr id="0" name=""/>
            <xdr:cNvSpPr>
              <a:spLocks noTextEdit="1"/>
            </xdr:cNvSpPr>
          </xdr:nvSpPr>
          <xdr:spPr>
            <a:xfrm>
              <a:off x="8512627" y="5225144"/>
              <a:ext cx="3777343" cy="97971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ef-my.sharepoint.com/Users/mthaw/Mee%20Mee/2.%20Information%20Management/B_%204%20W/002.%204Ws%20matrix/001.New%204%20W/2019/Data%20Entry/Core_File_Myanmar_WASH_4W_2019_Q2%20-%2017062019%20-KachinSh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cef-my.sharepoint.com/Users/mthaw/Mee%20Mee/2.%20Information%20Management/B_%204%20W/002.%204Ws%20matrix/001.New%204%20W/2019/Data%20Entry/Q2_2019/Core_File_Myanmar_WASH_4W_2019_Q2_Rakhine_Villag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thaw/Mee%20Mee/2.%20Information%20Management/C_Camp%20Info/2.%20CCCM%20Camp%20list/Kachin/2019/shelter-nfi-cccm_kachin_northern_shan_cluster_analysis_report_march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20/2020_Q2/20200721_Funding%20Matrix_2020_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 val="Site_DB"/>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3">
          <cell r="AB3" t="str">
            <v>State_list</v>
          </cell>
        </row>
        <row r="4">
          <cell r="AB4" t="str">
            <v>Central Rakhine</v>
          </cell>
        </row>
        <row r="5">
          <cell r="AB5" t="str">
            <v>Central Rakhine</v>
          </cell>
        </row>
        <row r="6">
          <cell r="AB6" t="str">
            <v>Central Rakhine</v>
          </cell>
        </row>
        <row r="7">
          <cell r="AB7" t="str">
            <v>Central Rakhine</v>
          </cell>
        </row>
        <row r="8">
          <cell r="AB8" t="str">
            <v>Central Rakhine</v>
          </cell>
        </row>
        <row r="9">
          <cell r="AB9" t="str">
            <v>Central Rakhine</v>
          </cell>
        </row>
        <row r="10">
          <cell r="AB10" t="str">
            <v>Central Rakhine</v>
          </cell>
        </row>
        <row r="11">
          <cell r="AB11" t="str">
            <v>Central Rakhine</v>
          </cell>
        </row>
        <row r="12">
          <cell r="AB12" t="str">
            <v>Central Rakhine</v>
          </cell>
        </row>
        <row r="13">
          <cell r="AB13" t="str">
            <v>Kachin</v>
          </cell>
        </row>
        <row r="14">
          <cell r="AB14" t="str">
            <v>Kachin</v>
          </cell>
        </row>
        <row r="15">
          <cell r="AB15" t="str">
            <v>Kachin</v>
          </cell>
        </row>
        <row r="16">
          <cell r="AB16" t="str">
            <v>Kachin</v>
          </cell>
        </row>
        <row r="17">
          <cell r="AB17" t="str">
            <v>Kachin</v>
          </cell>
        </row>
        <row r="18">
          <cell r="AB18" t="str">
            <v>Kachin</v>
          </cell>
        </row>
        <row r="19">
          <cell r="AB19" t="str">
            <v>Kachin</v>
          </cell>
        </row>
        <row r="20">
          <cell r="AB20" t="str">
            <v>Kachin</v>
          </cell>
        </row>
        <row r="21">
          <cell r="AB21" t="str">
            <v>Kachin</v>
          </cell>
        </row>
        <row r="22">
          <cell r="AB22" t="str">
            <v>Kachin</v>
          </cell>
        </row>
        <row r="23">
          <cell r="AB23" t="str">
            <v>Kachin</v>
          </cell>
        </row>
        <row r="24">
          <cell r="AB24" t="str">
            <v>Kachin</v>
          </cell>
        </row>
        <row r="25">
          <cell r="AB25" t="str">
            <v>Kachin</v>
          </cell>
        </row>
        <row r="26">
          <cell r="AB26" t="str">
            <v>Kachin</v>
          </cell>
        </row>
        <row r="27">
          <cell r="AB27" t="str">
            <v>Kachin</v>
          </cell>
        </row>
        <row r="28">
          <cell r="AB28" t="str">
            <v>Kachin</v>
          </cell>
        </row>
        <row r="29">
          <cell r="AB29" t="str">
            <v>Kachin</v>
          </cell>
        </row>
        <row r="30">
          <cell r="AB30" t="str">
            <v>Kachin</v>
          </cell>
        </row>
        <row r="31">
          <cell r="AB31" t="str">
            <v>Kachin</v>
          </cell>
        </row>
        <row r="32">
          <cell r="AB32" t="str">
            <v>Northern Rakhine</v>
          </cell>
        </row>
        <row r="33">
          <cell r="AB33" t="str">
            <v>Northern Rakhine</v>
          </cell>
        </row>
        <row r="34">
          <cell r="AB34" t="str">
            <v>Northern Rakhine</v>
          </cell>
        </row>
        <row r="35">
          <cell r="AB35" t="str">
            <v>Rakhine</v>
          </cell>
        </row>
        <row r="36">
          <cell r="AB36" t="str">
            <v>Rakhine</v>
          </cell>
        </row>
        <row r="37">
          <cell r="AB37" t="str">
            <v>Rakhine</v>
          </cell>
        </row>
        <row r="38">
          <cell r="AB38" t="str">
            <v>Rakhine</v>
          </cell>
        </row>
        <row r="39">
          <cell r="AB39" t="str">
            <v>Rakhine</v>
          </cell>
        </row>
        <row r="40">
          <cell r="AB40" t="str">
            <v>Shan (North)</v>
          </cell>
        </row>
        <row r="41">
          <cell r="AB41" t="str">
            <v>Shan (North)</v>
          </cell>
        </row>
        <row r="42">
          <cell r="AB42" t="str">
            <v>Shan (North)</v>
          </cell>
        </row>
        <row r="43">
          <cell r="AB43" t="str">
            <v>Shan (North)</v>
          </cell>
        </row>
        <row r="44">
          <cell r="AB44" t="str">
            <v>Shan (North)</v>
          </cell>
        </row>
        <row r="45">
          <cell r="AB45" t="str">
            <v>Shan (North)</v>
          </cell>
        </row>
        <row r="46">
          <cell r="AB46" t="str">
            <v>Shan (North)</v>
          </cell>
        </row>
        <row r="47">
          <cell r="AB47" t="str">
            <v>Shan (North)</v>
          </cell>
        </row>
        <row r="48">
          <cell r="AB48" t="str">
            <v>Shan (North)</v>
          </cell>
        </row>
        <row r="49">
          <cell r="AB49" t="str">
            <v>Shan (North)</v>
          </cell>
        </row>
        <row r="50">
          <cell r="AB50" t="str">
            <v>Shan (North)</v>
          </cell>
        </row>
        <row r="51">
          <cell r="AB51" t="str">
            <v>Shan (North)</v>
          </cell>
        </row>
        <row r="52">
          <cell r="AB52" t="str">
            <v>Shan (North)</v>
          </cell>
        </row>
        <row r="53">
          <cell r="AB53" t="str">
            <v>Shan (North)</v>
          </cell>
        </row>
        <row r="54">
          <cell r="AB54" t="str">
            <v>Shan (North)</v>
          </cell>
        </row>
        <row r="55">
          <cell r="AB55" t="str">
            <v>Shan (North)</v>
          </cell>
        </row>
        <row r="56">
          <cell r="AB56" t="str">
            <v>Shan (North)</v>
          </cell>
        </row>
        <row r="57">
          <cell r="AB57" t="str">
            <v>Shan (North)</v>
          </cell>
        </row>
        <row r="58">
          <cell r="AB58" t="str">
            <v>Shan (North)</v>
          </cell>
        </row>
        <row r="59">
          <cell r="AB59" t="str">
            <v>Shan (North)</v>
          </cell>
        </row>
        <row r="60">
          <cell r="AB60" t="str">
            <v>Shan (North)</v>
          </cell>
        </row>
        <row r="61">
          <cell r="AB61" t="str">
            <v>Shan (North)</v>
          </cell>
        </row>
        <row r="62">
          <cell r="AB62" t="str">
            <v>Shan (North)</v>
          </cell>
        </row>
        <row r="63">
          <cell r="AB63" t="str">
            <v>Shan (North)</v>
          </cell>
        </row>
        <row r="64">
          <cell r="AB64" t="str">
            <v>Shan (North)</v>
          </cell>
        </row>
        <row r="65">
          <cell r="AB65" t="str">
            <v>Shan (North)</v>
          </cell>
        </row>
        <row r="66">
          <cell r="AB66" t="str">
            <v>Shan (North)</v>
          </cell>
        </row>
        <row r="67">
          <cell r="AB67" t="str">
            <v>Shan (North)</v>
          </cell>
        </row>
        <row r="68">
          <cell r="AB68" t="str">
            <v>Shan (North)</v>
          </cell>
        </row>
        <row r="69">
          <cell r="AB69" t="str">
            <v>Shan (North)</v>
          </cell>
        </row>
        <row r="70">
          <cell r="AB70" t="str">
            <v>Shan (North)</v>
          </cell>
        </row>
        <row r="71">
          <cell r="AB71" t="str">
            <v>Shan (North)</v>
          </cell>
        </row>
        <row r="72">
          <cell r="AB72" t="str">
            <v>Shan (North)</v>
          </cell>
        </row>
        <row r="73">
          <cell r="AB73" t="str">
            <v>Shan (North)</v>
          </cell>
        </row>
        <row r="74">
          <cell r="AB74" t="str">
            <v>Shan (North)</v>
          </cell>
        </row>
        <row r="75">
          <cell r="AB75" t="str">
            <v>Shan (North)</v>
          </cell>
        </row>
        <row r="76">
          <cell r="AB76" t="str">
            <v>Shan (North)</v>
          </cell>
        </row>
        <row r="77">
          <cell r="AB77" t="str">
            <v>Shan (North)</v>
          </cell>
        </row>
        <row r="78">
          <cell r="AB78" t="str">
            <v>Shan (North)</v>
          </cell>
        </row>
        <row r="79">
          <cell r="AB79" t="str">
            <v>Shan (North)</v>
          </cell>
        </row>
        <row r="80">
          <cell r="AB80" t="str">
            <v>Shan (North)</v>
          </cell>
        </row>
        <row r="81">
          <cell r="AB81" t="str">
            <v>Shan (North)</v>
          </cell>
        </row>
        <row r="82">
          <cell r="AB82" t="str">
            <v>Shan (North)</v>
          </cell>
        </row>
        <row r="83">
          <cell r="AB83" t="str">
            <v>Shan (North)</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IDP locations"/>
      <sheetName val="DistanceToCamp"/>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heet3"/>
      <sheetName val="Rakhine_funding_matrix"/>
      <sheetName val="Kachin-shan_funding_matrix"/>
      <sheetName val="Other_States_funding_matrix"/>
      <sheetName val="fund received by partners"/>
      <sheetName val="Funding Tracking"/>
      <sheetName val="Timelinebysite"/>
      <sheetName val="% type of agencies"/>
      <sheetName val="National_Analysis by donor"/>
      <sheetName val="Sheet1"/>
      <sheetName val="Covid"/>
      <sheetName val="National"/>
      <sheetName val="Fund_Analysis_Rakhine"/>
      <sheetName val="Fund_Analysis_Kachin-shan"/>
      <sheetName val="Rakhine Analysis 2"/>
      <sheetName val="Kachin Analysi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Camps</v>
          </cell>
          <cell r="D2" t="str">
            <v>Non-IDP Camps</v>
          </cell>
          <cell r="E2" t="str">
            <v>Gap</v>
          </cell>
        </row>
        <row r="3">
          <cell r="C3">
            <v>6141359.6574982088</v>
          </cell>
          <cell r="D3">
            <v>3007836.6307325601</v>
          </cell>
          <cell r="E3">
            <v>20296214.265230548</v>
          </cell>
        </row>
      </sheetData>
      <sheetData sheetId="1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032.62023414352" createdVersion="6" refreshedVersion="6" minRefreshableVersion="3" recordCount="403" xr:uid="{00000000-000A-0000-FFFF-FFFF00000000}">
  <cacheSource type="worksheet">
    <worksheetSource name="WWWW"/>
  </cacheSource>
  <cacheFields count="88">
    <cacheField name="Reporting Period" numFmtId="167">
      <sharedItems containsBlank="1" count="16">
        <s v="2020_Q1"/>
        <s v="2020_Q2"/>
        <m u="1"/>
        <s v="2018-Q1" u="1"/>
        <s v="2018  Q1" u="1"/>
        <s v="2019_Q1" u="1"/>
        <s v="2019_Q2" u="1"/>
        <s v="2018_Q1" u="1"/>
        <s v="2019_Q3" u="1"/>
        <s v="2018_Q2" u="1"/>
        <s v="2019_Q4" u="1"/>
        <s v="2018_Q3" u="1"/>
        <s v="2018_Q4" u="1"/>
        <s v="2017_Q3" u="1"/>
        <s v="2017_Q4" u="1"/>
        <s v="2018 -Q1" u="1"/>
      </sharedItems>
    </cacheField>
    <cacheField name="WASH project agency" numFmtId="167">
      <sharedItems containsBlank="1" count="51">
        <s v="HPA"/>
        <s v="SCI"/>
        <s v="CDA"/>
        <s v="ACF"/>
        <s v="OXSI (Oxfam)"/>
        <s v="RI"/>
        <s v="OXSI (SI)"/>
        <s v="SI"/>
        <s v="MA_UK"/>
        <s v="CDN"/>
        <s v="WVI"/>
        <s v="WCM"/>
        <s v="MA-UK"/>
        <s v="Malteser"/>
        <m u="1"/>
        <s v="KBC" u="1"/>
        <s v="OXSI(Oxfam), MA_UK" u="1"/>
        <s v="KMSS" u="1"/>
        <s v="MRCS" u="1"/>
        <s v="Shalom" u="1"/>
        <s v="Metta, KMSS" u="1"/>
        <s v="MRCS,Others/ WVI" u="1"/>
        <s v="IRW" u="1"/>
        <s v="PIN,WVI" u="1"/>
        <s v="MRCS,Others,UNICEF/ACF" u="1"/>
        <s v="PIN" u="1"/>
        <s v="MRCS,others" u="1"/>
        <s v="ACF, MAUK" u="1"/>
        <s v="OXSI (Oxfam),ACF" u="1"/>
        <s v="UNICEF,CDN" u="1"/>
        <s v="Others/ WVI" u="1"/>
        <s v="KBC, KMSS" u="1"/>
        <s v="Others,MRCS" u="1"/>
        <s v="Others" u="1"/>
        <s v="MRCS, PLAN, RI,Others" u="1"/>
        <s v="UNICEF" u="1"/>
        <s v="DRC" u="1"/>
        <s v="UNICEF,Others" u="1"/>
        <s v="MRCS, PLAN, RI" u="1"/>
        <s v="UNICEF, " u="1"/>
        <s v="None" u="1"/>
        <s v="Metta" u="1"/>
        <s v="MRCS, Others" u="1"/>
        <s v="GIZ" u="1"/>
        <s v="WPN" u="1"/>
        <s v="MRCS,Others,UNICEF" u="1"/>
        <s v="CARE" u="1"/>
        <s v="CARE,Others" u="1"/>
        <s v="MRCS,UNICEF" u="1"/>
        <s v="OXSI (SI), ACF" u="1"/>
        <s v="SCI, Metta" u="1"/>
      </sharedItems>
    </cacheField>
    <cacheField name="WASH implementing agency" numFmtId="0">
      <sharedItems containsBlank="1" count="51">
        <m/>
        <s v="SCI"/>
        <s v="CDA"/>
        <s v="ACF"/>
        <s v="OXSI (Oxfam)"/>
        <s v="RI"/>
        <s v="OXSI (SI)"/>
        <s v="SI"/>
        <s v="MA_UK"/>
        <s v="CDN"/>
        <s v="WVI"/>
        <s v="WCM"/>
        <s v="HPA"/>
        <s v="MA-UK"/>
        <s v="KBC" u="1"/>
        <s v="OXSI(Oxfam), MA_UK" u="1"/>
        <s v="KMSS" u="1"/>
        <s v="MRCS" u="1"/>
        <s v="Shalom" u="1"/>
        <s v="Metta, KMSS" u="1"/>
        <s v="MRCS,Others/ WVI" u="1"/>
        <s v="PIN" u="1"/>
        <s v="MRCS,others" u="1"/>
        <s v="ACF, MAUK" u="1"/>
        <s v="OXSI (Oxfam),ACF" u="1"/>
        <s v="UNICEF,CDN" u="1"/>
        <s v="Others/ WVI" u="1"/>
        <s v="KBC, KMSS" u="1"/>
        <s v="MHDO" u="1"/>
        <s v="Others,MRCS" u="1"/>
        <s v="Others" u="1"/>
        <s v="MRCS, PLAN, RI,Others" u="1"/>
        <s v="UNICEF" u="1"/>
        <s v="DRC" u="1"/>
        <s v="MRCS, ACF" u="1"/>
        <s v="UNICEF/ UNHCR/UNFPA" u="1"/>
        <s v="UNICEF,Others" u="1"/>
        <s v="SDF" u="1"/>
        <s v="WFP" u="1"/>
        <s v="MRCS, PLAN, RI" u="1"/>
        <s v="None" u="1"/>
        <s v="Metta" u="1"/>
        <s v="MRCS, Others" u="1"/>
        <s v="MRCS,Others,ACF" u="1"/>
        <s v="GIZ" u="1"/>
        <s v="WPN" u="1"/>
        <s v="CARE" u="1"/>
        <s v="CARE,Others" u="1"/>
        <s v="Malteser" u="1"/>
        <s v="SCI, Metta" u="1"/>
        <s v="MRCS,ACF" u="1"/>
      </sharedItems>
    </cacheField>
    <cacheField name="Primary Donor covering WASH activities at site " numFmtId="0">
      <sharedItems/>
    </cacheField>
    <cacheField name="State" numFmtId="0">
      <sharedItems containsBlank="1" count="7">
        <s v="Shan (North)"/>
        <s v="Central Rakhine"/>
        <s v="Kachin"/>
        <s v="Kayin"/>
        <m u="1"/>
        <s v="Rakhine" u="1"/>
        <s v="Northern Rakhine" u="1"/>
      </sharedItems>
    </cacheField>
    <cacheField name="Township" numFmtId="0">
      <sharedItems containsBlank="1" count="52">
        <s v="Aik Chan (Ai' Chun)"/>
        <s v="Yin Pang"/>
        <s v="Nam Hkam Wu"/>
        <s v="Pang Hkam"/>
        <s v="Kawng Min Hsang"/>
        <s v="WA"/>
        <s v="SR4"/>
        <s v="KOK"/>
        <s v="Pauktaw"/>
        <s v="Kyaukpyu"/>
        <s v="Sittwe"/>
        <s v="Minbya"/>
        <s v="Myebon"/>
        <s v="Kyauktaw"/>
        <s v="Waingmaw"/>
        <s v="Myitkyina"/>
        <s v="Injangyang"/>
        <s v="Sumprabum"/>
        <s v="Hseni"/>
        <s v="Lashio"/>
        <s v="Laukkaing (Kokang SAZ)"/>
        <s v="Hlaing Bwe"/>
        <m u="1"/>
        <s v="Mohyin" u="1"/>
        <s v="Kutkai" u="1"/>
        <s v="Nawnghkio" u="1"/>
        <s v="Mansi" u="1"/>
        <s v="Pangsang" u="1"/>
        <s v="Ann" u="1"/>
        <s v="Muse" u="1"/>
        <s v="Manton" u="1"/>
        <s v="Bhamo" u="1"/>
        <s v="Namatee" u="1"/>
        <s v="Puta-O" u="1"/>
        <s v="Buthidaung " u="1"/>
        <s v="Mogaung" u="1"/>
        <s v="Namhkan" u="1"/>
        <s v="Hsipaw" u="1"/>
        <s v="Momauk" u="1"/>
        <s v="Hpakant" u="1"/>
        <s v="Maungdaw" u="1"/>
        <s v="Namtu" u="1"/>
        <s v="Ponnagyun" u="1"/>
        <s v="Chipwi" u="1"/>
        <s v="Mohnyin" u="1"/>
        <s v="Rathedaung" u="1"/>
        <s v="Mai Ja Yang " u="1"/>
        <s v="Mrauk-U" u="1"/>
        <s v="Buthidaung" u="1"/>
        <s v="Tanai" u="1"/>
        <s v="Ramree" u="1"/>
        <s v="Shwegu" u="1"/>
      </sharedItems>
    </cacheField>
    <cacheField name="Location Type" numFmtId="0">
      <sharedItems count="11">
        <s v="Village"/>
        <e v="#REF!" u="1"/>
        <s v="Town_New_Displaced" u="1"/>
        <s v="Town" u="1"/>
        <s v="Camp" u="1"/>
        <e v="#N/A" u="1"/>
        <s v="New Temporary Site" u="1"/>
        <s v="Village_New_Displaced" u="1"/>
        <s v="New Site" u="1"/>
        <s v="Camp_not registered" u="1"/>
        <s v="Village_Not HRP" u="1"/>
      </sharedItems>
    </cacheField>
    <cacheField name="Village  Name" numFmtId="0">
      <sharedItems count="512">
        <s v="JI Guan #1 Village"/>
        <s v="Longdong Yicun"/>
        <s v="#5 Village"/>
        <s v="Long Kong Village"/>
        <s v="Long Man Village"/>
        <s v="Licong Village"/>
        <s v="Yong Lai Village"/>
        <s v="Kuankong village"/>
        <s v="Nanpa Shiwu "/>
        <s v=" Nanpa Niwa "/>
        <s v="Yongshang Niwa village "/>
        <s v="Lare Yongbula Village"/>
        <s v="Gongcong No.2"/>
        <s v="Gongcong No.3"/>
        <s v="Yongben"/>
        <s v="Yongyue"/>
        <s v="Yongran"/>
        <s v="Yongkao"/>
        <s v="Shandong Sancun"/>
        <s v="Shandong Sicun"/>
        <s v="Bagedi Qicun"/>
        <s v="Bagedi Bacun"/>
        <s v="Bagedi Ercun"/>
        <s v="Bagedi Yicun"/>
        <s v="Daxisuo Yicun"/>
        <s v="Daxisuo Ercun"/>
        <s v="Laojie"/>
        <s v="Guanyang"/>
        <s v="Yongbang"/>
        <s v="Yang Lan"/>
        <s v="Wan Ru Gan"/>
        <s v="Ta Ban Long"/>
        <s v="Wan Nuo Da"/>
        <s v="Wan Jing"/>
        <s v="Ake Man Yang"/>
        <s v="Wan Gu"/>
        <s v="Wan Gong"/>
        <s v="Ga Lan"/>
        <s v="Nuo Mei"/>
        <s v="Ta Ban Dang"/>
        <s v="Ta Ban Ga"/>
        <s v="Ta Long"/>
        <s v="Nuo Bing"/>
        <s v="Nuo Ka"/>
        <s v="Meng La"/>
        <s v="Lei Long"/>
        <s v="Pu Du"/>
        <s v="Nan Me Man"/>
        <s v="Nan Ken"/>
        <s v="Bo Hei Xinzhai"/>
        <s v="Man San"/>
        <s v="Nan Duo Man"/>
        <s v="Bo Hei Laozhai"/>
        <s v="Yao Sa Na"/>
        <s v="Nan Bi"/>
        <s v="Sin Aing"/>
        <s v="Sin Tet Maw (Host)"/>
        <s v="Sin Tet Maw Rakhine(Baw Da Li)"/>
        <s v="Chaing Pyin"/>
        <s v="Hpaung Khar"/>
        <s v="Kyan Khin"/>
        <s v="Kywi Pyin"/>
        <s v="Pyin Hpyu Maw"/>
        <s v="Kar Pi Chaung"/>
        <s v="U Gar Dein"/>
        <s v="Ma La Kyun"/>
        <s v="Dway Cha"/>
        <s v="Chaung New Min Gan"/>
        <s v="Kan Pyin Ywa Haung"/>
        <s v="Kan Pyin Ywar Thit"/>
        <s v="Thone Saung"/>
        <s v="Kyauk Tan Gyi"/>
        <s v="Kyauk Tan Chay"/>
        <s v="Kyar Ma Thauk"/>
        <s v="Thein Tan"/>
        <s v="Kyan Taw"/>
        <s v="Baw Du Pha Village"/>
        <s v="Maung Ni Pyin"/>
        <s v="Pyar Lay Chaung Ywar Haung"/>
        <s v="Thin Pone Tan"/>
        <s v="Yae Chan Pyin"/>
        <s v="Ohn Ye Paw"/>
        <s v="Kha Tin Paik"/>
        <s v="Pyin Shey Ku lar"/>
        <s v="Ywar Thar Yar"/>
        <s v="Ohn Taw Gyi"/>
        <s v="Bu May Ohn Daw Chay"/>
        <s v="Dar Paing Ywar Haung"/>
        <s v="Dar Paing Ywar Thit"/>
        <s v="Sa Ma Nya Village"/>
        <s v="San Htoe Tan"/>
        <s v="Koe Saung (1) village"/>
        <s v="Thet Kay Pyin"/>
        <s v="Shwe Zin Khin (Ku Lar)"/>
        <s v="Kyan Taik"/>
        <s v="Sat Yon Maw (Rakhine)"/>
        <s v="Ann Thar"/>
        <s v="Naw Naw(Rakhine)"/>
        <s v="Naw Naw(Ku Lar)"/>
        <s v="Ah Pyin Done Chaung"/>
        <s v="Thin Ga Zar"/>
        <s v="Than Shin Ywar Thit"/>
        <s v="Tan Seik"/>
        <s v="Sat Kyar"/>
        <s v="Let Taw Ri"/>
        <s v="Har Ra Paing"/>
        <s v="Kan Hpay"/>
        <s v="Thin Khaung Maw"/>
        <s v="Beik Taung"/>
        <s v="Sa Par Htar"/>
        <s v="Aung Taing"/>
        <s v="Taw Tan"/>
        <s v="Sin Seik"/>
        <s v="Ta Khun Taing"/>
        <s v="Done Thar"/>
        <s v="War Taung"/>
        <s v="Athay Kar La"/>
        <s v="Myin Kan Seik"/>
        <s v="Chaik Taung"/>
        <s v="Thar Dar"/>
        <s v="Shwe Zin Khin (Rakhine)"/>
        <s v="Seik Ta Ra"/>
        <s v="Gwa Sone Chin"/>
        <s v="Taung Poke Kay"/>
        <s v="Shwe Zin Yaw"/>
        <s v="Pale Taung"/>
        <s v="Kan Thar Htwat Wa"/>
        <s v="Sat Roe Kya 1"/>
        <s v="Sat Roe Kya 2"/>
        <s v="Say Tha Mar Nge"/>
        <s v="Set Yone Su 1"/>
        <s v="Set Yone Su 3 (Mingan)"/>
        <s v="Thae Chaung(Rakhine)"/>
        <s v="Thea Chaung Ku Lar"/>
        <s v="Thea Chaung Let Tha Mar Kone"/>
        <s v="Thin Ga Net"/>
        <s v="Thet Kay Pyin Ywar Ma"/>
        <s v="Ah Nauk Ye Ku Lar"/>
        <s v="Na Htoe Pyin"/>
        <s v="Done Pyin (North)"/>
        <s v="Done Pyin (South)"/>
        <s v="Hla May Shwe"/>
        <s v="Zaw  Pu Gyar"/>
        <s v="Kyet Taw Pyin"/>
        <s v="Aung Zay Ya"/>
        <s v="Ba Ra War"/>
        <s v="Byar Lar"/>
        <s v="Day Wun"/>
        <s v="Doke Kan Chaung"/>
        <s v="Kauk Kyit"/>
        <s v="Mee Yat Pyin"/>
        <s v="Ywet Nyoe Taung"/>
        <s v="Sin Oe Chaing Ywar Thit"/>
        <s v="Shin Oe Chaing- Old"/>
        <s v="Thar Dar Seik"/>
        <s v="Yin Dar"/>
        <s v="Tha Zin"/>
        <s v="Taw Pan Zin"/>
        <s v="U Saung Tan (lower)"/>
        <s v="Myar Lee Kan"/>
        <s v="Ah Lar Than"/>
        <s v="Aung Daing"/>
        <s v="Set Oe"/>
        <s v="Maw Thi Nyar"/>
        <s v="Tin Bi"/>
        <s v="Nga/ Pun Ywar Shey"/>
        <s v="Nga/Pun Ywar Gyi"/>
        <s v="Pa Lin Pyin (Rakhine, Main)"/>
        <s v="Pa Lin Pyin (Muslim)"/>
        <s v="Nyaung Pin Chaing"/>
        <s v="Pyin Boke"/>
        <s v="Pyaing Taung"/>
        <s v="Thea Khon"/>
        <s v="Thit Khoke Taw"/>
        <s v="Nam Khaung"/>
        <s v="Nyaung Pin Tar"/>
        <s v="Sut Yang"/>
        <s v="Nawng Mun"/>
        <s v="Htwei San Yang"/>
        <s v="Inn Shan Hku"/>
        <s v="Khar Shi"/>
        <s v="Htat Queen Baw Sar Dee"/>
        <s v="Jat Mai Yang"/>
        <s v="Mang Shang"/>
        <s v="Wu Ra Yang"/>
        <s v="Bum Taung"/>
        <s v="Mar Kyar"/>
        <s v="Lu Myang Ward (3)"/>
        <s v="La Kyaung"/>
        <s v="Hkang Bu"/>
        <s v="N Pawn/ Hang Gaw"/>
        <s v="Ni Ku De"/>
        <s v="Zi Kaw"/>
        <s v="Din Gum Yang"/>
        <s v="Shang Len Yang"/>
        <s v="Htara Zup"/>
        <s v="Ka Kyee Htu"/>
        <s v="In Yaw Kawng"/>
        <s v="Jar Htu Yang "/>
        <s v="Daw Lang Kawng"/>
        <s v="Bum Yar"/>
        <s v="N Byine Gar"/>
        <s v="Bum Rong"/>
        <s v="La Zee"/>
        <s v="La Yang"/>
        <s v="Sut Ja"/>
        <s v="In Pauk Chet"/>
        <s v="Au Ra Ka Htaung"/>
        <s v="In Bang Bum"/>
        <s v="In Lat Jar "/>
        <s v="Kawng San "/>
        <s v="Bum Noi"/>
        <s v="Hkin Du Yang"/>
        <s v="Long Wan"/>
        <s v="Aum Hta San Htu"/>
        <s v="In Ding Ding Sa"/>
        <s v="Hting Bu Kawng"/>
        <s v="In Hkai"/>
        <s v="Hkin Dawng"/>
        <s v="Wa Wan Gar"/>
        <s v="Mali Kawng Ja"/>
        <s v="Dam Gar"/>
        <s v="Ma Li Sut"/>
        <s v="Pang Hlut Lawng"/>
        <s v="Kawng Kaw"/>
        <s v="Ho Lawng"/>
        <s v="Man Myaing"/>
        <s v="Pei Huong"/>
        <s v="Chauk Maing "/>
        <s v="Hkain Chin"/>
        <s v="Nam Maw Sin"/>
        <s v="Kone Hsar"/>
        <s v="Lian Bang village"/>
        <s v="Lian He village"/>
        <s v="Ci He village"/>
        <s v="New Man Jiu village"/>
        <s v="Gant Gaw Kyun"/>
        <s v="Koe Soung 1"/>
        <s v="Koe Soung 2"/>
        <s v="Maw La Wee Kyan"/>
        <s v="Nar Yi Kan"/>
        <s v="Ohn Yae Paw"/>
        <s v="Pyar Lay Chaung"/>
        <s v="Pyin Shey"/>
        <s v="Than Daw Li"/>
        <s v="Thar Yar Kone Ka Man"/>
        <s v="Thar Yar Kone (Rakhine)"/>
        <s v="Taung Ka Lay"/>
        <s v="Htauk Ka Yar"/>
        <s v="Shauk Kone"/>
        <s v="Yar Sa"/>
        <s v="Yar Ki"/>
        <s v="Shan Gone"/>
        <s v="Naung Kha Lone"/>
        <s v="Yar The Yar"/>
        <s v="Yar Htut Khel"/>
        <s v="Yaw Hta"/>
        <s v="Tar Ka Lel Ni"/>
        <s v="War Kyal"/>
        <s v="Naung Taing Khee"/>
        <s v="Htee Poe War Mae"/>
        <s v="Naung Taing"/>
        <s v="Ahr Ku Ka Yaung"/>
        <s v="Kyaung Taw"/>
        <s v="Ka Nel Haw War"/>
        <s v="Htaing Boke"/>
        <s v="Kwee Hpar Taw"/>
        <s v="Tha Bauk Chaung" u="1"/>
        <s v="Nay Pu Khan" u="1"/>
        <s v="Aik Chan School " u="1"/>
        <s v="Bum Tsit Pa" u="1"/>
        <s v="Yae Hnyin Chaung" u="1"/>
        <s v="Peng Cai School" u="1"/>
        <s v="Da Jiu Zhai" u="1"/>
        <s v="Bang Ma Pai" u="1"/>
        <s v="Hpa Yar Pyin" u="1"/>
        <s v="Hla Nyo Kan" u="1"/>
        <s v="Ywa Haung" u="1"/>
        <s v="Kyauk Kyat" u="1"/>
        <s v="Pu Zun Hpe" u="1"/>
        <s v="HlaKhaing" u="1"/>
        <s v="Mong Hong" u="1"/>
        <s v="Taung Htaung Ha Yar" u="1"/>
        <s v="Zay Di Taung" u="1"/>
        <s v="Aung Tha Pyay" u="1"/>
        <s v="YinYeKan" u="1"/>
        <s v="Ah Lel Kyun" u="1"/>
        <s v="Pyaing Chaung" u="1"/>
        <s v="Chi Laing Hpin" u="1"/>
        <s v="Kyauk Hlay Kar" u="1"/>
        <s v="Kyee Kan Pyin (South)" u="1"/>
        <s v="Ho Pin Kyaing" u="1"/>
        <s v="Zay Kone Tan" u="1"/>
        <s v="Ah Htet Gar Pu" u="1"/>
        <s v="Maing Khaung" u="1"/>
        <s v="Nan Ba Qi" u="1"/>
        <s v="Taung Myint" u="1"/>
        <s v="Par Taw" u="1"/>
        <s v="Tha Yet Cho" u="1"/>
        <s v="Shauk Chaung" u="1"/>
        <s v="Ku La Thein" u="1"/>
        <s v="Yongben/Longdong Sicun" u="1"/>
        <s v="Kaung San" u="1"/>
        <s v="Min Gyi" u="1"/>
        <s v="Kyauk Se" u="1"/>
        <s v="Ah Nauk" u="1"/>
        <s v="Pyar" u="1"/>
        <s v="Aung Min Ga Lar Ward" u="1"/>
        <s v="Shui Jin Tu" u="1"/>
        <s v="Dar Paing Sa Yar" u="1"/>
        <s v="Bar Ri Zar" u="1"/>
        <s v="Taung U" u="1"/>
        <s v="Kyar Nyo Pyin (Muslim)" u="1"/>
        <s v="Kar Hpi Chaung" u="1"/>
        <s v="MiGyaungTet" u="1"/>
        <s v="Jing Yan" u="1"/>
        <s v="Aung Pa" u="1"/>
        <s v="Shwe Baho" u="1"/>
        <s v="Sabei Hla" u="1"/>
        <s v="PyunTo" u="1"/>
        <s v="Har Bi (West)" u="1"/>
        <s v="Kyauk Yit (Rakhine)" u="1"/>
        <s v="Oke Taung Pyin" u="1"/>
        <s v="Tat Min Chaung (Daing Net/Rakhine)" u="1"/>
        <s v="Pya Hla " u="1"/>
        <s v="Thein Tan (Rakhine)" u="1"/>
        <s v="Nan Ma Kaw" u="1"/>
        <s v="Xiao Ming Shan" u="1"/>
        <s v="Tha Yet Oke Ywar Thit" u="1"/>
        <s v="Shuang Pa" u="1"/>
        <s v="Xia Man Le" u="1"/>
        <s v="Ward (1)" u="1"/>
        <s v="Longdong Ercun" u="1"/>
        <s v="Ywar Gyi (Middle)" u="1"/>
        <s v="Ku Lar Te" u="1"/>
        <s v="Ah Twin Hnget Thay" u="1"/>
        <s v="Chang Liu Shui" u="1"/>
        <s v="Thein Tan (Ku Lar)" u="1"/>
        <s v="Htan Shauk Khan" u="1"/>
        <s v="Wan Gang Long" u="1"/>
        <s v="Pin Zaing" u="1"/>
        <s v="Pae Youne (NaTaLa)" u="1"/>
        <s v="Thar Zay Kone (Thar Zi Kone)" u="1"/>
        <s v="KaLarChaung" u="1"/>
        <s v="Tha Peik Taung (Rakhine)" u="1"/>
        <s v="Wan Hui" u="1"/>
        <s v="Ah Lel Than Kyaw" u="1"/>
        <s v="Wet Hla Middle School" u="1"/>
        <s v="Tha Yet Pyin (Rakhine)" u="1"/>
        <s v="Mone Gon" u="1"/>
        <s v="Thay Kan (Rakhine)" u="1"/>
        <s v="Chan Pyin" u="1"/>
        <s v="Nga Khu Chaung" u="1"/>
        <s v="Wai Thar Li" u="1"/>
        <s v="Koe Na Win" u="1"/>
        <s v="Bo He" u="1"/>
        <s v="Sar Pyin" u="1"/>
        <s v="Da Pyu Chaung" u="1"/>
        <s v="Shou Gong" u="1"/>
        <s v="Kin Chaung" u="1"/>
        <s v="Teik Tu Pauk" u="1"/>
        <s v="Kan Sauk" u="1"/>
        <s v="Wet Kyein" u="1"/>
        <s v="Tha Yet Oke Ywar Haung" u="1"/>
        <s v="San Thar Pyin" u="1"/>
        <s v="Ngar Yauk Kaing" u="1"/>
        <s v="Huang Tian" u="1"/>
        <s v="Niu Chang" u="1"/>
        <s v="Min Te" u="1"/>
        <s v="Thone Gwa" u="1"/>
        <s v="Nan Mong" u="1"/>
        <s v="Ywar Thit Kay Monastery" u="1"/>
        <s v="Zaw Pu Gyar" u="1"/>
        <s v="Than Chay (Rakhine)" u="1"/>
        <s v="Kan Thar Yar" u="1"/>
        <s v="Nyaung Pin Gyi (Ku Lar)" u="1"/>
        <s v="Nan Kya (Nan Kyar)" u="1"/>
        <s v="Oak Ta Ma" u="1"/>
        <s v="Ah Nauk Pyin" u="1"/>
        <s v="Ka Yin" u="1"/>
        <s v="Thin Baw Hla (Rakhine) (Thar Yar Gone)" u="1"/>
        <s v="Suo Yi" u="1"/>
        <s v="Kyu Taw Chaing" u="1"/>
        <s v="Yang Kuang" u="1"/>
        <s v="Taung Htaung" u="1"/>
        <s v="Nga Kyin Tauk" u="1"/>
        <s v="Yar Taik" u="1"/>
        <s v="Na Nwin Ku" u="1"/>
        <s v="Nyaung Chaung" u="1"/>
        <s v="Thay Kan (Muslim)" u="1"/>
        <s v="Nwar Yone Taung" u="1"/>
        <s v="Gu Dar Pyin" u="1"/>
        <s v="Pon Nar" u="1"/>
        <s v="Taung Htaung Hayar_Wa Lar Kan (Ku Lar)" u="1"/>
        <s v="Nga Ta Paung" u="1"/>
        <s v="Ah Nauk San Pya Ward" u="1"/>
        <s v="Yae Nauk Ngar Thar" u="1"/>
        <s v="Yun Nyar" u="1"/>
        <s v="San Go Taung" u="1"/>
        <s v="NgaWetSway" u="1"/>
        <s v="Ywet Nyo Taung" u="1"/>
        <s v="OhnHnanChaung" u="1"/>
        <s v="Bu Ywet Ma Nyoe" u="1"/>
        <s v="Thit Pok Chaung" u="1"/>
        <s v="Done Thein" u="1"/>
        <s v="Baw Li (Muslim)" u="1"/>
        <s v="Kar Di (Middle)" u="1"/>
        <s v="Pa Lin" u="1"/>
        <s v="Yin Pan Zhong Mian You Hao School" u="1"/>
        <s v="Aung Tat Ward (Dein Kyi Monastery)" u="1"/>
        <s v="War Lan" u="1"/>
        <s v="Shwe Hlaing" u="1"/>
        <s v="Shwe Yin Aye (NaTaLa)" u="1"/>
        <s v="Wan Nan" u="1"/>
        <s v="Say Tha Mar Gyi village" u="1"/>
        <s v="Gwa Sone (Rakhine)" u="1"/>
        <s v="Ah Shey" u="1"/>
        <s v="Laung Chaung" u="1"/>
        <s v="An Ka" u="1"/>
        <s v="Chaung Du" u="1"/>
        <s v="Pi Htu_Wa Lar Kan" u="1"/>
        <s v="Ta Yar Thee Su Ward" u="1"/>
        <s v="Tha Dar" u="1"/>
        <s v="Daung Puauk Kay" u="1"/>
        <s v="MinPauk" u="1"/>
        <s v="Gar Pu (Lower)" u="1"/>
        <s v="Da Mian Si" u="1"/>
        <s v="Inn Hpauk" u="1"/>
        <s v="Kan Thar Yar(Upper)" u="1"/>
        <s v="Sa Bai Pin Yin" u="1"/>
        <s v="Ban Mo" u="1"/>
        <s v="Nga Yant Chaung" u="1"/>
        <s v="Khaung Htoke" u="1"/>
        <s v="Longdong Sancun" u="1"/>
        <s v="U Sun Taung" u="1"/>
        <s v="Zay Di Taung (Rakhine)" u="1"/>
        <s v="Pi Pin Yin Monastery" u="1"/>
        <s v="In Bar Yi" u="1"/>
        <s v="Shui Wa" u="1"/>
        <s v="War Lan Kone" u="1"/>
        <s v="Kone Tan" u="1"/>
        <s v="Ah Lel Chaung" u="1"/>
        <s v="ThonePetChaing" u="1"/>
        <s v="Qiu Shui" u="1"/>
        <s v="Kyar Nyo Inn" u="1"/>
        <s v="Palae' Kaine" u="1"/>
        <s v="Kin Taung" u="1"/>
        <s v="Kan Thar Yar(Lower)" u="1"/>
        <s v="Goke Pi Htaunt" u="1"/>
        <s v="Nao Ou" u="1"/>
        <s v="Xi Cun Ba" u="1"/>
        <s v="Hpon Nyo Leik" u="1"/>
        <s v="Nan Yah Gone Ahtet" u="1"/>
        <s v="Gwa Sone (Muslim)" u="1"/>
        <s v="NgweTwinDway" u="1"/>
        <s v="Lana Zup Ja" u="1"/>
        <s v="Mee Kyaung Khaung Swea" u="1"/>
        <s v="Ban Lot" u="1"/>
        <s v="Ban Mon" u="1"/>
        <s v="U Gar Hton" u="1"/>
        <s v="Say Taung" u="1"/>
        <s v="Ngar Saung Bet" u="1"/>
        <s v="Gyin Chaung" u="1"/>
        <s v="Paung Zar" u="1"/>
        <s v="Tat U Chaung (West)" u="1"/>
        <s v="Pyar Pin Yin" u="1"/>
        <s v="Ku Lar Chaung" u="1"/>
        <s v="Tin Htein Kan Monastery" u="1"/>
        <s v="Xitong Lengkang " u="1"/>
        <s v="Sha Kay Ywa" u="1"/>
        <s v="Ywa Thit" u="1"/>
        <s v="Inn Gyin Myaing (NaTaLa)" u="1"/>
        <s v="Pyein Chaung (ngwe Twin Dway tract)" u="1"/>
        <s v="Kar Di Ha Yar" u="1"/>
        <s v="Ah Pauk Wa" u="1"/>
        <s v="Hteik Wa Pyin" u="1"/>
        <s v="Shi Ma Shan" u="1"/>
        <s v="Hpa Yar Pyin Thein Tan" u="1"/>
        <s v="Tat Min Chaung (Muslim)" u="1"/>
        <s v="Meng Suo" u="1"/>
        <s v="Min Gan 1" u="1"/>
        <s v="Ka Nyin Taw" u="1"/>
        <s v="Ngwe Taung" u="1"/>
        <s v="Tha Yet" u="1"/>
        <s v="Chaung Hpyar" u="1"/>
        <s v="Pa Jiu" u="1"/>
        <s v="Ar Kya" u="1"/>
        <s v="Kha Maung Seik" u="1"/>
        <s v="Baw Li (Rakhine)" u="1"/>
        <s v="Kyet Yoe Pyin (Ywa Ma)" u="1"/>
        <s v="Dong Ma Ga" u="1"/>
        <s v="Gone Nar" u="1"/>
        <s v="Pyaung Seik" u="1"/>
        <s v="Ma Mu Shu" u="1"/>
        <s v="Na Kan (weat)" u="1"/>
        <s v="Gan Gaw Myaing ( Na Ta La )" u="1"/>
        <s v="Zaw Ma Tat" u="1"/>
        <s v="Aung Thar Yar" u="1"/>
        <s v="Min Thar Seik" u="1"/>
        <s v="Shwe Pyi Thar" u="1"/>
        <s v="Ka Doe Seik" u="1"/>
        <s v="Kine Gyi (Myo)" u="1"/>
        <s v="Shat Shar Taung" u="1"/>
        <s v="Shwe Baho+Sein P M" u="1"/>
        <s v="Aung Mingalar (NaTaLa)" u="1"/>
        <s v="Aung Thar Yar (NaTaLa)" u="1"/>
        <s v="Pa Ha (Lisu)" u="1"/>
        <s v="Shan Kone" u="1"/>
        <s v="Aung Zay Ya (Su See)" u="1"/>
        <s v="Ta Man Thar (Thar Zay)_(Myo)" u="1"/>
        <s v="Ba Lie" u="1"/>
        <s v="Let Saung Kauk" u="1"/>
      </sharedItems>
    </cacheField>
    <cacheField name="Total HH" numFmtId="164">
      <sharedItems containsString="0" containsBlank="1" containsNumber="1" containsInteger="1" minValue="8" maxValue="2100"/>
    </cacheField>
    <cacheField name="Total PoP " numFmtId="164">
      <sharedItems containsSemiMixedTypes="0" containsString="0" containsNumber="1" containsInteger="1" minValue="31" maxValue="12993"/>
    </cacheField>
    <cacheField name="Project start date" numFmtId="168">
      <sharedItems containsDate="1" containsMixedTypes="1" minDate="2017-01-01T00:00:00" maxDate="2020-05-02T00:00:00"/>
    </cacheField>
    <cacheField name="Project end date" numFmtId="165">
      <sharedItems containsDate="1" containsMixedTypes="1" minDate="2019-12-31T00:00:00" maxDate="2023-01-01T00:00:00"/>
    </cacheField>
    <cacheField name="#of students in school" numFmtId="164">
      <sharedItems containsString="0" containsBlank="1" containsNumber="1" containsInteger="1" minValue="0" maxValue="531"/>
    </cacheField>
    <cacheField name="# Work days (approx) lost in this site due to access restrictions" numFmtId="164">
      <sharedItems containsString="0" containsBlank="1" containsNumber="1" containsInteger="1" minValue="0" maxValue="454"/>
    </cacheField>
    <cacheField name="#_Functioning_protected_hand_dug_well/open_well" numFmtId="164">
      <sharedItems containsString="0" containsBlank="1" containsNumber="1" containsInteger="1" minValue="0" maxValue="193"/>
    </cacheField>
    <cacheField name="#_Functioning_Tube_wells/boreholes/hand_pumps_including_community's_own_hand_pumps" numFmtId="164">
      <sharedItems containsString="0" containsBlank="1" containsNumber="1" containsInteger="1" minValue="0" maxValue="826"/>
    </cacheField>
    <cacheField name="#_Existing_protected/fenced_ponds" numFmtId="164">
      <sharedItems containsString="0" containsBlank="1" containsNumber="1" containsInteger="1" minValue="0" maxValue="7"/>
    </cacheField>
    <cacheField name="#_of_total_(Liters)_stored_in_Constructed/Existing_water_storage_tank_with_gravity_fed_reticulation_system" numFmtId="164">
      <sharedItems containsString="0" containsBlank="1" containsNumber="1" containsInteger="1" minValue="0" maxValue="12000"/>
    </cacheField>
    <cacheField name="#_of_people_accessing_to_other_types_of_un-improved_water_sources_(river,_spring)" numFmtId="164">
      <sharedItems containsString="0" containsBlank="1" containsNumber="1" containsInteger="1" minValue="0" maxValue="3946"/>
    </cacheField>
    <cacheField name="#_Functioning_water_points_at_school" numFmtId="164">
      <sharedItems containsString="0" containsBlank="1" containsNumber="1" containsInteger="1" minValue="0" maxValue="2"/>
    </cacheField>
    <cacheField name="WATER_Comments" numFmtId="49">
      <sharedItems containsNonDate="0" containsString="0" containsBlank="1"/>
    </cacheField>
    <cacheField name="#_of_sanitary_fly-proof_HH_latrines" numFmtId="164">
      <sharedItems containsString="0" containsBlank="1" containsNumber="1" containsInteger="1" minValue="0" maxValue="1408"/>
    </cacheField>
    <cacheField name="Availability_of_drainage_in_school_compound_(Yes_or_No)" numFmtId="164">
      <sharedItems containsBlank="1" containsMixedTypes="1" containsNumber="1" containsInteger="1" minValue="0" maxValue="50" count="6">
        <m/>
        <s v="Yes"/>
        <s v="No"/>
        <s v="NA"/>
        <n v="0"/>
        <n v="50" u="1"/>
      </sharedItems>
    </cacheField>
    <cacheField name="#_of_Functioning_latrines_in_school" numFmtId="164">
      <sharedItems containsString="0" containsBlank="1" containsNumber="1" containsInteger="1" minValue="0" maxValue="14"/>
    </cacheField>
    <cacheField name="#_of_PWD_at_village" numFmtId="164">
      <sharedItems containsString="0" containsBlank="1" containsNumber="1" containsInteger="1" minValue="0" maxValue="47"/>
    </cacheField>
    <cacheField name="#_of_PWD_with_adapted_sanitation_option_at_HH_level_" numFmtId="164">
      <sharedItems containsString="0" containsBlank="1" containsNumber="1" containsInteger="1" minValue="0" maxValue="93"/>
    </cacheField>
    <cacheField name="#_of_PWD_at_school" numFmtId="164">
      <sharedItems containsString="0" containsBlank="1" containsNumber="1" containsInteger="1" minValue="0" maxValue="1"/>
    </cacheField>
    <cacheField name="#_of_PWD_with_access_to_adapted_sanitation_option_at_School" numFmtId="164">
      <sharedItems containsString="0" containsBlank="1" containsNumber="1" containsInteger="1" minValue="0" maxValue="0"/>
    </cacheField>
    <cacheField name="SANITATION_Comment" numFmtId="49">
      <sharedItems containsBlank="1"/>
    </cacheField>
    <cacheField name="#_of_Men_who_received_appropirate/community_tailored_hygiene_messages" numFmtId="164">
      <sharedItems containsString="0" containsBlank="1" containsNumber="1" containsInteger="1" minValue="0" maxValue="744"/>
    </cacheField>
    <cacheField name="#_of_Women_who_received_appropirate/community_tailored_hygiene_messages" numFmtId="164">
      <sharedItems containsString="0" containsBlank="1" containsNumber="1" containsInteger="1" minValue="0" maxValue="828"/>
    </cacheField>
    <cacheField name="#_of_Boys_who_received_appropirate/community_tailored_hygiene_messages" numFmtId="164">
      <sharedItems containsString="0" containsBlank="1" containsNumber="1" containsInteger="1" minValue="0" maxValue="743"/>
    </cacheField>
    <cacheField name="#_of_Girls_who_received_appropirate/community_tailored_hygiene_messages" numFmtId="164">
      <sharedItems containsString="0" containsBlank="1" containsNumber="1" containsInteger="1" minValue="0" maxValue="727"/>
    </cacheField>
    <cacheField name="#_of_students_(boys)_who_received_appropirate_hygiene_messages" numFmtId="164">
      <sharedItems containsString="0" containsBlank="1" containsNumber="1" containsInteger="1" minValue="0" maxValue="743"/>
    </cacheField>
    <cacheField name="#_of_students_(girls)_who_received_appropirate_hygiene_messages" numFmtId="164">
      <sharedItems containsString="0" containsBlank="1" containsNumber="1" containsInteger="1" minValue="0" maxValue="727"/>
    </cacheField>
    <cacheField name="#_of_functional_handwashing_facilities_at_HH_level" numFmtId="164">
      <sharedItems containsString="0" containsBlank="1" containsNumber="1" containsInteger="1" minValue="0" maxValue="65"/>
    </cacheField>
    <cacheField name="#_of_functional_handwashing_facilities_at_school" numFmtId="164">
      <sharedItems containsString="0" containsBlank="1" containsNumber="1" containsInteger="1" minValue="0" maxValue="4"/>
    </cacheField>
    <cacheField name="#_of_affected_households_receiving_a_sufficient_quantity_of_soap" numFmtId="164">
      <sharedItems containsString="0" containsBlank="1" containsNumber="1" containsInteger="1" minValue="0" maxValue="2050"/>
    </cacheField>
    <cacheField name="#_of_affected_women_and_girls_receiving_a_sufficient_quantity_of_sanitary_pads" numFmtId="164">
      <sharedItems containsString="0" containsBlank="1" containsNumber="1" containsInteger="1" minValue="0" maxValue="1019"/>
    </cacheField>
    <cacheField name="HYGIENE_Comments" numFmtId="49">
      <sharedItems containsBlank="1"/>
    </cacheField>
    <cacheField name="%_of_affected_people_surveyed_who_feel_informed_about_the_WASH_services_available_to_them" numFmtId="9">
      <sharedItems containsBlank="1" containsMixedTypes="1" containsNumber="1" minValue="0" maxValue="1"/>
    </cacheField>
    <cacheField name="%_of_people_surveryed_who_know_how_to_and_feel_comfortable_to_make_suggestions_or_complaints" numFmtId="9">
      <sharedItems containsBlank="1" containsMixedTypes="1" containsNumber="1" minValue="0" maxValue="1"/>
    </cacheField>
    <cacheField name="#_of_sanitation_facilities_(latrines)_built/repaired/rehabilitated_following_risk-sensitive_programming_and_consultation_with_communities_and/or_GBV_risk-sensitive_programming" numFmtId="164">
      <sharedItems containsBlank="1" containsMixedTypes="1" containsNumber="1" containsInteger="1" minValue="0" maxValue="0"/>
    </cacheField>
    <cacheField name="#_of_sanitation_facilities_(HH_sanitation_devices)_distributed_following_risk-sensitive_programming_and_consultation_with_communities_and/or_GBV_risk-sensitive_programming" numFmtId="164">
      <sharedItems containsBlank="1" containsMixedTypes="1" containsNumber="1" containsInteger="1" minValue="0" maxValue="0"/>
    </cacheField>
    <cacheField name="#_of_sanitation_facilities_(bathing_spaces)_built_following_risk-sensitive_programming_and_consultation_with_communities" numFmtId="164">
      <sharedItems containsBlank="1" containsMixedTypes="1" containsNumber="1" containsInteger="1" minValue="0" maxValue="0"/>
    </cacheField>
    <cacheField name="%Equitable and continuous access to sufficient quantity of safe drinking water" numFmtId="9">
      <sharedItems containsSemiMixedTypes="0" containsString="0" containsNumber="1" minValue="0" maxValue="1"/>
    </cacheField>
    <cacheField name="# people with equitable and continuous access to sufficient quantity of safe drinking water" numFmtId="1">
      <sharedItems containsSemiMixedTypes="0" containsString="0" containsNumber="1" minValue="0" maxValue="12993"/>
    </cacheField>
    <cacheField name="% Access to unimproved water points" numFmtId="9">
      <sharedItems containsSemiMixedTypes="0" containsString="0" containsNumber="1" minValue="0" maxValue="1"/>
    </cacheField>
    <cacheField name="#People access to unimproved water sources" numFmtId="1">
      <sharedItems containsSemiMixedTypes="0" containsString="0" containsNumber="1" minValue="0" maxValue="12993"/>
    </cacheField>
    <cacheField name="% Equitable and continuous access to sufficient quantity of domestic water" numFmtId="9">
      <sharedItems containsSemiMixedTypes="0" containsString="0" containsNumber="1" minValue="0" maxValue="1"/>
    </cacheField>
    <cacheField name="HRP1" numFmtId="1">
      <sharedItems containsSemiMixedTypes="0" containsString="0" containsNumber="1" minValue="0" maxValue="12993"/>
    </cacheField>
    <cacheField name="#Water points coverage" numFmtId="1">
      <sharedItems containsSemiMixedTypes="0" containsString="0" containsNumber="1" minValue="0" maxValue="51.972000000000001"/>
    </cacheField>
    <cacheField name="%equitable and continuous access to sufficient quantity of safe drinking and domestic water's GAP" numFmtId="9">
      <sharedItems containsSemiMixedTypes="0" containsString="0" containsNumber="1" minValue="0" maxValue="1"/>
    </cacheField>
    <cacheField name="# people needs equitable and continuous access to sufficient quantity of safe drinking and domestic water GAP" numFmtId="1">
      <sharedItems containsSemiMixedTypes="0" containsString="0" containsNumber="1" containsInteger="1" minValue="0" maxValue="3007"/>
    </cacheField>
    <cacheField name="#Potential required new water points" numFmtId="1">
      <sharedItems containsSemiMixedTypes="0" containsString="0" containsNumber="1" minValue="0" maxValue="12"/>
    </cacheField>
    <cacheField name="Total required water points" numFmtId="1">
      <sharedItems containsSemiMixedTypes="0" containsString="0" containsNumber="1" containsInteger="1" minValue="1" maxValue="52"/>
    </cacheField>
    <cacheField name="% people access to functioning Latrine" numFmtId="9">
      <sharedItems containsSemiMixedTypes="0" containsString="0" containsNumber="1" minValue="0" maxValue="1"/>
    </cacheField>
    <cacheField name="HRP2" numFmtId="1">
      <sharedItems containsSemiMixedTypes="0" containsString="0" containsNumber="1" minValue="0" maxValue="1680"/>
    </cacheField>
    <cacheField name="# students access to functioning school latrines" numFmtId="1">
      <sharedItems containsSemiMixedTypes="0" containsString="0" containsNumber="1" containsInteger="1" minValue="0" maxValue="700"/>
    </cacheField>
    <cacheField name="Total required Latrines" numFmtId="1">
      <sharedItems containsSemiMixedTypes="0" containsString="0" containsNumber="1" containsInteger="1" minValue="5" maxValue="2166"/>
    </cacheField>
    <cacheField name="# potential required new latrines" numFmtId="1">
      <sharedItems containsSemiMixedTypes="0" containsString="0" containsNumber="1" containsInteger="1" minValue="0" maxValue="1948"/>
    </cacheField>
    <cacheField name="% of Latrine Gap" numFmtId="9">
      <sharedItems containsSemiMixedTypes="0" containsString="0" containsNumber="1" minValue="0" maxValue="1"/>
    </cacheField>
    <cacheField name="# people reached by regular dedicated hygiene promotion" numFmtId="1">
      <sharedItems containsSemiMixedTypes="0" containsString="0" containsNumber="1" containsInteger="1" minValue="0" maxValue="3007"/>
    </cacheField>
    <cacheField name="# people access to functional handwashing facilities" numFmtId="1">
      <sharedItems containsSemiMixedTypes="0" containsString="0" containsNumber="1" containsInteger="1" minValue="0" maxValue="323"/>
    </cacheField>
    <cacheField name="HRP3" numFmtId="1">
      <sharedItems containsSemiMixedTypes="0" containsString="0" containsNumber="1" containsInteger="1" minValue="0" maxValue="5579"/>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 People with access to soap" numFmtId="1">
      <sharedItems containsSemiMixedTypes="0" containsString="0" containsNumber="1" containsInteger="1" minValue="0" maxValue="5579"/>
    </cacheField>
    <cacheField name="# People with access to Sanity Pads" numFmtId="1">
      <sharedItems containsSemiMixedTypes="0" containsString="0" containsNumber="1" containsInteger="1" minValue="0" maxValue="1019"/>
    </cacheField>
    <cacheField name="# People received regular supply of hygiene items" numFmtId="164">
      <sharedItems containsSemiMixedTypes="0" containsString="0" containsNumber="1" containsInteger="1" minValue="0" maxValue="5579"/>
    </cacheField>
    <cacheField name="Village with School" numFmtId="1">
      <sharedItems count="2">
        <s v="No"/>
        <s v="Yes"/>
      </sharedItems>
    </cacheField>
    <cacheField name="Location Type 1" numFmtId="0">
      <sharedItems/>
    </cacheField>
    <cacheField name="Type of accommodation" numFmtId="0">
      <sharedItems containsMixedTypes="1" containsNumber="1" containsInteger="1" minValue="0" maxValue="0" count="4">
        <s v="Village"/>
        <s v="Returned"/>
        <s v="Relocated"/>
        <n v="0" u="1"/>
      </sharedItems>
    </cacheField>
    <cacheField name="Ethnic or GCA/NGCA" numFmtId="0">
      <sharedItems containsBlank="1" containsMixedTypes="1" containsNumber="1" containsInteger="1" minValue="0" maxValue="0"/>
    </cacheField>
    <cacheField name="Lat" numFmtId="0">
      <sharedItems containsSemiMixedTypes="0" containsString="0" containsNumber="1" minValue="0" maxValue="93.005447387695298"/>
    </cacheField>
    <cacheField name="Long" numFmtId="0">
      <sharedItems containsSemiMixedTypes="0" containsString="0" containsNumber="1" minValue="0" maxValue="93.714859008789105"/>
    </cacheField>
    <cacheField name="Pcode" numFmtId="0">
      <sharedItems containsMixedTypes="1" containsNumber="1" containsInteger="1" minValue="0" maxValue="220747"/>
    </cacheField>
    <cacheField name="Covered" numFmtId="0">
      <sharedItems containsBlank="1" count="4">
        <s v="Covered"/>
        <m u="1"/>
        <e v="#REF!" u="1"/>
        <s v="Notcovered" u="1"/>
      </sharedItems>
    </cacheField>
    <cacheField name="Remark" numFmtId="0">
      <sharedItems containsNonDate="0" containsString="0" containsBlank="1"/>
    </cacheField>
    <cacheField name="Total Latrines" numFmtId="0" formula="#NAME?+#NAME?" databaseField="0"/>
    <cacheField name="% Water source Treated" numFmtId="0" formula="#NAME?/#NAME?" databaseField="0"/>
    <cacheField name="% Hygiene Gap" numFmtId="0" formula=" 1-'% Hygiene Coverage'" databaseField="0"/>
    <cacheField name="% Hygiene Coverage" numFmtId="0" formula="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3">
  <r>
    <x v="0"/>
    <x v="0"/>
    <x v="0"/>
    <s v="UNICEF"/>
    <x v="0"/>
    <x v="0"/>
    <x v="0"/>
    <x v="0"/>
    <m/>
    <n v="133"/>
    <d v="2018-06-07T00:00:00"/>
    <d v="2019-12-31T00:00:00"/>
    <m/>
    <m/>
    <m/>
    <m/>
    <m/>
    <m/>
    <m/>
    <m/>
    <m/>
    <m/>
    <x v="0"/>
    <m/>
    <m/>
    <m/>
    <m/>
    <m/>
    <m/>
    <n v="104"/>
    <n v="189"/>
    <n v="1"/>
    <n v="1"/>
    <m/>
    <m/>
    <m/>
    <m/>
    <m/>
    <m/>
    <m/>
    <m/>
    <m/>
    <m/>
    <m/>
    <m/>
    <n v="0"/>
    <n v="0"/>
    <n v="0"/>
    <n v="0"/>
    <n v="0"/>
    <n v="0"/>
    <n v="0"/>
    <n v="1"/>
    <n v="133"/>
    <n v="1"/>
    <n v="1"/>
    <n v="0"/>
    <n v="0"/>
    <n v="0"/>
    <n v="22"/>
    <n v="22"/>
    <n v="1"/>
    <n v="133"/>
    <n v="0"/>
    <n v="133"/>
    <n v="1"/>
    <n v="0"/>
    <n v="1"/>
    <n v="0"/>
    <n v="0"/>
    <n v="0"/>
    <x v="0"/>
    <s v="Village"/>
    <x v="0"/>
    <n v="0"/>
    <n v="0"/>
    <n v="0"/>
    <n v="0"/>
    <x v="0"/>
    <m/>
  </r>
  <r>
    <x v="0"/>
    <x v="0"/>
    <x v="0"/>
    <s v="UNICEF"/>
    <x v="0"/>
    <x v="0"/>
    <x v="0"/>
    <x v="1"/>
    <m/>
    <n v="240"/>
    <d v="2018-06-07T00:00:00"/>
    <d v="2019-12-31T00:00:00"/>
    <m/>
    <m/>
    <m/>
    <m/>
    <m/>
    <m/>
    <m/>
    <m/>
    <m/>
    <n v="3"/>
    <x v="0"/>
    <m/>
    <m/>
    <m/>
    <m/>
    <m/>
    <m/>
    <n v="21"/>
    <n v="37"/>
    <n v="36"/>
    <n v="41"/>
    <m/>
    <m/>
    <m/>
    <m/>
    <m/>
    <m/>
    <m/>
    <m/>
    <m/>
    <m/>
    <m/>
    <m/>
    <n v="0"/>
    <n v="0"/>
    <n v="0"/>
    <n v="0"/>
    <n v="0"/>
    <n v="0"/>
    <n v="0"/>
    <n v="1"/>
    <n v="240"/>
    <n v="1"/>
    <n v="1"/>
    <n v="7.4999999999999997E-2"/>
    <n v="18"/>
    <n v="0"/>
    <n v="40"/>
    <n v="37"/>
    <n v="0.92500000000000004"/>
    <n v="135"/>
    <n v="0"/>
    <n v="135"/>
    <n v="0.5625"/>
    <n v="0.4375"/>
    <n v="0.5625"/>
    <n v="0"/>
    <n v="0"/>
    <n v="0"/>
    <x v="0"/>
    <s v="Village"/>
    <x v="0"/>
    <n v="0"/>
    <n v="0"/>
    <n v="0"/>
    <n v="0"/>
    <x v="0"/>
    <m/>
  </r>
  <r>
    <x v="0"/>
    <x v="0"/>
    <x v="0"/>
    <s v="UNICEF"/>
    <x v="0"/>
    <x v="0"/>
    <x v="0"/>
    <x v="2"/>
    <m/>
    <n v="836"/>
    <d v="2018-06-07T00:00:00"/>
    <d v="2019-12-31T00:00:00"/>
    <m/>
    <m/>
    <m/>
    <m/>
    <m/>
    <m/>
    <m/>
    <m/>
    <m/>
    <m/>
    <x v="0"/>
    <m/>
    <m/>
    <m/>
    <m/>
    <m/>
    <m/>
    <n v="177"/>
    <n v="44"/>
    <m/>
    <m/>
    <m/>
    <m/>
    <m/>
    <m/>
    <m/>
    <m/>
    <m/>
    <m/>
    <m/>
    <m/>
    <m/>
    <m/>
    <n v="0"/>
    <n v="0"/>
    <n v="0"/>
    <n v="0"/>
    <n v="0"/>
    <n v="0"/>
    <n v="0"/>
    <n v="1"/>
    <n v="836"/>
    <n v="3"/>
    <n v="3"/>
    <n v="0"/>
    <n v="0"/>
    <n v="0"/>
    <n v="139"/>
    <n v="139"/>
    <n v="1"/>
    <n v="221"/>
    <n v="0"/>
    <n v="221"/>
    <n v="0.26435406698564595"/>
    <n v="0.7356459330143541"/>
    <n v="0.26435406698564595"/>
    <n v="0"/>
    <n v="0"/>
    <n v="0"/>
    <x v="0"/>
    <s v="Village"/>
    <x v="0"/>
    <n v="0"/>
    <n v="0"/>
    <n v="0"/>
    <n v="0"/>
    <x v="0"/>
    <m/>
  </r>
  <r>
    <x v="0"/>
    <x v="0"/>
    <x v="0"/>
    <s v="UNICEF"/>
    <x v="0"/>
    <x v="1"/>
    <x v="0"/>
    <x v="3"/>
    <m/>
    <n v="258"/>
    <d v="2018-06-07T00:00:00"/>
    <d v="2019-12-31T00:00:00"/>
    <m/>
    <m/>
    <m/>
    <m/>
    <m/>
    <m/>
    <m/>
    <m/>
    <m/>
    <m/>
    <x v="0"/>
    <m/>
    <m/>
    <m/>
    <m/>
    <m/>
    <m/>
    <n v="51"/>
    <n v="44"/>
    <n v="2"/>
    <m/>
    <m/>
    <m/>
    <m/>
    <m/>
    <m/>
    <m/>
    <m/>
    <m/>
    <m/>
    <m/>
    <m/>
    <m/>
    <n v="0"/>
    <n v="0"/>
    <n v="0"/>
    <n v="0"/>
    <n v="0"/>
    <n v="0"/>
    <n v="0"/>
    <n v="1"/>
    <n v="258"/>
    <n v="1"/>
    <n v="1"/>
    <n v="0"/>
    <n v="0"/>
    <n v="0"/>
    <n v="43"/>
    <n v="43"/>
    <n v="1"/>
    <n v="97"/>
    <n v="0"/>
    <n v="97"/>
    <n v="0.37596899224806202"/>
    <n v="0.62403100775193798"/>
    <n v="0.37596899224806202"/>
    <n v="0"/>
    <n v="0"/>
    <n v="0"/>
    <x v="0"/>
    <s v="Village"/>
    <x v="0"/>
    <n v="0"/>
    <n v="0"/>
    <n v="0"/>
    <n v="0"/>
    <x v="0"/>
    <m/>
  </r>
  <r>
    <x v="0"/>
    <x v="0"/>
    <x v="0"/>
    <s v="UNICEF"/>
    <x v="0"/>
    <x v="1"/>
    <x v="0"/>
    <x v="4"/>
    <m/>
    <n v="190"/>
    <d v="2018-06-07T00:00:00"/>
    <d v="2019-12-31T00:00:00"/>
    <m/>
    <m/>
    <m/>
    <m/>
    <m/>
    <m/>
    <m/>
    <m/>
    <m/>
    <m/>
    <x v="0"/>
    <m/>
    <m/>
    <m/>
    <m/>
    <m/>
    <m/>
    <n v="247"/>
    <n v="238"/>
    <m/>
    <m/>
    <m/>
    <m/>
    <m/>
    <m/>
    <m/>
    <m/>
    <m/>
    <m/>
    <m/>
    <m/>
    <m/>
    <m/>
    <n v="0"/>
    <n v="0"/>
    <n v="0"/>
    <n v="0"/>
    <n v="0"/>
    <n v="0"/>
    <n v="0"/>
    <n v="1"/>
    <n v="190"/>
    <n v="1"/>
    <n v="1"/>
    <n v="0"/>
    <n v="0"/>
    <n v="0"/>
    <n v="32"/>
    <n v="32"/>
    <n v="1"/>
    <n v="190"/>
    <n v="0"/>
    <n v="190"/>
    <n v="1"/>
    <n v="0"/>
    <n v="1"/>
    <n v="0"/>
    <n v="0"/>
    <n v="0"/>
    <x v="0"/>
    <s v="Village"/>
    <x v="0"/>
    <n v="0"/>
    <n v="0"/>
    <n v="0"/>
    <n v="0"/>
    <x v="0"/>
    <m/>
  </r>
  <r>
    <x v="0"/>
    <x v="0"/>
    <x v="0"/>
    <s v="UNICEF"/>
    <x v="0"/>
    <x v="1"/>
    <x v="0"/>
    <x v="5"/>
    <n v="43"/>
    <n v="254"/>
    <d v="2018-06-07T00:00:00"/>
    <d v="2019-12-31T00:00:00"/>
    <m/>
    <m/>
    <m/>
    <m/>
    <m/>
    <m/>
    <m/>
    <m/>
    <m/>
    <m/>
    <x v="0"/>
    <m/>
    <m/>
    <m/>
    <m/>
    <m/>
    <m/>
    <n v="8"/>
    <n v="12"/>
    <n v="8"/>
    <n v="11"/>
    <m/>
    <m/>
    <m/>
    <m/>
    <m/>
    <m/>
    <m/>
    <m/>
    <m/>
    <m/>
    <m/>
    <m/>
    <n v="0"/>
    <n v="0"/>
    <n v="0"/>
    <n v="0"/>
    <n v="0"/>
    <n v="0"/>
    <n v="0"/>
    <n v="1"/>
    <n v="254"/>
    <n v="1"/>
    <n v="1"/>
    <n v="0"/>
    <n v="0"/>
    <n v="0"/>
    <n v="42"/>
    <n v="42"/>
    <n v="1"/>
    <n v="39"/>
    <n v="0"/>
    <n v="39"/>
    <n v="0.15354330708661418"/>
    <n v="0.84645669291338588"/>
    <n v="0.15354330708661418"/>
    <n v="0"/>
    <n v="0"/>
    <n v="0"/>
    <x v="0"/>
    <s v="Village"/>
    <x v="0"/>
    <n v="0"/>
    <n v="0"/>
    <n v="0"/>
    <n v="0"/>
    <x v="0"/>
    <m/>
  </r>
  <r>
    <x v="0"/>
    <x v="0"/>
    <x v="0"/>
    <s v="UNICEF"/>
    <x v="0"/>
    <x v="1"/>
    <x v="0"/>
    <x v="6"/>
    <m/>
    <n v="169"/>
    <d v="2018-06-07T00:00:00"/>
    <d v="2019-12-31T00:00:00"/>
    <m/>
    <m/>
    <m/>
    <m/>
    <m/>
    <m/>
    <m/>
    <m/>
    <m/>
    <m/>
    <x v="0"/>
    <m/>
    <m/>
    <m/>
    <m/>
    <m/>
    <m/>
    <n v="51"/>
    <n v="56"/>
    <m/>
    <n v="3"/>
    <m/>
    <m/>
    <m/>
    <m/>
    <m/>
    <m/>
    <m/>
    <m/>
    <m/>
    <m/>
    <m/>
    <m/>
    <n v="0"/>
    <n v="0"/>
    <n v="0"/>
    <n v="0"/>
    <n v="0"/>
    <n v="0"/>
    <n v="0"/>
    <n v="1"/>
    <n v="169"/>
    <n v="1"/>
    <n v="1"/>
    <n v="0"/>
    <n v="0"/>
    <n v="0"/>
    <n v="28"/>
    <n v="28"/>
    <n v="1"/>
    <n v="110"/>
    <n v="0"/>
    <n v="110"/>
    <n v="0.65088757396449703"/>
    <n v="0.34911242603550297"/>
    <n v="0.65088757396449703"/>
    <n v="0"/>
    <n v="0"/>
    <n v="0"/>
    <x v="0"/>
    <s v="Village"/>
    <x v="0"/>
    <n v="0"/>
    <n v="0"/>
    <n v="0"/>
    <n v="0"/>
    <x v="0"/>
    <m/>
  </r>
  <r>
    <x v="0"/>
    <x v="0"/>
    <x v="0"/>
    <s v="UNICEF"/>
    <x v="0"/>
    <x v="2"/>
    <x v="0"/>
    <x v="7"/>
    <m/>
    <n v="937"/>
    <d v="2018-06-07T00:00:00"/>
    <d v="2019-12-31T00:00:00"/>
    <m/>
    <m/>
    <m/>
    <m/>
    <m/>
    <m/>
    <m/>
    <m/>
    <m/>
    <m/>
    <x v="0"/>
    <m/>
    <m/>
    <m/>
    <m/>
    <m/>
    <m/>
    <n v="41"/>
    <n v="64"/>
    <m/>
    <m/>
    <m/>
    <m/>
    <m/>
    <m/>
    <m/>
    <m/>
    <m/>
    <m/>
    <m/>
    <m/>
    <m/>
    <m/>
    <n v="0"/>
    <n v="0"/>
    <n v="0"/>
    <n v="0"/>
    <n v="0"/>
    <n v="0"/>
    <n v="0"/>
    <n v="1"/>
    <n v="937"/>
    <n v="4"/>
    <n v="4"/>
    <n v="0"/>
    <n v="0"/>
    <n v="0"/>
    <n v="156"/>
    <n v="156"/>
    <n v="1"/>
    <n v="105"/>
    <n v="0"/>
    <n v="105"/>
    <n v="0.11205976520811099"/>
    <n v="0.88794023479188899"/>
    <n v="0.11205976520811099"/>
    <n v="0"/>
    <n v="0"/>
    <n v="0"/>
    <x v="0"/>
    <s v="Village"/>
    <x v="0"/>
    <n v="0"/>
    <n v="0"/>
    <n v="0"/>
    <n v="0"/>
    <x v="0"/>
    <m/>
  </r>
  <r>
    <x v="0"/>
    <x v="0"/>
    <x v="0"/>
    <s v="UNICEF"/>
    <x v="0"/>
    <x v="3"/>
    <x v="0"/>
    <x v="8"/>
    <m/>
    <n v="352"/>
    <d v="2018-06-07T00:00:00"/>
    <d v="2019-12-31T00:00:00"/>
    <m/>
    <m/>
    <m/>
    <m/>
    <m/>
    <m/>
    <m/>
    <m/>
    <m/>
    <n v="17"/>
    <x v="0"/>
    <m/>
    <m/>
    <m/>
    <m/>
    <m/>
    <m/>
    <n v="17"/>
    <n v="24"/>
    <m/>
    <m/>
    <m/>
    <m/>
    <m/>
    <m/>
    <m/>
    <m/>
    <m/>
    <m/>
    <m/>
    <m/>
    <m/>
    <m/>
    <n v="0"/>
    <n v="0"/>
    <n v="0"/>
    <n v="0"/>
    <n v="0"/>
    <n v="0"/>
    <n v="0"/>
    <n v="1"/>
    <n v="352"/>
    <n v="1"/>
    <n v="1"/>
    <n v="0.28977272727272729"/>
    <n v="102"/>
    <n v="0"/>
    <n v="59"/>
    <n v="42"/>
    <n v="0.71022727272727271"/>
    <n v="41"/>
    <n v="0"/>
    <n v="41"/>
    <n v="0.11647727272727272"/>
    <n v="0.88352272727272729"/>
    <n v="0.11647727272727272"/>
    <n v="0"/>
    <n v="0"/>
    <n v="0"/>
    <x v="0"/>
    <s v="Village"/>
    <x v="0"/>
    <n v="0"/>
    <n v="0"/>
    <n v="0"/>
    <n v="0"/>
    <x v="0"/>
    <m/>
  </r>
  <r>
    <x v="0"/>
    <x v="0"/>
    <x v="0"/>
    <s v="UNICEF"/>
    <x v="0"/>
    <x v="3"/>
    <x v="0"/>
    <x v="9"/>
    <m/>
    <n v="265"/>
    <d v="2018-06-07T00:00:00"/>
    <d v="2019-12-31T00:00:00"/>
    <m/>
    <m/>
    <m/>
    <m/>
    <m/>
    <m/>
    <m/>
    <m/>
    <m/>
    <n v="9"/>
    <x v="0"/>
    <m/>
    <m/>
    <m/>
    <m/>
    <m/>
    <m/>
    <n v="11"/>
    <n v="23"/>
    <m/>
    <m/>
    <m/>
    <m/>
    <m/>
    <m/>
    <m/>
    <m/>
    <m/>
    <m/>
    <m/>
    <m/>
    <m/>
    <m/>
    <n v="0"/>
    <n v="0"/>
    <n v="0"/>
    <n v="0"/>
    <n v="0"/>
    <n v="0"/>
    <n v="0"/>
    <n v="1"/>
    <n v="265"/>
    <n v="1"/>
    <n v="1"/>
    <n v="0.20377358490566039"/>
    <n v="54"/>
    <n v="0"/>
    <n v="44"/>
    <n v="35"/>
    <n v="0.79622641509433967"/>
    <n v="34"/>
    <n v="0"/>
    <n v="34"/>
    <n v="0.12830188679245283"/>
    <n v="0.8716981132075472"/>
    <n v="0.12830188679245283"/>
    <n v="0"/>
    <n v="0"/>
    <n v="0"/>
    <x v="0"/>
    <s v="Village"/>
    <x v="0"/>
    <n v="0"/>
    <n v="0"/>
    <n v="0"/>
    <n v="0"/>
    <x v="0"/>
    <m/>
  </r>
  <r>
    <x v="0"/>
    <x v="0"/>
    <x v="0"/>
    <s v="UNICEF"/>
    <x v="0"/>
    <x v="4"/>
    <x v="0"/>
    <x v="10"/>
    <m/>
    <n v="117"/>
    <d v="2018-06-07T00:00:00"/>
    <d v="2019-12-31T00:00:00"/>
    <m/>
    <m/>
    <m/>
    <m/>
    <m/>
    <m/>
    <m/>
    <m/>
    <m/>
    <m/>
    <x v="0"/>
    <m/>
    <m/>
    <m/>
    <m/>
    <m/>
    <m/>
    <n v="14"/>
    <n v="9"/>
    <n v="9"/>
    <n v="8"/>
    <m/>
    <m/>
    <m/>
    <m/>
    <m/>
    <m/>
    <m/>
    <m/>
    <m/>
    <m/>
    <m/>
    <m/>
    <n v="0"/>
    <n v="0"/>
    <n v="0"/>
    <n v="0"/>
    <n v="0"/>
    <n v="0"/>
    <n v="0"/>
    <n v="1"/>
    <n v="117"/>
    <n v="1"/>
    <n v="1"/>
    <n v="0"/>
    <n v="0"/>
    <n v="0"/>
    <n v="20"/>
    <n v="20"/>
    <n v="1"/>
    <n v="40"/>
    <n v="0"/>
    <n v="40"/>
    <n v="0.34188034188034189"/>
    <n v="0.65811965811965811"/>
    <n v="0.34188034188034189"/>
    <n v="0"/>
    <n v="0"/>
    <n v="0"/>
    <x v="0"/>
    <s v="Village"/>
    <x v="0"/>
    <n v="0"/>
    <n v="0"/>
    <n v="0"/>
    <n v="0"/>
    <x v="0"/>
    <m/>
  </r>
  <r>
    <x v="0"/>
    <x v="0"/>
    <x v="0"/>
    <s v="UNICEF"/>
    <x v="0"/>
    <x v="4"/>
    <x v="0"/>
    <x v="11"/>
    <m/>
    <n v="155"/>
    <d v="2018-06-07T00:00:00"/>
    <d v="2019-12-31T00:00:00"/>
    <m/>
    <m/>
    <m/>
    <m/>
    <m/>
    <m/>
    <m/>
    <m/>
    <m/>
    <m/>
    <x v="0"/>
    <m/>
    <m/>
    <m/>
    <m/>
    <m/>
    <m/>
    <n v="18"/>
    <n v="20"/>
    <n v="12"/>
    <n v="13"/>
    <m/>
    <m/>
    <m/>
    <m/>
    <m/>
    <m/>
    <m/>
    <m/>
    <m/>
    <m/>
    <m/>
    <m/>
    <n v="0"/>
    <n v="0"/>
    <n v="0"/>
    <n v="0"/>
    <n v="0"/>
    <n v="0"/>
    <n v="0"/>
    <n v="1"/>
    <n v="155"/>
    <n v="1"/>
    <n v="1"/>
    <n v="0"/>
    <n v="0"/>
    <n v="0"/>
    <n v="26"/>
    <n v="26"/>
    <n v="1"/>
    <n v="63"/>
    <n v="0"/>
    <n v="63"/>
    <n v="0.40645161290322579"/>
    <n v="0.59354838709677415"/>
    <n v="0.40645161290322579"/>
    <n v="0"/>
    <n v="0"/>
    <n v="0"/>
    <x v="0"/>
    <s v="Village"/>
    <x v="0"/>
    <n v="0"/>
    <n v="0"/>
    <n v="0"/>
    <n v="0"/>
    <x v="0"/>
    <m/>
  </r>
  <r>
    <x v="0"/>
    <x v="0"/>
    <x v="0"/>
    <s v="UNICEF"/>
    <x v="0"/>
    <x v="5"/>
    <x v="0"/>
    <x v="12"/>
    <m/>
    <n v="172"/>
    <d v="2018-06-07T00:00:00"/>
    <d v="2019-12-31T00:00:00"/>
    <m/>
    <m/>
    <m/>
    <m/>
    <m/>
    <m/>
    <m/>
    <m/>
    <m/>
    <n v="12"/>
    <x v="0"/>
    <m/>
    <m/>
    <m/>
    <m/>
    <m/>
    <m/>
    <m/>
    <m/>
    <m/>
    <m/>
    <m/>
    <m/>
    <m/>
    <m/>
    <m/>
    <m/>
    <m/>
    <m/>
    <m/>
    <m/>
    <m/>
    <m/>
    <n v="0"/>
    <n v="0"/>
    <n v="0"/>
    <n v="0"/>
    <n v="0"/>
    <n v="0"/>
    <n v="0"/>
    <n v="1"/>
    <n v="172"/>
    <n v="1"/>
    <n v="1"/>
    <n v="0.41860465116279072"/>
    <n v="72"/>
    <n v="0"/>
    <n v="29"/>
    <n v="17"/>
    <n v="0.58139534883720922"/>
    <n v="0"/>
    <n v="0"/>
    <n v="0"/>
    <n v="0"/>
    <n v="1"/>
    <n v="0"/>
    <n v="0"/>
    <n v="0"/>
    <n v="0"/>
    <x v="0"/>
    <s v="Village"/>
    <x v="0"/>
    <n v="0"/>
    <n v="0"/>
    <n v="0"/>
    <n v="0"/>
    <x v="0"/>
    <m/>
  </r>
  <r>
    <x v="0"/>
    <x v="0"/>
    <x v="0"/>
    <s v="UNICEF"/>
    <x v="0"/>
    <x v="5"/>
    <x v="0"/>
    <x v="13"/>
    <m/>
    <n v="266"/>
    <d v="2018-06-07T00:00:00"/>
    <d v="2019-12-31T00:00:00"/>
    <m/>
    <m/>
    <m/>
    <m/>
    <m/>
    <m/>
    <m/>
    <m/>
    <m/>
    <n v="3"/>
    <x v="0"/>
    <m/>
    <m/>
    <m/>
    <m/>
    <m/>
    <m/>
    <m/>
    <m/>
    <m/>
    <m/>
    <m/>
    <m/>
    <m/>
    <m/>
    <m/>
    <m/>
    <m/>
    <m/>
    <m/>
    <m/>
    <m/>
    <m/>
    <n v="0"/>
    <n v="0"/>
    <n v="0"/>
    <n v="0"/>
    <n v="0"/>
    <n v="0"/>
    <n v="0"/>
    <n v="1"/>
    <n v="266"/>
    <n v="1"/>
    <n v="1"/>
    <n v="6.7669172932330823E-2"/>
    <n v="18"/>
    <n v="0"/>
    <n v="44"/>
    <n v="41"/>
    <n v="0.93233082706766912"/>
    <n v="0"/>
    <n v="0"/>
    <n v="0"/>
    <n v="0"/>
    <n v="1"/>
    <n v="0"/>
    <n v="0"/>
    <n v="0"/>
    <n v="0"/>
    <x v="0"/>
    <s v="Village"/>
    <x v="0"/>
    <n v="0"/>
    <n v="0"/>
    <n v="0"/>
    <n v="0"/>
    <x v="0"/>
    <m/>
  </r>
  <r>
    <x v="0"/>
    <x v="0"/>
    <x v="0"/>
    <s v="UNICEF"/>
    <x v="0"/>
    <x v="5"/>
    <x v="0"/>
    <x v="14"/>
    <m/>
    <n v="136"/>
    <d v="2018-06-07T00:00:00"/>
    <d v="2019-12-31T00:00:00"/>
    <m/>
    <m/>
    <m/>
    <m/>
    <m/>
    <m/>
    <m/>
    <m/>
    <m/>
    <n v="6"/>
    <x v="0"/>
    <m/>
    <m/>
    <m/>
    <m/>
    <m/>
    <m/>
    <m/>
    <m/>
    <m/>
    <m/>
    <m/>
    <m/>
    <m/>
    <m/>
    <m/>
    <m/>
    <m/>
    <m/>
    <m/>
    <m/>
    <m/>
    <m/>
    <n v="0"/>
    <n v="0"/>
    <n v="0"/>
    <n v="0"/>
    <n v="0"/>
    <n v="0"/>
    <n v="0"/>
    <n v="1"/>
    <n v="136"/>
    <n v="1"/>
    <n v="1"/>
    <n v="0.26470588235294118"/>
    <n v="36"/>
    <n v="0"/>
    <n v="23"/>
    <n v="17"/>
    <n v="0.73529411764705888"/>
    <n v="0"/>
    <n v="0"/>
    <n v="0"/>
    <n v="0"/>
    <n v="1"/>
    <n v="0"/>
    <n v="0"/>
    <n v="0"/>
    <n v="0"/>
    <x v="0"/>
    <s v="Village"/>
    <x v="0"/>
    <n v="0"/>
    <n v="0"/>
    <n v="0"/>
    <n v="0"/>
    <x v="0"/>
    <m/>
  </r>
  <r>
    <x v="0"/>
    <x v="0"/>
    <x v="0"/>
    <s v="UNICEF"/>
    <x v="0"/>
    <x v="5"/>
    <x v="0"/>
    <x v="15"/>
    <m/>
    <n v="131"/>
    <d v="2018-06-07T00:00:00"/>
    <d v="2019-12-31T00:00:00"/>
    <m/>
    <m/>
    <m/>
    <m/>
    <m/>
    <m/>
    <m/>
    <m/>
    <m/>
    <n v="48"/>
    <x v="0"/>
    <m/>
    <m/>
    <m/>
    <m/>
    <m/>
    <m/>
    <m/>
    <m/>
    <m/>
    <m/>
    <m/>
    <m/>
    <m/>
    <m/>
    <m/>
    <m/>
    <m/>
    <m/>
    <m/>
    <m/>
    <m/>
    <m/>
    <n v="0"/>
    <n v="0"/>
    <n v="0"/>
    <n v="0"/>
    <n v="0"/>
    <n v="0"/>
    <n v="0"/>
    <n v="1"/>
    <n v="131"/>
    <n v="1"/>
    <n v="1"/>
    <n v="1"/>
    <n v="131"/>
    <n v="0"/>
    <n v="22"/>
    <n v="0"/>
    <n v="0"/>
    <n v="0"/>
    <n v="0"/>
    <n v="0"/>
    <n v="0"/>
    <n v="1"/>
    <n v="0"/>
    <n v="0"/>
    <n v="0"/>
    <n v="0"/>
    <x v="0"/>
    <s v="Village"/>
    <x v="0"/>
    <n v="0"/>
    <n v="0"/>
    <n v="0"/>
    <n v="0"/>
    <x v="0"/>
    <m/>
  </r>
  <r>
    <x v="0"/>
    <x v="0"/>
    <x v="0"/>
    <s v="UNICEF"/>
    <x v="0"/>
    <x v="5"/>
    <x v="0"/>
    <x v="16"/>
    <m/>
    <n v="142"/>
    <d v="2018-06-07T00:00:00"/>
    <d v="2019-12-31T00:00:00"/>
    <m/>
    <m/>
    <m/>
    <m/>
    <m/>
    <m/>
    <m/>
    <m/>
    <m/>
    <n v="61"/>
    <x v="0"/>
    <m/>
    <m/>
    <m/>
    <m/>
    <m/>
    <m/>
    <m/>
    <m/>
    <m/>
    <m/>
    <m/>
    <m/>
    <m/>
    <m/>
    <m/>
    <m/>
    <m/>
    <m/>
    <m/>
    <m/>
    <m/>
    <m/>
    <n v="0"/>
    <n v="0"/>
    <n v="0"/>
    <n v="0"/>
    <n v="0"/>
    <n v="0"/>
    <n v="0"/>
    <n v="1"/>
    <n v="142"/>
    <n v="1"/>
    <n v="1"/>
    <n v="1"/>
    <n v="142"/>
    <n v="0"/>
    <n v="24"/>
    <n v="0"/>
    <n v="0"/>
    <n v="0"/>
    <n v="0"/>
    <n v="0"/>
    <n v="0"/>
    <n v="1"/>
    <n v="0"/>
    <n v="0"/>
    <n v="0"/>
    <n v="0"/>
    <x v="0"/>
    <s v="Village"/>
    <x v="0"/>
    <n v="0"/>
    <n v="0"/>
    <n v="0"/>
    <n v="0"/>
    <x v="0"/>
    <m/>
  </r>
  <r>
    <x v="0"/>
    <x v="0"/>
    <x v="0"/>
    <s v="UNICEF"/>
    <x v="0"/>
    <x v="5"/>
    <x v="0"/>
    <x v="17"/>
    <m/>
    <n v="162"/>
    <d v="2018-06-07T00:00:00"/>
    <d v="2019-12-31T00:00:00"/>
    <m/>
    <m/>
    <m/>
    <m/>
    <m/>
    <m/>
    <m/>
    <m/>
    <m/>
    <n v="36"/>
    <x v="0"/>
    <m/>
    <m/>
    <m/>
    <m/>
    <m/>
    <m/>
    <m/>
    <m/>
    <m/>
    <m/>
    <m/>
    <m/>
    <m/>
    <m/>
    <m/>
    <m/>
    <m/>
    <m/>
    <m/>
    <m/>
    <m/>
    <m/>
    <n v="0"/>
    <n v="0"/>
    <n v="0"/>
    <n v="0"/>
    <n v="0"/>
    <n v="0"/>
    <n v="0"/>
    <n v="1"/>
    <n v="162"/>
    <n v="1"/>
    <n v="1"/>
    <n v="1"/>
    <n v="162"/>
    <n v="0"/>
    <n v="27"/>
    <n v="0"/>
    <n v="0"/>
    <n v="0"/>
    <n v="0"/>
    <n v="0"/>
    <n v="0"/>
    <n v="1"/>
    <n v="0"/>
    <n v="0"/>
    <n v="0"/>
    <n v="0"/>
    <x v="0"/>
    <s v="Village"/>
    <x v="0"/>
    <n v="0"/>
    <n v="0"/>
    <n v="0"/>
    <n v="0"/>
    <x v="0"/>
    <m/>
  </r>
  <r>
    <x v="0"/>
    <x v="0"/>
    <x v="0"/>
    <s v="UNICEF"/>
    <x v="0"/>
    <x v="5"/>
    <x v="0"/>
    <x v="18"/>
    <m/>
    <n v="190"/>
    <d v="2018-06-07T00:00:00"/>
    <d v="2019-12-31T00:00:00"/>
    <m/>
    <m/>
    <m/>
    <m/>
    <m/>
    <m/>
    <m/>
    <m/>
    <m/>
    <n v="5"/>
    <x v="0"/>
    <m/>
    <m/>
    <m/>
    <m/>
    <m/>
    <m/>
    <m/>
    <m/>
    <m/>
    <m/>
    <m/>
    <m/>
    <m/>
    <m/>
    <m/>
    <m/>
    <m/>
    <m/>
    <m/>
    <m/>
    <m/>
    <m/>
    <n v="0"/>
    <n v="0"/>
    <n v="0"/>
    <n v="0"/>
    <n v="0"/>
    <n v="0"/>
    <n v="0"/>
    <n v="1"/>
    <n v="190"/>
    <n v="1"/>
    <n v="1"/>
    <n v="0.15789473684210525"/>
    <n v="30"/>
    <n v="0"/>
    <n v="32"/>
    <n v="27"/>
    <n v="0.84210526315789469"/>
    <n v="0"/>
    <n v="0"/>
    <n v="0"/>
    <n v="0"/>
    <n v="1"/>
    <n v="0"/>
    <n v="0"/>
    <n v="0"/>
    <n v="0"/>
    <x v="0"/>
    <s v="Village"/>
    <x v="0"/>
    <n v="0"/>
    <n v="0"/>
    <n v="0"/>
    <n v="0"/>
    <x v="0"/>
    <m/>
  </r>
  <r>
    <x v="0"/>
    <x v="0"/>
    <x v="0"/>
    <s v="UNICEF"/>
    <x v="0"/>
    <x v="5"/>
    <x v="0"/>
    <x v="19"/>
    <m/>
    <n v="275"/>
    <d v="2018-06-07T00:00:00"/>
    <d v="2019-12-31T00:00:00"/>
    <m/>
    <m/>
    <m/>
    <m/>
    <m/>
    <m/>
    <m/>
    <m/>
    <m/>
    <n v="6"/>
    <x v="0"/>
    <m/>
    <m/>
    <m/>
    <m/>
    <m/>
    <m/>
    <m/>
    <m/>
    <m/>
    <m/>
    <m/>
    <m/>
    <m/>
    <m/>
    <m/>
    <m/>
    <m/>
    <m/>
    <m/>
    <m/>
    <m/>
    <m/>
    <n v="0"/>
    <n v="0"/>
    <n v="0"/>
    <n v="0"/>
    <n v="0"/>
    <n v="0"/>
    <n v="0"/>
    <n v="1"/>
    <n v="275"/>
    <n v="1"/>
    <n v="1"/>
    <n v="0.13090909090909092"/>
    <n v="36"/>
    <n v="0"/>
    <n v="46"/>
    <n v="40"/>
    <n v="0.86909090909090914"/>
    <n v="0"/>
    <n v="0"/>
    <n v="0"/>
    <n v="0"/>
    <n v="1"/>
    <n v="0"/>
    <n v="0"/>
    <n v="0"/>
    <n v="0"/>
    <x v="0"/>
    <s v="Village"/>
    <x v="0"/>
    <n v="0"/>
    <n v="0"/>
    <n v="0"/>
    <n v="0"/>
    <x v="0"/>
    <m/>
  </r>
  <r>
    <x v="0"/>
    <x v="0"/>
    <x v="0"/>
    <s v="UNICEF"/>
    <x v="0"/>
    <x v="5"/>
    <x v="0"/>
    <x v="20"/>
    <m/>
    <n v="185"/>
    <d v="2018-06-07T00:00:00"/>
    <d v="2019-12-31T00:00:00"/>
    <m/>
    <m/>
    <m/>
    <m/>
    <m/>
    <m/>
    <m/>
    <m/>
    <m/>
    <n v="3"/>
    <x v="0"/>
    <m/>
    <m/>
    <m/>
    <m/>
    <m/>
    <m/>
    <m/>
    <m/>
    <m/>
    <m/>
    <m/>
    <m/>
    <m/>
    <m/>
    <m/>
    <m/>
    <m/>
    <m/>
    <m/>
    <m/>
    <m/>
    <m/>
    <n v="0"/>
    <n v="0"/>
    <n v="0"/>
    <n v="0"/>
    <n v="0"/>
    <n v="0"/>
    <n v="0"/>
    <n v="1"/>
    <n v="185"/>
    <n v="1"/>
    <n v="1"/>
    <n v="9.7297297297297303E-2"/>
    <n v="18"/>
    <n v="0"/>
    <n v="31"/>
    <n v="28"/>
    <n v="0.9027027027027027"/>
    <n v="0"/>
    <n v="0"/>
    <n v="0"/>
    <n v="0"/>
    <n v="1"/>
    <n v="0"/>
    <n v="0"/>
    <n v="0"/>
    <n v="0"/>
    <x v="0"/>
    <s v="Village"/>
    <x v="0"/>
    <n v="0"/>
    <n v="0"/>
    <n v="0"/>
    <n v="0"/>
    <x v="0"/>
    <m/>
  </r>
  <r>
    <x v="0"/>
    <x v="0"/>
    <x v="0"/>
    <s v="UNICEF"/>
    <x v="0"/>
    <x v="5"/>
    <x v="0"/>
    <x v="21"/>
    <m/>
    <n v="189"/>
    <d v="2018-06-07T00:00:00"/>
    <d v="2019-12-31T00:00:00"/>
    <m/>
    <m/>
    <m/>
    <m/>
    <m/>
    <m/>
    <m/>
    <m/>
    <m/>
    <n v="5"/>
    <x v="0"/>
    <m/>
    <m/>
    <m/>
    <m/>
    <m/>
    <m/>
    <m/>
    <m/>
    <m/>
    <m/>
    <m/>
    <m/>
    <m/>
    <m/>
    <m/>
    <m/>
    <m/>
    <m/>
    <m/>
    <m/>
    <m/>
    <m/>
    <n v="0"/>
    <n v="0"/>
    <n v="0"/>
    <n v="0"/>
    <n v="0"/>
    <n v="0"/>
    <n v="0"/>
    <n v="1"/>
    <n v="189"/>
    <n v="1"/>
    <n v="1"/>
    <n v="0.15873015873015872"/>
    <n v="30"/>
    <n v="0"/>
    <n v="32"/>
    <n v="27"/>
    <n v="0.84126984126984128"/>
    <n v="0"/>
    <n v="0"/>
    <n v="0"/>
    <n v="0"/>
    <n v="1"/>
    <n v="0"/>
    <n v="0"/>
    <n v="0"/>
    <n v="0"/>
    <x v="0"/>
    <s v="Village"/>
    <x v="0"/>
    <n v="0"/>
    <n v="0"/>
    <n v="0"/>
    <n v="0"/>
    <x v="0"/>
    <m/>
  </r>
  <r>
    <x v="0"/>
    <x v="0"/>
    <x v="0"/>
    <s v="UNICEF"/>
    <x v="0"/>
    <x v="5"/>
    <x v="0"/>
    <x v="22"/>
    <m/>
    <n v="253"/>
    <d v="2018-06-07T00:00:00"/>
    <d v="2019-12-31T00:00:00"/>
    <m/>
    <m/>
    <m/>
    <m/>
    <m/>
    <m/>
    <m/>
    <m/>
    <m/>
    <n v="7"/>
    <x v="0"/>
    <m/>
    <m/>
    <m/>
    <m/>
    <m/>
    <m/>
    <m/>
    <m/>
    <m/>
    <m/>
    <m/>
    <m/>
    <m/>
    <m/>
    <m/>
    <m/>
    <m/>
    <m/>
    <m/>
    <m/>
    <m/>
    <m/>
    <n v="0"/>
    <n v="0"/>
    <n v="0"/>
    <n v="0"/>
    <n v="0"/>
    <n v="0"/>
    <n v="0"/>
    <n v="1"/>
    <n v="253"/>
    <n v="1"/>
    <n v="1"/>
    <n v="0.16600790513833993"/>
    <n v="42"/>
    <n v="0"/>
    <n v="42"/>
    <n v="35"/>
    <n v="0.83399209486166004"/>
    <n v="0"/>
    <n v="0"/>
    <n v="0"/>
    <n v="0"/>
    <n v="1"/>
    <n v="0"/>
    <n v="0"/>
    <n v="0"/>
    <n v="0"/>
    <x v="0"/>
    <s v="Village"/>
    <x v="0"/>
    <n v="0"/>
    <n v="0"/>
    <n v="0"/>
    <n v="0"/>
    <x v="0"/>
    <m/>
  </r>
  <r>
    <x v="0"/>
    <x v="0"/>
    <x v="0"/>
    <s v="UNICEF"/>
    <x v="0"/>
    <x v="5"/>
    <x v="0"/>
    <x v="23"/>
    <m/>
    <n v="150"/>
    <d v="2018-06-07T00:00:00"/>
    <d v="2019-12-31T00:00:00"/>
    <m/>
    <m/>
    <m/>
    <m/>
    <m/>
    <m/>
    <m/>
    <m/>
    <m/>
    <n v="4"/>
    <x v="0"/>
    <m/>
    <m/>
    <m/>
    <m/>
    <m/>
    <m/>
    <m/>
    <m/>
    <m/>
    <m/>
    <m/>
    <m/>
    <m/>
    <m/>
    <m/>
    <m/>
    <m/>
    <m/>
    <m/>
    <m/>
    <m/>
    <m/>
    <n v="0"/>
    <n v="0"/>
    <n v="0"/>
    <n v="0"/>
    <n v="0"/>
    <n v="0"/>
    <n v="0"/>
    <n v="1"/>
    <n v="150"/>
    <n v="1"/>
    <n v="1"/>
    <n v="0.16"/>
    <n v="24"/>
    <n v="0"/>
    <n v="25"/>
    <n v="21"/>
    <n v="0.84"/>
    <n v="0"/>
    <n v="0"/>
    <n v="0"/>
    <n v="0"/>
    <n v="1"/>
    <n v="0"/>
    <n v="0"/>
    <n v="0"/>
    <n v="0"/>
    <x v="0"/>
    <s v="Village"/>
    <x v="0"/>
    <n v="0"/>
    <n v="0"/>
    <n v="0"/>
    <n v="0"/>
    <x v="0"/>
    <m/>
  </r>
  <r>
    <x v="0"/>
    <x v="0"/>
    <x v="0"/>
    <s v="UNICEF"/>
    <x v="0"/>
    <x v="5"/>
    <x v="0"/>
    <x v="24"/>
    <m/>
    <n v="393"/>
    <d v="2018-06-07T00:00:00"/>
    <d v="2019-12-31T00:00:00"/>
    <m/>
    <m/>
    <m/>
    <m/>
    <m/>
    <m/>
    <m/>
    <m/>
    <m/>
    <m/>
    <x v="0"/>
    <m/>
    <m/>
    <m/>
    <m/>
    <m/>
    <m/>
    <m/>
    <m/>
    <m/>
    <m/>
    <m/>
    <m/>
    <m/>
    <m/>
    <m/>
    <m/>
    <m/>
    <m/>
    <m/>
    <m/>
    <m/>
    <m/>
    <n v="0"/>
    <n v="0"/>
    <n v="0"/>
    <n v="0"/>
    <n v="0"/>
    <n v="0"/>
    <n v="0"/>
    <n v="1"/>
    <n v="393"/>
    <n v="2"/>
    <n v="2"/>
    <n v="0"/>
    <n v="0"/>
    <n v="0"/>
    <n v="66"/>
    <n v="66"/>
    <n v="1"/>
    <n v="0"/>
    <n v="0"/>
    <n v="0"/>
    <n v="0"/>
    <n v="1"/>
    <n v="0"/>
    <n v="0"/>
    <n v="0"/>
    <n v="0"/>
    <x v="0"/>
    <s v="Village"/>
    <x v="0"/>
    <n v="0"/>
    <n v="0"/>
    <n v="0"/>
    <n v="0"/>
    <x v="0"/>
    <m/>
  </r>
  <r>
    <x v="0"/>
    <x v="0"/>
    <x v="0"/>
    <s v="UNICEF"/>
    <x v="0"/>
    <x v="5"/>
    <x v="0"/>
    <x v="25"/>
    <m/>
    <n v="290"/>
    <d v="2018-06-07T00:00:00"/>
    <d v="2019-12-31T00:00:00"/>
    <m/>
    <m/>
    <m/>
    <m/>
    <m/>
    <m/>
    <m/>
    <m/>
    <m/>
    <m/>
    <x v="0"/>
    <m/>
    <m/>
    <m/>
    <m/>
    <m/>
    <m/>
    <m/>
    <m/>
    <m/>
    <m/>
    <m/>
    <m/>
    <m/>
    <m/>
    <m/>
    <m/>
    <m/>
    <m/>
    <m/>
    <m/>
    <m/>
    <m/>
    <n v="0"/>
    <n v="0"/>
    <n v="0"/>
    <n v="0"/>
    <n v="0"/>
    <n v="0"/>
    <n v="0"/>
    <n v="1"/>
    <n v="290"/>
    <n v="1"/>
    <n v="1"/>
    <n v="0"/>
    <n v="0"/>
    <n v="0"/>
    <n v="48"/>
    <n v="48"/>
    <n v="1"/>
    <n v="0"/>
    <n v="0"/>
    <n v="0"/>
    <n v="0"/>
    <n v="1"/>
    <n v="0"/>
    <n v="0"/>
    <n v="0"/>
    <n v="0"/>
    <x v="0"/>
    <s v="Village"/>
    <x v="0"/>
    <n v="0"/>
    <n v="0"/>
    <n v="0"/>
    <n v="0"/>
    <x v="0"/>
    <m/>
  </r>
  <r>
    <x v="0"/>
    <x v="0"/>
    <x v="0"/>
    <s v="UNICEF"/>
    <x v="0"/>
    <x v="5"/>
    <x v="0"/>
    <x v="26"/>
    <m/>
    <n v="712"/>
    <d v="2018-06-07T00:00:00"/>
    <d v="2019-12-31T00:00:00"/>
    <m/>
    <m/>
    <m/>
    <m/>
    <m/>
    <m/>
    <m/>
    <m/>
    <m/>
    <n v="9"/>
    <x v="0"/>
    <m/>
    <m/>
    <m/>
    <m/>
    <m/>
    <m/>
    <m/>
    <m/>
    <m/>
    <m/>
    <m/>
    <m/>
    <m/>
    <m/>
    <m/>
    <m/>
    <m/>
    <m/>
    <m/>
    <m/>
    <m/>
    <m/>
    <n v="0"/>
    <n v="0"/>
    <n v="0"/>
    <n v="0"/>
    <n v="0"/>
    <n v="0"/>
    <n v="0"/>
    <n v="1"/>
    <n v="712"/>
    <n v="3"/>
    <n v="3"/>
    <n v="7.5842696629213488E-2"/>
    <n v="54"/>
    <n v="0"/>
    <n v="119"/>
    <n v="110"/>
    <n v="0.9241573033707865"/>
    <n v="0"/>
    <n v="0"/>
    <n v="0"/>
    <n v="0"/>
    <n v="1"/>
    <n v="0"/>
    <n v="0"/>
    <n v="0"/>
    <n v="0"/>
    <x v="0"/>
    <s v="Village"/>
    <x v="0"/>
    <n v="0"/>
    <n v="0"/>
    <n v="0"/>
    <n v="0"/>
    <x v="0"/>
    <m/>
  </r>
  <r>
    <x v="0"/>
    <x v="0"/>
    <x v="0"/>
    <s v="UNICEF"/>
    <x v="0"/>
    <x v="5"/>
    <x v="0"/>
    <x v="27"/>
    <m/>
    <n v="565"/>
    <d v="2018-06-07T00:00:00"/>
    <d v="2019-12-31T00:00:00"/>
    <m/>
    <m/>
    <m/>
    <m/>
    <m/>
    <m/>
    <m/>
    <m/>
    <m/>
    <n v="4"/>
    <x v="0"/>
    <m/>
    <m/>
    <m/>
    <m/>
    <m/>
    <m/>
    <m/>
    <m/>
    <m/>
    <m/>
    <m/>
    <m/>
    <m/>
    <m/>
    <m/>
    <m/>
    <m/>
    <m/>
    <m/>
    <m/>
    <m/>
    <m/>
    <n v="0"/>
    <n v="0"/>
    <n v="0"/>
    <n v="0"/>
    <n v="0"/>
    <n v="0"/>
    <n v="0"/>
    <n v="1"/>
    <n v="565"/>
    <n v="2"/>
    <n v="2"/>
    <n v="4.247787610619469E-2"/>
    <n v="24"/>
    <n v="0"/>
    <n v="94"/>
    <n v="90"/>
    <n v="0.95752212389380531"/>
    <n v="0"/>
    <n v="0"/>
    <n v="0"/>
    <n v="0"/>
    <n v="1"/>
    <n v="0"/>
    <n v="0"/>
    <n v="0"/>
    <n v="0"/>
    <x v="0"/>
    <s v="Village"/>
    <x v="0"/>
    <n v="0"/>
    <n v="0"/>
    <n v="0"/>
    <n v="0"/>
    <x v="0"/>
    <m/>
  </r>
  <r>
    <x v="0"/>
    <x v="0"/>
    <x v="0"/>
    <s v="UNICEF"/>
    <x v="0"/>
    <x v="5"/>
    <x v="0"/>
    <x v="28"/>
    <m/>
    <n v="1125"/>
    <d v="2018-06-07T00:00:00"/>
    <d v="2019-12-31T00:00:00"/>
    <m/>
    <m/>
    <m/>
    <m/>
    <m/>
    <m/>
    <m/>
    <m/>
    <m/>
    <m/>
    <x v="0"/>
    <m/>
    <m/>
    <m/>
    <m/>
    <m/>
    <m/>
    <m/>
    <m/>
    <m/>
    <m/>
    <m/>
    <m/>
    <m/>
    <m/>
    <m/>
    <m/>
    <m/>
    <m/>
    <m/>
    <m/>
    <m/>
    <m/>
    <n v="0"/>
    <n v="0"/>
    <n v="0"/>
    <n v="0"/>
    <n v="0"/>
    <n v="0"/>
    <n v="0"/>
    <n v="1"/>
    <n v="1125"/>
    <n v="5"/>
    <n v="5"/>
    <n v="0"/>
    <n v="0"/>
    <n v="0"/>
    <n v="188"/>
    <n v="188"/>
    <n v="1"/>
    <n v="0"/>
    <n v="0"/>
    <n v="0"/>
    <n v="0"/>
    <n v="1"/>
    <n v="0"/>
    <n v="0"/>
    <n v="0"/>
    <n v="0"/>
    <x v="0"/>
    <s v="Village"/>
    <x v="0"/>
    <n v="0"/>
    <n v="0"/>
    <n v="0"/>
    <n v="0"/>
    <x v="0"/>
    <m/>
  </r>
  <r>
    <x v="0"/>
    <x v="0"/>
    <x v="0"/>
    <s v="UNICEF"/>
    <x v="0"/>
    <x v="6"/>
    <x v="0"/>
    <x v="29"/>
    <m/>
    <n v="97"/>
    <d v="2018-06-07T00:00:00"/>
    <d v="2019-12-31T00:00:00"/>
    <m/>
    <m/>
    <m/>
    <m/>
    <m/>
    <m/>
    <m/>
    <m/>
    <m/>
    <n v="7"/>
    <x v="0"/>
    <m/>
    <m/>
    <m/>
    <m/>
    <m/>
    <m/>
    <m/>
    <m/>
    <m/>
    <m/>
    <m/>
    <m/>
    <m/>
    <m/>
    <m/>
    <m/>
    <m/>
    <m/>
    <m/>
    <m/>
    <m/>
    <m/>
    <n v="0"/>
    <n v="0"/>
    <n v="0"/>
    <n v="0"/>
    <n v="0"/>
    <n v="0"/>
    <n v="0"/>
    <n v="1"/>
    <n v="97"/>
    <n v="1"/>
    <n v="1"/>
    <n v="0.4329896907216495"/>
    <n v="42"/>
    <n v="0"/>
    <n v="16"/>
    <n v="9"/>
    <n v="0.5670103092783505"/>
    <n v="0"/>
    <n v="0"/>
    <n v="0"/>
    <n v="0"/>
    <n v="1"/>
    <n v="0"/>
    <n v="0"/>
    <n v="0"/>
    <n v="0"/>
    <x v="0"/>
    <s v="Village"/>
    <x v="0"/>
    <n v="0"/>
    <n v="0"/>
    <n v="0"/>
    <n v="0"/>
    <x v="0"/>
    <m/>
  </r>
  <r>
    <x v="0"/>
    <x v="0"/>
    <x v="0"/>
    <s v="UNICEF"/>
    <x v="0"/>
    <x v="6"/>
    <x v="0"/>
    <x v="30"/>
    <m/>
    <n v="139"/>
    <d v="2018-06-07T00:00:00"/>
    <d v="2019-12-31T00:00:00"/>
    <m/>
    <m/>
    <m/>
    <m/>
    <m/>
    <m/>
    <m/>
    <m/>
    <m/>
    <n v="12"/>
    <x v="0"/>
    <m/>
    <m/>
    <m/>
    <m/>
    <m/>
    <m/>
    <m/>
    <m/>
    <m/>
    <m/>
    <m/>
    <m/>
    <m/>
    <m/>
    <m/>
    <m/>
    <m/>
    <m/>
    <m/>
    <m/>
    <m/>
    <m/>
    <n v="0"/>
    <n v="0"/>
    <n v="0"/>
    <n v="0"/>
    <n v="0"/>
    <n v="0"/>
    <n v="0"/>
    <n v="1"/>
    <n v="139"/>
    <n v="1"/>
    <n v="1"/>
    <n v="0.51798561151079137"/>
    <n v="72"/>
    <n v="0"/>
    <n v="23"/>
    <n v="11"/>
    <n v="0.48201438848920863"/>
    <n v="0"/>
    <n v="0"/>
    <n v="0"/>
    <n v="0"/>
    <n v="1"/>
    <n v="0"/>
    <n v="0"/>
    <n v="0"/>
    <n v="0"/>
    <x v="0"/>
    <s v="Village"/>
    <x v="0"/>
    <n v="0"/>
    <n v="0"/>
    <n v="0"/>
    <n v="0"/>
    <x v="0"/>
    <m/>
  </r>
  <r>
    <x v="0"/>
    <x v="0"/>
    <x v="0"/>
    <s v="UNICEF"/>
    <x v="0"/>
    <x v="6"/>
    <x v="0"/>
    <x v="31"/>
    <m/>
    <n v="404"/>
    <d v="2018-06-07T00:00:00"/>
    <d v="2019-12-31T00:00:00"/>
    <m/>
    <m/>
    <m/>
    <m/>
    <m/>
    <m/>
    <m/>
    <m/>
    <m/>
    <n v="4"/>
    <x v="0"/>
    <m/>
    <m/>
    <m/>
    <m/>
    <m/>
    <m/>
    <m/>
    <m/>
    <m/>
    <m/>
    <m/>
    <m/>
    <m/>
    <m/>
    <m/>
    <m/>
    <m/>
    <m/>
    <m/>
    <m/>
    <m/>
    <m/>
    <n v="0"/>
    <n v="0"/>
    <n v="0"/>
    <n v="0"/>
    <n v="0"/>
    <n v="0"/>
    <n v="0"/>
    <n v="1"/>
    <n v="404"/>
    <n v="2"/>
    <n v="2"/>
    <n v="5.9405940594059403E-2"/>
    <n v="24"/>
    <n v="0"/>
    <n v="67"/>
    <n v="63"/>
    <n v="0.94059405940594054"/>
    <n v="0"/>
    <n v="0"/>
    <n v="0"/>
    <n v="0"/>
    <n v="1"/>
    <n v="0"/>
    <n v="0"/>
    <n v="0"/>
    <n v="0"/>
    <x v="0"/>
    <s v="Village"/>
    <x v="0"/>
    <n v="0"/>
    <n v="0"/>
    <n v="0"/>
    <n v="0"/>
    <x v="0"/>
    <m/>
  </r>
  <r>
    <x v="0"/>
    <x v="0"/>
    <x v="0"/>
    <s v="UNICEF"/>
    <x v="0"/>
    <x v="6"/>
    <x v="0"/>
    <x v="32"/>
    <m/>
    <n v="80"/>
    <d v="2018-06-07T00:00:00"/>
    <d v="2019-12-31T00:00:00"/>
    <m/>
    <m/>
    <m/>
    <m/>
    <m/>
    <m/>
    <m/>
    <m/>
    <m/>
    <n v="4"/>
    <x v="0"/>
    <m/>
    <m/>
    <m/>
    <m/>
    <m/>
    <m/>
    <m/>
    <m/>
    <m/>
    <m/>
    <m/>
    <m/>
    <m/>
    <m/>
    <m/>
    <m/>
    <m/>
    <m/>
    <m/>
    <m/>
    <m/>
    <m/>
    <n v="0"/>
    <n v="0"/>
    <n v="0"/>
    <n v="0"/>
    <n v="0"/>
    <n v="0"/>
    <n v="0"/>
    <n v="1"/>
    <n v="80"/>
    <n v="1"/>
    <n v="1"/>
    <n v="0.3"/>
    <n v="24"/>
    <n v="0"/>
    <n v="13"/>
    <n v="9"/>
    <n v="0.7"/>
    <n v="0"/>
    <n v="0"/>
    <n v="0"/>
    <n v="0"/>
    <n v="1"/>
    <n v="0"/>
    <n v="0"/>
    <n v="0"/>
    <n v="0"/>
    <x v="0"/>
    <s v="Village"/>
    <x v="0"/>
    <n v="0"/>
    <n v="0"/>
    <n v="0"/>
    <n v="0"/>
    <x v="0"/>
    <m/>
  </r>
  <r>
    <x v="0"/>
    <x v="0"/>
    <x v="0"/>
    <s v="UNICEF"/>
    <x v="0"/>
    <x v="6"/>
    <x v="0"/>
    <x v="33"/>
    <m/>
    <n v="292"/>
    <d v="2018-06-07T00:00:00"/>
    <d v="2019-12-31T00:00:00"/>
    <m/>
    <m/>
    <m/>
    <m/>
    <m/>
    <m/>
    <m/>
    <m/>
    <m/>
    <n v="34"/>
    <x v="0"/>
    <m/>
    <m/>
    <m/>
    <m/>
    <m/>
    <m/>
    <m/>
    <m/>
    <m/>
    <m/>
    <m/>
    <m/>
    <m/>
    <m/>
    <m/>
    <m/>
    <m/>
    <m/>
    <m/>
    <m/>
    <m/>
    <m/>
    <n v="0"/>
    <n v="0"/>
    <n v="0"/>
    <n v="0"/>
    <n v="0"/>
    <n v="0"/>
    <n v="0"/>
    <n v="1"/>
    <n v="292"/>
    <n v="1"/>
    <n v="1"/>
    <n v="0.69863013698630139"/>
    <n v="204"/>
    <n v="0"/>
    <n v="49"/>
    <n v="15"/>
    <n v="0.30136986301369861"/>
    <n v="0"/>
    <n v="0"/>
    <n v="0"/>
    <n v="0"/>
    <n v="1"/>
    <n v="0"/>
    <n v="0"/>
    <n v="0"/>
    <n v="0"/>
    <x v="0"/>
    <s v="Village"/>
    <x v="0"/>
    <n v="0"/>
    <n v="0"/>
    <n v="0"/>
    <n v="0"/>
    <x v="0"/>
    <m/>
  </r>
  <r>
    <x v="0"/>
    <x v="0"/>
    <x v="0"/>
    <s v="UNICEF"/>
    <x v="0"/>
    <x v="6"/>
    <x v="0"/>
    <x v="34"/>
    <m/>
    <n v="75"/>
    <d v="2018-06-07T00:00:00"/>
    <d v="2019-12-31T00:00:00"/>
    <m/>
    <m/>
    <m/>
    <m/>
    <m/>
    <m/>
    <m/>
    <m/>
    <m/>
    <n v="2"/>
    <x v="0"/>
    <m/>
    <m/>
    <m/>
    <m/>
    <m/>
    <m/>
    <m/>
    <m/>
    <m/>
    <m/>
    <m/>
    <m/>
    <m/>
    <m/>
    <m/>
    <m/>
    <m/>
    <m/>
    <m/>
    <m/>
    <m/>
    <m/>
    <n v="0"/>
    <n v="0"/>
    <n v="0"/>
    <n v="0"/>
    <n v="0"/>
    <n v="0"/>
    <n v="0"/>
    <n v="1"/>
    <n v="75"/>
    <n v="1"/>
    <n v="1"/>
    <n v="0.16"/>
    <n v="12"/>
    <n v="0"/>
    <n v="13"/>
    <n v="11"/>
    <n v="0.84"/>
    <n v="0"/>
    <n v="0"/>
    <n v="0"/>
    <n v="0"/>
    <n v="1"/>
    <n v="0"/>
    <n v="0"/>
    <n v="0"/>
    <n v="0"/>
    <x v="0"/>
    <s v="Village"/>
    <x v="0"/>
    <n v="0"/>
    <n v="0"/>
    <n v="0"/>
    <n v="0"/>
    <x v="0"/>
    <m/>
  </r>
  <r>
    <x v="0"/>
    <x v="0"/>
    <x v="0"/>
    <s v="UNICEF"/>
    <x v="0"/>
    <x v="6"/>
    <x v="0"/>
    <x v="35"/>
    <m/>
    <n v="159"/>
    <d v="2018-06-07T00:00:00"/>
    <d v="2019-12-31T00:00:00"/>
    <m/>
    <m/>
    <m/>
    <m/>
    <m/>
    <m/>
    <m/>
    <m/>
    <m/>
    <n v="19"/>
    <x v="0"/>
    <m/>
    <m/>
    <m/>
    <m/>
    <m/>
    <m/>
    <m/>
    <m/>
    <m/>
    <m/>
    <m/>
    <m/>
    <m/>
    <m/>
    <m/>
    <m/>
    <m/>
    <m/>
    <m/>
    <m/>
    <m/>
    <m/>
    <n v="0"/>
    <n v="0"/>
    <n v="0"/>
    <n v="0"/>
    <n v="0"/>
    <n v="0"/>
    <n v="0"/>
    <n v="1"/>
    <n v="159"/>
    <n v="1"/>
    <n v="1"/>
    <n v="0.71698113207547165"/>
    <n v="113.99999999999999"/>
    <n v="0"/>
    <n v="27"/>
    <n v="8"/>
    <n v="0.28301886792452835"/>
    <n v="0"/>
    <n v="0"/>
    <n v="0"/>
    <n v="0"/>
    <n v="1"/>
    <n v="0"/>
    <n v="0"/>
    <n v="0"/>
    <n v="0"/>
    <x v="0"/>
    <s v="Village"/>
    <x v="0"/>
    <n v="0"/>
    <n v="0"/>
    <n v="0"/>
    <n v="0"/>
    <x v="0"/>
    <m/>
  </r>
  <r>
    <x v="0"/>
    <x v="0"/>
    <x v="0"/>
    <s v="UNICEF"/>
    <x v="0"/>
    <x v="6"/>
    <x v="0"/>
    <x v="36"/>
    <m/>
    <n v="101"/>
    <d v="2018-06-07T00:00:00"/>
    <d v="2019-12-31T00:00:00"/>
    <m/>
    <m/>
    <m/>
    <m/>
    <m/>
    <m/>
    <m/>
    <m/>
    <m/>
    <n v="13"/>
    <x v="0"/>
    <m/>
    <m/>
    <m/>
    <m/>
    <m/>
    <m/>
    <m/>
    <m/>
    <m/>
    <m/>
    <m/>
    <m/>
    <m/>
    <m/>
    <m/>
    <m/>
    <m/>
    <m/>
    <m/>
    <m/>
    <m/>
    <m/>
    <n v="0"/>
    <n v="0"/>
    <n v="0"/>
    <n v="0"/>
    <n v="0"/>
    <n v="0"/>
    <n v="0"/>
    <n v="1"/>
    <n v="101"/>
    <n v="1"/>
    <n v="1"/>
    <n v="0.7722772277227723"/>
    <n v="78"/>
    <n v="0"/>
    <n v="17"/>
    <n v="4"/>
    <n v="0.2277227722772277"/>
    <n v="0"/>
    <n v="0"/>
    <n v="0"/>
    <n v="0"/>
    <n v="1"/>
    <n v="0"/>
    <n v="0"/>
    <n v="0"/>
    <n v="0"/>
    <x v="0"/>
    <s v="Village"/>
    <x v="0"/>
    <n v="0"/>
    <n v="0"/>
    <n v="0"/>
    <n v="0"/>
    <x v="0"/>
    <m/>
  </r>
  <r>
    <x v="0"/>
    <x v="0"/>
    <x v="0"/>
    <s v="UNICEF"/>
    <x v="0"/>
    <x v="6"/>
    <x v="0"/>
    <x v="37"/>
    <m/>
    <n v="133"/>
    <d v="2018-06-07T00:00:00"/>
    <d v="2019-12-31T00:00:00"/>
    <m/>
    <m/>
    <m/>
    <m/>
    <m/>
    <m/>
    <m/>
    <m/>
    <m/>
    <n v="20"/>
    <x v="0"/>
    <m/>
    <m/>
    <m/>
    <m/>
    <m/>
    <m/>
    <m/>
    <m/>
    <m/>
    <m/>
    <m/>
    <m/>
    <m/>
    <m/>
    <m/>
    <m/>
    <m/>
    <m/>
    <m/>
    <m/>
    <m/>
    <m/>
    <n v="0"/>
    <n v="0"/>
    <n v="0"/>
    <n v="0"/>
    <n v="0"/>
    <n v="0"/>
    <n v="0"/>
    <n v="1"/>
    <n v="133"/>
    <n v="1"/>
    <n v="1"/>
    <n v="0.90225563909774431"/>
    <n v="120"/>
    <n v="0"/>
    <n v="22"/>
    <n v="2"/>
    <n v="9.7744360902255689E-2"/>
    <n v="0"/>
    <n v="0"/>
    <n v="0"/>
    <n v="0"/>
    <n v="1"/>
    <n v="0"/>
    <n v="0"/>
    <n v="0"/>
    <n v="0"/>
    <x v="0"/>
    <s v="Village"/>
    <x v="0"/>
    <n v="0"/>
    <n v="0"/>
    <n v="0"/>
    <n v="0"/>
    <x v="0"/>
    <m/>
  </r>
  <r>
    <x v="0"/>
    <x v="0"/>
    <x v="0"/>
    <s v="UNICEF"/>
    <x v="0"/>
    <x v="6"/>
    <x v="0"/>
    <x v="38"/>
    <m/>
    <n v="126"/>
    <d v="2018-06-07T00:00:00"/>
    <d v="2019-12-31T00:00:00"/>
    <m/>
    <m/>
    <m/>
    <m/>
    <m/>
    <m/>
    <m/>
    <m/>
    <m/>
    <n v="10"/>
    <x v="0"/>
    <m/>
    <m/>
    <m/>
    <m/>
    <m/>
    <m/>
    <m/>
    <m/>
    <m/>
    <m/>
    <m/>
    <m/>
    <m/>
    <m/>
    <m/>
    <m/>
    <m/>
    <m/>
    <m/>
    <m/>
    <m/>
    <m/>
    <n v="0"/>
    <n v="0"/>
    <n v="0"/>
    <n v="0"/>
    <n v="0"/>
    <n v="0"/>
    <n v="0"/>
    <n v="1"/>
    <n v="126"/>
    <n v="1"/>
    <n v="1"/>
    <n v="0.47619047619047616"/>
    <n v="60"/>
    <n v="0"/>
    <n v="21"/>
    <n v="11"/>
    <n v="0.52380952380952384"/>
    <n v="0"/>
    <n v="0"/>
    <n v="0"/>
    <n v="0"/>
    <n v="1"/>
    <n v="0"/>
    <n v="0"/>
    <n v="0"/>
    <n v="0"/>
    <x v="0"/>
    <s v="Village"/>
    <x v="0"/>
    <n v="0"/>
    <n v="0"/>
    <n v="0"/>
    <n v="0"/>
    <x v="0"/>
    <m/>
  </r>
  <r>
    <x v="0"/>
    <x v="0"/>
    <x v="0"/>
    <s v="UNICEF"/>
    <x v="0"/>
    <x v="6"/>
    <x v="0"/>
    <x v="39"/>
    <m/>
    <n v="179"/>
    <d v="2018-06-07T00:00:00"/>
    <d v="2019-12-31T00:00:00"/>
    <m/>
    <m/>
    <m/>
    <m/>
    <m/>
    <m/>
    <m/>
    <m/>
    <m/>
    <n v="11"/>
    <x v="0"/>
    <m/>
    <m/>
    <m/>
    <m/>
    <m/>
    <m/>
    <m/>
    <m/>
    <m/>
    <m/>
    <m/>
    <m/>
    <m/>
    <m/>
    <m/>
    <m/>
    <m/>
    <m/>
    <m/>
    <m/>
    <m/>
    <m/>
    <n v="0"/>
    <n v="0"/>
    <n v="0"/>
    <n v="0"/>
    <n v="0"/>
    <n v="0"/>
    <n v="0"/>
    <n v="1"/>
    <n v="179"/>
    <n v="1"/>
    <n v="1"/>
    <n v="0.36871508379888268"/>
    <n v="66"/>
    <n v="0"/>
    <n v="30"/>
    <n v="19"/>
    <n v="0.63128491620111737"/>
    <n v="0"/>
    <n v="0"/>
    <n v="0"/>
    <n v="0"/>
    <n v="1"/>
    <n v="0"/>
    <n v="0"/>
    <n v="0"/>
    <n v="0"/>
    <x v="0"/>
    <s v="Village"/>
    <x v="0"/>
    <n v="0"/>
    <n v="0"/>
    <n v="0"/>
    <n v="0"/>
    <x v="0"/>
    <m/>
  </r>
  <r>
    <x v="0"/>
    <x v="0"/>
    <x v="0"/>
    <s v="UNICEF"/>
    <x v="0"/>
    <x v="6"/>
    <x v="0"/>
    <x v="40"/>
    <m/>
    <n v="113"/>
    <d v="2018-06-07T00:00:00"/>
    <d v="2019-12-31T00:00:00"/>
    <m/>
    <m/>
    <m/>
    <m/>
    <m/>
    <m/>
    <m/>
    <m/>
    <m/>
    <m/>
    <x v="0"/>
    <m/>
    <m/>
    <m/>
    <m/>
    <m/>
    <m/>
    <m/>
    <m/>
    <m/>
    <m/>
    <m/>
    <m/>
    <m/>
    <m/>
    <m/>
    <m/>
    <m/>
    <m/>
    <m/>
    <m/>
    <m/>
    <m/>
    <n v="0"/>
    <n v="0"/>
    <n v="0"/>
    <n v="0"/>
    <n v="0"/>
    <n v="0"/>
    <n v="0"/>
    <n v="1"/>
    <n v="113"/>
    <n v="1"/>
    <n v="1"/>
    <n v="0"/>
    <n v="0"/>
    <n v="0"/>
    <n v="19"/>
    <n v="19"/>
    <n v="1"/>
    <n v="0"/>
    <n v="0"/>
    <n v="0"/>
    <n v="0"/>
    <n v="1"/>
    <n v="0"/>
    <n v="0"/>
    <n v="0"/>
    <n v="0"/>
    <x v="0"/>
    <s v="Village"/>
    <x v="0"/>
    <n v="0"/>
    <n v="0"/>
    <n v="0"/>
    <n v="0"/>
    <x v="0"/>
    <m/>
  </r>
  <r>
    <x v="0"/>
    <x v="0"/>
    <x v="0"/>
    <s v="UNICEF"/>
    <x v="0"/>
    <x v="6"/>
    <x v="0"/>
    <x v="41"/>
    <m/>
    <n v="166"/>
    <d v="2018-06-07T00:00:00"/>
    <d v="2019-12-31T00:00:00"/>
    <m/>
    <m/>
    <m/>
    <m/>
    <m/>
    <m/>
    <m/>
    <m/>
    <m/>
    <n v="11"/>
    <x v="0"/>
    <m/>
    <m/>
    <m/>
    <m/>
    <m/>
    <m/>
    <m/>
    <m/>
    <m/>
    <m/>
    <m/>
    <m/>
    <m/>
    <m/>
    <m/>
    <m/>
    <m/>
    <m/>
    <m/>
    <m/>
    <m/>
    <m/>
    <n v="0"/>
    <n v="0"/>
    <n v="0"/>
    <n v="0"/>
    <n v="0"/>
    <n v="0"/>
    <n v="0"/>
    <n v="1"/>
    <n v="166"/>
    <n v="1"/>
    <n v="1"/>
    <n v="0.39759036144578314"/>
    <n v="66"/>
    <n v="0"/>
    <n v="28"/>
    <n v="17"/>
    <n v="0.60240963855421681"/>
    <n v="0"/>
    <n v="0"/>
    <n v="0"/>
    <n v="0"/>
    <n v="1"/>
    <n v="0"/>
    <n v="0"/>
    <n v="0"/>
    <n v="0"/>
    <x v="0"/>
    <s v="Village"/>
    <x v="0"/>
    <n v="0"/>
    <n v="0"/>
    <n v="0"/>
    <n v="0"/>
    <x v="0"/>
    <m/>
  </r>
  <r>
    <x v="0"/>
    <x v="0"/>
    <x v="0"/>
    <s v="UNICEF"/>
    <x v="0"/>
    <x v="6"/>
    <x v="0"/>
    <x v="42"/>
    <m/>
    <n v="119"/>
    <d v="2018-06-07T00:00:00"/>
    <d v="2019-12-31T00:00:00"/>
    <m/>
    <m/>
    <m/>
    <m/>
    <m/>
    <m/>
    <m/>
    <m/>
    <m/>
    <n v="14"/>
    <x v="0"/>
    <m/>
    <m/>
    <m/>
    <m/>
    <m/>
    <m/>
    <m/>
    <m/>
    <m/>
    <m/>
    <m/>
    <m/>
    <m/>
    <m/>
    <m/>
    <m/>
    <m/>
    <m/>
    <m/>
    <m/>
    <m/>
    <m/>
    <n v="0"/>
    <n v="0"/>
    <n v="0"/>
    <n v="0"/>
    <n v="0"/>
    <n v="0"/>
    <n v="0"/>
    <n v="1"/>
    <n v="119"/>
    <n v="1"/>
    <n v="1"/>
    <n v="0.70588235294117652"/>
    <n v="84"/>
    <n v="0"/>
    <n v="20"/>
    <n v="6"/>
    <n v="0.29411764705882348"/>
    <n v="0"/>
    <n v="0"/>
    <n v="0"/>
    <n v="0"/>
    <n v="1"/>
    <n v="0"/>
    <n v="0"/>
    <n v="0"/>
    <n v="0"/>
    <x v="0"/>
    <s v="Village"/>
    <x v="0"/>
    <n v="0"/>
    <n v="0"/>
    <n v="0"/>
    <n v="0"/>
    <x v="0"/>
    <m/>
  </r>
  <r>
    <x v="0"/>
    <x v="0"/>
    <x v="0"/>
    <s v="UNICEF"/>
    <x v="0"/>
    <x v="6"/>
    <x v="0"/>
    <x v="43"/>
    <m/>
    <n v="303"/>
    <d v="2018-06-07T00:00:00"/>
    <d v="2019-12-31T00:00:00"/>
    <m/>
    <m/>
    <m/>
    <m/>
    <m/>
    <m/>
    <m/>
    <m/>
    <m/>
    <n v="34"/>
    <x v="0"/>
    <m/>
    <m/>
    <m/>
    <m/>
    <m/>
    <m/>
    <m/>
    <m/>
    <m/>
    <m/>
    <m/>
    <m/>
    <m/>
    <m/>
    <m/>
    <m/>
    <m/>
    <m/>
    <m/>
    <m/>
    <m/>
    <m/>
    <n v="0"/>
    <n v="0"/>
    <n v="0"/>
    <n v="0"/>
    <n v="0"/>
    <n v="0"/>
    <n v="0"/>
    <n v="1"/>
    <n v="303"/>
    <n v="1"/>
    <n v="1"/>
    <n v="0.67326732673267331"/>
    <n v="204"/>
    <n v="0"/>
    <n v="51"/>
    <n v="17"/>
    <n v="0.32673267326732669"/>
    <n v="0"/>
    <n v="0"/>
    <n v="0"/>
    <n v="0"/>
    <n v="1"/>
    <n v="0"/>
    <n v="0"/>
    <n v="0"/>
    <n v="0"/>
    <x v="0"/>
    <s v="Village"/>
    <x v="0"/>
    <n v="0"/>
    <n v="0"/>
    <n v="0"/>
    <n v="0"/>
    <x v="0"/>
    <m/>
  </r>
  <r>
    <x v="0"/>
    <x v="0"/>
    <x v="0"/>
    <s v="UNICEF"/>
    <x v="0"/>
    <x v="6"/>
    <x v="0"/>
    <x v="44"/>
    <m/>
    <n v="201"/>
    <d v="2018-06-07T00:00:00"/>
    <d v="2019-12-31T00:00:00"/>
    <m/>
    <m/>
    <m/>
    <m/>
    <m/>
    <m/>
    <m/>
    <m/>
    <m/>
    <n v="4"/>
    <x v="0"/>
    <m/>
    <m/>
    <m/>
    <m/>
    <m/>
    <m/>
    <m/>
    <m/>
    <m/>
    <m/>
    <m/>
    <m/>
    <m/>
    <m/>
    <m/>
    <m/>
    <m/>
    <m/>
    <m/>
    <m/>
    <m/>
    <m/>
    <n v="0"/>
    <n v="0"/>
    <n v="0"/>
    <n v="0"/>
    <n v="0"/>
    <n v="0"/>
    <n v="0"/>
    <n v="1"/>
    <n v="201"/>
    <n v="1"/>
    <n v="1"/>
    <n v="0.11940298507462686"/>
    <n v="24"/>
    <n v="0"/>
    <n v="34"/>
    <n v="30"/>
    <n v="0.88059701492537312"/>
    <n v="0"/>
    <n v="0"/>
    <n v="0"/>
    <n v="0"/>
    <n v="1"/>
    <n v="0"/>
    <n v="0"/>
    <n v="0"/>
    <n v="0"/>
    <x v="0"/>
    <s v="Village"/>
    <x v="0"/>
    <n v="0"/>
    <n v="0"/>
    <n v="0"/>
    <n v="0"/>
    <x v="0"/>
    <m/>
  </r>
  <r>
    <x v="0"/>
    <x v="0"/>
    <x v="0"/>
    <s v="UNICEF"/>
    <x v="0"/>
    <x v="6"/>
    <x v="0"/>
    <x v="45"/>
    <m/>
    <n v="245"/>
    <d v="2018-06-07T00:00:00"/>
    <d v="2019-12-31T00:00:00"/>
    <m/>
    <m/>
    <m/>
    <m/>
    <m/>
    <m/>
    <m/>
    <m/>
    <m/>
    <n v="5"/>
    <x v="0"/>
    <m/>
    <m/>
    <m/>
    <m/>
    <m/>
    <m/>
    <m/>
    <m/>
    <m/>
    <m/>
    <m/>
    <m/>
    <m/>
    <m/>
    <m/>
    <m/>
    <m/>
    <m/>
    <m/>
    <m/>
    <m/>
    <m/>
    <n v="0"/>
    <n v="0"/>
    <n v="0"/>
    <n v="0"/>
    <n v="0"/>
    <n v="0"/>
    <n v="0"/>
    <n v="1"/>
    <n v="245"/>
    <n v="1"/>
    <n v="1"/>
    <n v="0.12244897959183673"/>
    <n v="30"/>
    <n v="0"/>
    <n v="41"/>
    <n v="36"/>
    <n v="0.87755102040816324"/>
    <n v="0"/>
    <n v="0"/>
    <n v="0"/>
    <n v="0"/>
    <n v="1"/>
    <n v="0"/>
    <n v="0"/>
    <n v="0"/>
    <n v="0"/>
    <x v="0"/>
    <s v="Village"/>
    <x v="0"/>
    <n v="0"/>
    <n v="0"/>
    <n v="0"/>
    <n v="0"/>
    <x v="0"/>
    <m/>
  </r>
  <r>
    <x v="0"/>
    <x v="0"/>
    <x v="0"/>
    <s v="UNICEF"/>
    <x v="0"/>
    <x v="6"/>
    <x v="0"/>
    <x v="46"/>
    <m/>
    <n v="308"/>
    <d v="2018-06-07T00:00:00"/>
    <d v="2019-12-31T00:00:00"/>
    <m/>
    <m/>
    <m/>
    <m/>
    <m/>
    <m/>
    <m/>
    <m/>
    <m/>
    <n v="9"/>
    <x v="0"/>
    <m/>
    <m/>
    <m/>
    <m/>
    <m/>
    <m/>
    <m/>
    <m/>
    <m/>
    <m/>
    <m/>
    <m/>
    <m/>
    <m/>
    <m/>
    <m/>
    <m/>
    <m/>
    <m/>
    <m/>
    <m/>
    <m/>
    <n v="0"/>
    <n v="0"/>
    <n v="0"/>
    <n v="0"/>
    <n v="0"/>
    <n v="0"/>
    <n v="0"/>
    <n v="1"/>
    <n v="308"/>
    <n v="1"/>
    <n v="1"/>
    <n v="0.17532467532467533"/>
    <n v="54"/>
    <n v="0"/>
    <n v="51"/>
    <n v="42"/>
    <n v="0.82467532467532467"/>
    <n v="0"/>
    <n v="0"/>
    <n v="0"/>
    <n v="0"/>
    <n v="1"/>
    <n v="0"/>
    <n v="0"/>
    <n v="0"/>
    <n v="0"/>
    <x v="0"/>
    <s v="Village"/>
    <x v="0"/>
    <n v="0"/>
    <n v="0"/>
    <n v="0"/>
    <n v="0"/>
    <x v="0"/>
    <m/>
  </r>
  <r>
    <x v="0"/>
    <x v="0"/>
    <x v="0"/>
    <s v="UNICEF"/>
    <x v="0"/>
    <x v="6"/>
    <x v="0"/>
    <x v="47"/>
    <m/>
    <n v="178"/>
    <d v="2018-06-07T00:00:00"/>
    <d v="2019-12-31T00:00:00"/>
    <m/>
    <m/>
    <m/>
    <m/>
    <m/>
    <m/>
    <m/>
    <m/>
    <m/>
    <n v="6"/>
    <x v="0"/>
    <m/>
    <m/>
    <m/>
    <m/>
    <m/>
    <m/>
    <m/>
    <m/>
    <m/>
    <m/>
    <m/>
    <m/>
    <m/>
    <m/>
    <m/>
    <m/>
    <m/>
    <m/>
    <m/>
    <m/>
    <m/>
    <m/>
    <n v="0"/>
    <n v="0"/>
    <n v="0"/>
    <n v="0"/>
    <n v="0"/>
    <n v="0"/>
    <n v="0"/>
    <n v="1"/>
    <n v="178"/>
    <n v="1"/>
    <n v="1"/>
    <n v="0.20224719101123595"/>
    <n v="36"/>
    <n v="0"/>
    <n v="30"/>
    <n v="24"/>
    <n v="0.797752808988764"/>
    <n v="0"/>
    <n v="0"/>
    <n v="0"/>
    <n v="0"/>
    <n v="1"/>
    <n v="0"/>
    <n v="0"/>
    <n v="0"/>
    <n v="0"/>
    <x v="0"/>
    <s v="Village"/>
    <x v="0"/>
    <n v="0"/>
    <n v="0"/>
    <n v="0"/>
    <n v="0"/>
    <x v="0"/>
    <m/>
  </r>
  <r>
    <x v="0"/>
    <x v="0"/>
    <x v="0"/>
    <s v="UNICEF"/>
    <x v="0"/>
    <x v="6"/>
    <x v="0"/>
    <x v="48"/>
    <m/>
    <n v="393"/>
    <d v="2018-06-07T00:00:00"/>
    <d v="2019-12-31T00:00:00"/>
    <m/>
    <m/>
    <m/>
    <m/>
    <m/>
    <m/>
    <m/>
    <m/>
    <m/>
    <n v="4"/>
    <x v="0"/>
    <m/>
    <m/>
    <m/>
    <m/>
    <m/>
    <m/>
    <m/>
    <m/>
    <m/>
    <m/>
    <m/>
    <m/>
    <m/>
    <m/>
    <m/>
    <m/>
    <m/>
    <m/>
    <m/>
    <m/>
    <m/>
    <m/>
    <n v="0"/>
    <n v="0"/>
    <n v="0"/>
    <n v="0"/>
    <n v="0"/>
    <n v="0"/>
    <n v="0"/>
    <n v="1"/>
    <n v="393"/>
    <n v="2"/>
    <n v="2"/>
    <n v="6.1068702290076333E-2"/>
    <n v="24"/>
    <n v="0"/>
    <n v="66"/>
    <n v="62"/>
    <n v="0.93893129770992367"/>
    <n v="0"/>
    <n v="0"/>
    <n v="0"/>
    <n v="0"/>
    <n v="1"/>
    <n v="0"/>
    <n v="0"/>
    <n v="0"/>
    <n v="0"/>
    <x v="0"/>
    <s v="Village"/>
    <x v="0"/>
    <n v="0"/>
    <n v="0"/>
    <n v="0"/>
    <n v="0"/>
    <x v="0"/>
    <m/>
  </r>
  <r>
    <x v="0"/>
    <x v="0"/>
    <x v="0"/>
    <s v="UNICEF"/>
    <x v="0"/>
    <x v="6"/>
    <x v="0"/>
    <x v="49"/>
    <m/>
    <n v="131"/>
    <d v="2018-06-07T00:00:00"/>
    <d v="2019-12-31T00:00:00"/>
    <m/>
    <m/>
    <m/>
    <m/>
    <m/>
    <m/>
    <m/>
    <m/>
    <m/>
    <n v="1"/>
    <x v="0"/>
    <m/>
    <m/>
    <m/>
    <m/>
    <m/>
    <m/>
    <m/>
    <m/>
    <m/>
    <m/>
    <m/>
    <m/>
    <m/>
    <m/>
    <m/>
    <m/>
    <m/>
    <m/>
    <m/>
    <m/>
    <m/>
    <m/>
    <n v="0"/>
    <n v="0"/>
    <n v="0"/>
    <n v="0"/>
    <n v="0"/>
    <n v="0"/>
    <n v="0"/>
    <n v="1"/>
    <n v="131"/>
    <n v="1"/>
    <n v="1"/>
    <n v="4.5801526717557252E-2"/>
    <n v="6"/>
    <n v="0"/>
    <n v="22"/>
    <n v="21"/>
    <n v="0.95419847328244278"/>
    <n v="0"/>
    <n v="0"/>
    <n v="0"/>
    <n v="0"/>
    <n v="1"/>
    <n v="0"/>
    <n v="0"/>
    <n v="0"/>
    <n v="0"/>
    <x v="0"/>
    <s v="Village"/>
    <x v="0"/>
    <n v="0"/>
    <n v="0"/>
    <n v="0"/>
    <n v="0"/>
    <x v="0"/>
    <m/>
  </r>
  <r>
    <x v="0"/>
    <x v="0"/>
    <x v="0"/>
    <s v="UNICEF"/>
    <x v="0"/>
    <x v="6"/>
    <x v="0"/>
    <x v="50"/>
    <m/>
    <n v="112"/>
    <d v="2018-06-07T00:00:00"/>
    <d v="2019-12-31T00:00:00"/>
    <m/>
    <m/>
    <m/>
    <m/>
    <m/>
    <m/>
    <m/>
    <m/>
    <m/>
    <n v="1"/>
    <x v="0"/>
    <m/>
    <m/>
    <m/>
    <m/>
    <m/>
    <m/>
    <m/>
    <m/>
    <m/>
    <m/>
    <m/>
    <m/>
    <m/>
    <m/>
    <m/>
    <m/>
    <m/>
    <m/>
    <m/>
    <m/>
    <m/>
    <m/>
    <n v="0"/>
    <n v="0"/>
    <n v="0"/>
    <n v="0"/>
    <n v="0"/>
    <n v="0"/>
    <n v="0"/>
    <n v="1"/>
    <n v="112"/>
    <n v="1"/>
    <n v="1"/>
    <n v="5.3571428571428568E-2"/>
    <n v="6"/>
    <n v="0"/>
    <n v="19"/>
    <n v="18"/>
    <n v="0.9464285714285714"/>
    <n v="0"/>
    <n v="0"/>
    <n v="0"/>
    <n v="0"/>
    <n v="1"/>
    <n v="0"/>
    <n v="0"/>
    <n v="0"/>
    <n v="0"/>
    <x v="0"/>
    <s v="Village"/>
    <x v="0"/>
    <n v="0"/>
    <n v="0"/>
    <n v="0"/>
    <n v="0"/>
    <x v="0"/>
    <m/>
  </r>
  <r>
    <x v="0"/>
    <x v="0"/>
    <x v="0"/>
    <s v="UNICEF"/>
    <x v="0"/>
    <x v="6"/>
    <x v="0"/>
    <x v="51"/>
    <m/>
    <n v="166"/>
    <d v="2018-06-07T00:00:00"/>
    <d v="2019-12-31T00:00:00"/>
    <m/>
    <m/>
    <m/>
    <m/>
    <m/>
    <m/>
    <m/>
    <m/>
    <m/>
    <n v="15"/>
    <x v="0"/>
    <m/>
    <m/>
    <m/>
    <m/>
    <m/>
    <m/>
    <m/>
    <m/>
    <m/>
    <m/>
    <m/>
    <m/>
    <m/>
    <m/>
    <m/>
    <m/>
    <m/>
    <m/>
    <m/>
    <m/>
    <m/>
    <m/>
    <n v="0"/>
    <n v="0"/>
    <n v="0"/>
    <n v="0"/>
    <n v="0"/>
    <n v="0"/>
    <n v="0"/>
    <n v="1"/>
    <n v="166"/>
    <n v="1"/>
    <n v="1"/>
    <n v="0.54216867469879515"/>
    <n v="90"/>
    <n v="0"/>
    <n v="28"/>
    <n v="13"/>
    <n v="0.45783132530120485"/>
    <n v="0"/>
    <n v="0"/>
    <n v="0"/>
    <n v="0"/>
    <n v="1"/>
    <n v="0"/>
    <n v="0"/>
    <n v="0"/>
    <n v="0"/>
    <x v="0"/>
    <s v="Village"/>
    <x v="0"/>
    <n v="0"/>
    <n v="0"/>
    <n v="0"/>
    <n v="0"/>
    <x v="0"/>
    <m/>
  </r>
  <r>
    <x v="0"/>
    <x v="0"/>
    <x v="0"/>
    <s v="UNICEF"/>
    <x v="0"/>
    <x v="6"/>
    <x v="0"/>
    <x v="52"/>
    <m/>
    <n v="343"/>
    <d v="2018-06-07T00:00:00"/>
    <d v="2019-12-31T00:00:00"/>
    <m/>
    <m/>
    <m/>
    <m/>
    <m/>
    <m/>
    <m/>
    <m/>
    <m/>
    <n v="9"/>
    <x v="0"/>
    <m/>
    <m/>
    <m/>
    <m/>
    <m/>
    <m/>
    <m/>
    <m/>
    <m/>
    <m/>
    <m/>
    <m/>
    <m/>
    <m/>
    <m/>
    <m/>
    <m/>
    <m/>
    <m/>
    <m/>
    <m/>
    <m/>
    <n v="0"/>
    <n v="0"/>
    <n v="0"/>
    <n v="0"/>
    <n v="0"/>
    <n v="0"/>
    <n v="0"/>
    <n v="1"/>
    <n v="343"/>
    <n v="1"/>
    <n v="1"/>
    <n v="0.15743440233236153"/>
    <n v="54.000000000000007"/>
    <n v="0"/>
    <n v="57"/>
    <n v="48"/>
    <n v="0.8425655976676385"/>
    <n v="0"/>
    <n v="0"/>
    <n v="0"/>
    <n v="0"/>
    <n v="1"/>
    <n v="0"/>
    <n v="0"/>
    <n v="0"/>
    <n v="0"/>
    <x v="0"/>
    <s v="Village"/>
    <x v="0"/>
    <n v="0"/>
    <n v="0"/>
    <n v="0"/>
    <n v="0"/>
    <x v="0"/>
    <m/>
  </r>
  <r>
    <x v="0"/>
    <x v="0"/>
    <x v="0"/>
    <s v="UNICEF"/>
    <x v="0"/>
    <x v="7"/>
    <x v="0"/>
    <x v="53"/>
    <m/>
    <n v="134"/>
    <d v="2018-06-07T00:00:00"/>
    <d v="2019-12-31T00:00:00"/>
    <m/>
    <m/>
    <m/>
    <m/>
    <m/>
    <m/>
    <m/>
    <m/>
    <m/>
    <n v="6"/>
    <x v="0"/>
    <m/>
    <m/>
    <m/>
    <m/>
    <m/>
    <m/>
    <n v="10"/>
    <n v="14"/>
    <n v="3"/>
    <n v="2"/>
    <m/>
    <m/>
    <m/>
    <m/>
    <m/>
    <m/>
    <m/>
    <m/>
    <m/>
    <m/>
    <m/>
    <m/>
    <n v="0"/>
    <n v="0"/>
    <n v="0"/>
    <n v="0"/>
    <n v="0"/>
    <n v="0"/>
    <n v="0"/>
    <n v="1"/>
    <n v="134"/>
    <n v="1"/>
    <n v="1"/>
    <n v="0.26865671641791045"/>
    <n v="36"/>
    <n v="0"/>
    <n v="22"/>
    <n v="16"/>
    <n v="0.73134328358208955"/>
    <n v="29"/>
    <n v="0"/>
    <n v="29"/>
    <n v="0.21641791044776118"/>
    <n v="0.78358208955223885"/>
    <n v="0.21641791044776118"/>
    <n v="0"/>
    <n v="0"/>
    <n v="0"/>
    <x v="0"/>
    <s v="Village"/>
    <x v="0"/>
    <n v="0"/>
    <n v="0"/>
    <n v="0"/>
    <n v="0"/>
    <x v="0"/>
    <m/>
  </r>
  <r>
    <x v="0"/>
    <x v="0"/>
    <x v="0"/>
    <s v="UNICEF"/>
    <x v="0"/>
    <x v="7"/>
    <x v="0"/>
    <x v="54"/>
    <m/>
    <n v="157"/>
    <d v="2018-06-07T00:00:00"/>
    <d v="2019-12-31T00:00:00"/>
    <m/>
    <m/>
    <m/>
    <m/>
    <m/>
    <m/>
    <m/>
    <m/>
    <m/>
    <n v="1"/>
    <x v="0"/>
    <m/>
    <m/>
    <m/>
    <m/>
    <m/>
    <m/>
    <n v="11"/>
    <n v="14"/>
    <n v="5"/>
    <n v="8"/>
    <m/>
    <m/>
    <m/>
    <m/>
    <m/>
    <m/>
    <m/>
    <m/>
    <m/>
    <m/>
    <m/>
    <m/>
    <n v="0"/>
    <n v="0"/>
    <n v="0"/>
    <n v="0"/>
    <n v="0"/>
    <n v="0"/>
    <n v="0"/>
    <n v="1"/>
    <n v="157"/>
    <n v="1"/>
    <n v="1"/>
    <n v="3.8216560509554139E-2"/>
    <n v="6"/>
    <n v="0"/>
    <n v="26"/>
    <n v="25"/>
    <n v="0.96178343949044587"/>
    <n v="38"/>
    <n v="0"/>
    <n v="38"/>
    <n v="0.24203821656050956"/>
    <n v="0.7579617834394905"/>
    <n v="0.24203821656050956"/>
    <n v="0"/>
    <n v="0"/>
    <n v="0"/>
    <x v="0"/>
    <s v="Village"/>
    <x v="0"/>
    <n v="0"/>
    <n v="0"/>
    <n v="0"/>
    <n v="0"/>
    <x v="0"/>
    <m/>
  </r>
  <r>
    <x v="0"/>
    <x v="1"/>
    <x v="1"/>
    <s v="OFDA"/>
    <x v="1"/>
    <x v="8"/>
    <x v="0"/>
    <x v="55"/>
    <n v="204"/>
    <n v="1055"/>
    <d v="2019-04-01T00:00:00"/>
    <d v="2020-06-30T00:00:00"/>
    <n v="241"/>
    <m/>
    <m/>
    <m/>
    <n v="3"/>
    <m/>
    <n v="1055"/>
    <m/>
    <m/>
    <m/>
    <x v="1"/>
    <n v="2"/>
    <m/>
    <m/>
    <m/>
    <m/>
    <m/>
    <n v="60"/>
    <n v="87"/>
    <n v="56"/>
    <n v="54"/>
    <n v="36"/>
    <n v="53"/>
    <m/>
    <n v="1"/>
    <n v="204"/>
    <m/>
    <m/>
    <m/>
    <m/>
    <m/>
    <m/>
    <m/>
    <n v="0"/>
    <n v="0"/>
    <n v="1"/>
    <n v="1055"/>
    <n v="1"/>
    <n v="1055"/>
    <n v="4.22"/>
    <n v="0"/>
    <n v="0"/>
    <n v="0"/>
    <n v="4"/>
    <n v="0"/>
    <n v="0"/>
    <n v="100"/>
    <n v="176"/>
    <n v="176"/>
    <n v="1"/>
    <n v="346"/>
    <n v="0"/>
    <n v="1055"/>
    <n v="1"/>
    <n v="0"/>
    <n v="0.32796208530805687"/>
    <n v="1055"/>
    <n v="0"/>
    <n v="1055"/>
    <x v="1"/>
    <s v="Village"/>
    <x v="0"/>
    <s v="Rakhine"/>
    <n v="20.0839"/>
    <n v="92.993799999999993"/>
    <n v="197557"/>
    <x v="0"/>
    <m/>
  </r>
  <r>
    <x v="0"/>
    <x v="1"/>
    <x v="1"/>
    <s v="OFDA"/>
    <x v="1"/>
    <x v="8"/>
    <x v="0"/>
    <x v="56"/>
    <n v="948"/>
    <n v="3946"/>
    <d v="2019-04-01T00:00:00"/>
    <d v="2020-06-30T00:00:00"/>
    <n v="342"/>
    <m/>
    <m/>
    <m/>
    <n v="3"/>
    <m/>
    <n v="3946"/>
    <n v="2"/>
    <m/>
    <m/>
    <x v="1"/>
    <n v="2"/>
    <m/>
    <m/>
    <m/>
    <m/>
    <m/>
    <n v="437"/>
    <n v="496"/>
    <n v="160"/>
    <n v="154"/>
    <n v="74"/>
    <n v="122"/>
    <m/>
    <n v="1"/>
    <n v="948"/>
    <m/>
    <m/>
    <m/>
    <m/>
    <m/>
    <m/>
    <m/>
    <n v="0.12671059300557527"/>
    <n v="500"/>
    <n v="1"/>
    <n v="3946"/>
    <n v="1"/>
    <n v="3946"/>
    <n v="15.784000000000001"/>
    <n v="0"/>
    <n v="0"/>
    <n v="0.2159999999999993"/>
    <n v="16"/>
    <n v="0"/>
    <n v="0"/>
    <n v="100"/>
    <n v="658"/>
    <n v="658"/>
    <n v="1"/>
    <n v="1443"/>
    <n v="0"/>
    <n v="3946"/>
    <n v="1"/>
    <n v="0"/>
    <n v="0.36568677141409023"/>
    <n v="3946"/>
    <n v="0"/>
    <n v="3946"/>
    <x v="1"/>
    <s v="Village"/>
    <x v="0"/>
    <s v="Muslim"/>
    <n v="20.0641"/>
    <n v="92.994600000000005"/>
    <n v="197548"/>
    <x v="0"/>
    <m/>
  </r>
  <r>
    <x v="0"/>
    <x v="1"/>
    <x v="1"/>
    <s v="OFDA"/>
    <x v="1"/>
    <x v="8"/>
    <x v="0"/>
    <x v="57"/>
    <n v="477"/>
    <n v="2034"/>
    <d v="2019-04-01T00:00:00"/>
    <d v="2020-06-30T00:00:00"/>
    <n v="462"/>
    <m/>
    <m/>
    <m/>
    <n v="1"/>
    <m/>
    <n v="2034"/>
    <n v="2"/>
    <m/>
    <m/>
    <x v="1"/>
    <n v="8"/>
    <m/>
    <m/>
    <m/>
    <m/>
    <m/>
    <n v="27"/>
    <n v="393"/>
    <n v="48"/>
    <n v="58"/>
    <n v="0"/>
    <n v="0"/>
    <m/>
    <m/>
    <n v="477"/>
    <m/>
    <m/>
    <m/>
    <m/>
    <m/>
    <m/>
    <m/>
    <n v="0.24582104228121926"/>
    <n v="500"/>
    <n v="1"/>
    <n v="2034"/>
    <n v="1"/>
    <n v="2034"/>
    <n v="8.1359999999999992"/>
    <n v="0"/>
    <n v="0"/>
    <n v="0"/>
    <n v="8"/>
    <n v="0"/>
    <n v="0"/>
    <n v="400"/>
    <n v="339"/>
    <n v="339"/>
    <n v="1"/>
    <n v="526"/>
    <n v="0"/>
    <n v="2034"/>
    <n v="1"/>
    <n v="0"/>
    <n v="0.25860373647984269"/>
    <n v="2034"/>
    <n v="0"/>
    <n v="2034"/>
    <x v="1"/>
    <s v="Village"/>
    <x v="0"/>
    <s v="Rakhine"/>
    <n v="20.057860999999999"/>
    <n v="92.995181000000002"/>
    <n v="197550"/>
    <x v="0"/>
    <m/>
  </r>
  <r>
    <x v="0"/>
    <x v="1"/>
    <x v="1"/>
    <s v="BMZ"/>
    <x v="1"/>
    <x v="8"/>
    <x v="0"/>
    <x v="58"/>
    <n v="79"/>
    <n v="341"/>
    <d v="2018-09-16T00:00:00"/>
    <d v="2020-12-31T00:00:00"/>
    <n v="40"/>
    <m/>
    <m/>
    <m/>
    <n v="1"/>
    <m/>
    <n v="341"/>
    <n v="1"/>
    <m/>
    <n v="5"/>
    <x v="2"/>
    <n v="3"/>
    <n v="14"/>
    <m/>
    <m/>
    <m/>
    <m/>
    <m/>
    <m/>
    <m/>
    <m/>
    <m/>
    <m/>
    <m/>
    <m/>
    <m/>
    <m/>
    <m/>
    <m/>
    <m/>
    <m/>
    <m/>
    <m/>
    <n v="0.73313782991202348"/>
    <n v="250"/>
    <n v="1"/>
    <n v="341"/>
    <n v="1"/>
    <n v="341"/>
    <n v="1.3640000000000001"/>
    <n v="0"/>
    <n v="0"/>
    <n v="0"/>
    <n v="1"/>
    <n v="8.797653958944282E-2"/>
    <n v="30"/>
    <n v="150"/>
    <n v="57"/>
    <n v="52"/>
    <n v="0.91202346041055715"/>
    <n v="0"/>
    <n v="0"/>
    <n v="0"/>
    <n v="0"/>
    <n v="1"/>
    <n v="0"/>
    <n v="0"/>
    <n v="0"/>
    <n v="0"/>
    <x v="1"/>
    <s v="Village"/>
    <x v="0"/>
    <n v="0"/>
    <n v="92.969009399414105"/>
    <n v="20.014240264892599"/>
    <n v="197542"/>
    <x v="0"/>
    <m/>
  </r>
  <r>
    <x v="0"/>
    <x v="1"/>
    <x v="1"/>
    <s v="BMZ"/>
    <x v="1"/>
    <x v="8"/>
    <x v="0"/>
    <x v="59"/>
    <n v="84"/>
    <n v="359"/>
    <d v="2018-09-16T00:00:00"/>
    <d v="2020-12-31T00:00:00"/>
    <n v="78"/>
    <m/>
    <m/>
    <m/>
    <n v="0"/>
    <m/>
    <n v="359"/>
    <n v="0"/>
    <m/>
    <n v="2"/>
    <x v="2"/>
    <n v="1"/>
    <n v="8"/>
    <m/>
    <m/>
    <m/>
    <m/>
    <m/>
    <m/>
    <m/>
    <m/>
    <m/>
    <m/>
    <m/>
    <m/>
    <m/>
    <m/>
    <m/>
    <m/>
    <m/>
    <m/>
    <m/>
    <m/>
    <n v="0"/>
    <n v="0"/>
    <n v="1"/>
    <n v="359"/>
    <n v="1"/>
    <n v="359"/>
    <n v="1.4359999999999999"/>
    <n v="0"/>
    <n v="0"/>
    <n v="0"/>
    <n v="1"/>
    <n v="3.3426183844011144E-2"/>
    <n v="12"/>
    <n v="50"/>
    <n v="60"/>
    <n v="58"/>
    <n v="0.96657381615598881"/>
    <n v="0"/>
    <n v="0"/>
    <n v="0"/>
    <n v="0"/>
    <n v="1"/>
    <n v="0"/>
    <n v="0"/>
    <n v="0"/>
    <n v="0"/>
    <x v="1"/>
    <s v="Village"/>
    <x v="0"/>
    <n v="0"/>
    <n v="92.967132568359403"/>
    <n v="19.9705104827881"/>
    <n v="197568"/>
    <x v="0"/>
    <m/>
  </r>
  <r>
    <x v="0"/>
    <x v="1"/>
    <x v="1"/>
    <s v="BMZ"/>
    <x v="1"/>
    <x v="8"/>
    <x v="0"/>
    <x v="60"/>
    <n v="21"/>
    <n v="83"/>
    <d v="2018-09-16T00:00:00"/>
    <d v="2020-12-31T00:00:00"/>
    <n v="9"/>
    <m/>
    <m/>
    <m/>
    <n v="1"/>
    <m/>
    <n v="83"/>
    <n v="0"/>
    <m/>
    <n v="0"/>
    <x v="2"/>
    <n v="0"/>
    <n v="0"/>
    <m/>
    <m/>
    <m/>
    <m/>
    <m/>
    <m/>
    <m/>
    <m/>
    <m/>
    <m/>
    <m/>
    <m/>
    <m/>
    <m/>
    <m/>
    <m/>
    <m/>
    <m/>
    <m/>
    <m/>
    <n v="0"/>
    <n v="0"/>
    <n v="1"/>
    <n v="83"/>
    <n v="1"/>
    <n v="83"/>
    <n v="0.33200000000000002"/>
    <n v="0"/>
    <n v="0"/>
    <n v="0.66799999999999993"/>
    <n v="1"/>
    <n v="0"/>
    <n v="0"/>
    <n v="0"/>
    <n v="14"/>
    <n v="14"/>
    <n v="1"/>
    <n v="0"/>
    <n v="0"/>
    <n v="0"/>
    <n v="0"/>
    <n v="1"/>
    <n v="0"/>
    <n v="0"/>
    <n v="0"/>
    <n v="0"/>
    <x v="1"/>
    <s v="Village"/>
    <x v="0"/>
    <n v="0"/>
    <n v="92.943733215332003"/>
    <n v="20.0130805969238"/>
    <n v="217987"/>
    <x v="0"/>
    <m/>
  </r>
  <r>
    <x v="0"/>
    <x v="1"/>
    <x v="1"/>
    <s v="BMZ"/>
    <x v="1"/>
    <x v="8"/>
    <x v="0"/>
    <x v="61"/>
    <n v="160"/>
    <n v="728"/>
    <d v="2018-09-16T00:00:00"/>
    <d v="2020-12-31T00:00:00"/>
    <n v="177"/>
    <m/>
    <m/>
    <m/>
    <n v="0"/>
    <m/>
    <n v="728"/>
    <n v="0"/>
    <m/>
    <n v="10"/>
    <x v="2"/>
    <n v="2"/>
    <n v="11"/>
    <m/>
    <m/>
    <m/>
    <m/>
    <m/>
    <m/>
    <m/>
    <m/>
    <m/>
    <m/>
    <m/>
    <m/>
    <m/>
    <m/>
    <m/>
    <m/>
    <m/>
    <m/>
    <m/>
    <m/>
    <n v="0"/>
    <n v="0"/>
    <n v="1"/>
    <n v="728"/>
    <n v="1"/>
    <n v="728"/>
    <n v="2.9119999999999999"/>
    <n v="0"/>
    <n v="0"/>
    <n v="8.8000000000000078E-2"/>
    <n v="3"/>
    <n v="8.2417582417582416E-2"/>
    <n v="60"/>
    <n v="100"/>
    <n v="121"/>
    <n v="111"/>
    <n v="0.91758241758241754"/>
    <n v="0"/>
    <n v="0"/>
    <n v="0"/>
    <n v="0"/>
    <n v="1"/>
    <n v="0"/>
    <n v="0"/>
    <n v="0"/>
    <n v="0"/>
    <x v="1"/>
    <s v="Village"/>
    <x v="0"/>
    <n v="0"/>
    <n v="19.94882965"/>
    <n v="92.978782649999999"/>
    <n v="197566"/>
    <x v="0"/>
    <m/>
  </r>
  <r>
    <x v="0"/>
    <x v="2"/>
    <x v="2"/>
    <s v="UNICEF"/>
    <x v="1"/>
    <x v="9"/>
    <x v="0"/>
    <x v="62"/>
    <n v="65"/>
    <n v="323"/>
    <d v="2019-03-16T00:00:00"/>
    <d v="2020-03-16T00:00:00"/>
    <n v="48"/>
    <m/>
    <n v="0"/>
    <n v="4"/>
    <n v="1"/>
    <m/>
    <n v="0"/>
    <n v="0"/>
    <m/>
    <n v="65"/>
    <x v="2"/>
    <n v="0"/>
    <n v="0"/>
    <n v="0"/>
    <n v="0"/>
    <n v="0"/>
    <m/>
    <n v="0"/>
    <n v="0"/>
    <n v="0"/>
    <n v="0"/>
    <n v="0"/>
    <n v="0"/>
    <n v="65"/>
    <n v="0"/>
    <m/>
    <m/>
    <m/>
    <m/>
    <m/>
    <m/>
    <m/>
    <m/>
    <n v="1"/>
    <n v="323"/>
    <n v="1"/>
    <n v="323"/>
    <n v="1"/>
    <n v="323"/>
    <n v="1.292"/>
    <n v="0"/>
    <n v="0"/>
    <n v="0"/>
    <n v="1"/>
    <n v="1"/>
    <n v="323"/>
    <n v="0"/>
    <n v="54"/>
    <n v="0"/>
    <n v="0"/>
    <n v="0"/>
    <n v="323"/>
    <n v="0"/>
    <n v="0"/>
    <n v="1"/>
    <n v="0"/>
    <n v="0"/>
    <n v="0"/>
    <n v="0"/>
    <x v="1"/>
    <s v="Village"/>
    <x v="0"/>
    <s v="Rakhine"/>
    <n v="19.417640689999999"/>
    <n v="93.565246579999993"/>
    <n v="198464"/>
    <x v="0"/>
    <m/>
  </r>
  <r>
    <x v="0"/>
    <x v="2"/>
    <x v="2"/>
    <s v="UNICEF"/>
    <x v="1"/>
    <x v="9"/>
    <x v="0"/>
    <x v="63"/>
    <n v="275"/>
    <n v="1018"/>
    <d v="2019-03-16T00:00:00"/>
    <d v="2020-03-16T00:00:00"/>
    <n v="227"/>
    <m/>
    <m/>
    <m/>
    <m/>
    <m/>
    <m/>
    <m/>
    <m/>
    <m/>
    <x v="1"/>
    <n v="5"/>
    <m/>
    <m/>
    <m/>
    <m/>
    <m/>
    <n v="0"/>
    <n v="0"/>
    <n v="0"/>
    <n v="0"/>
    <n v="0"/>
    <n v="0"/>
    <n v="0"/>
    <n v="0"/>
    <m/>
    <m/>
    <m/>
    <m/>
    <m/>
    <m/>
    <m/>
    <m/>
    <n v="0"/>
    <n v="0"/>
    <n v="0"/>
    <n v="0"/>
    <n v="0"/>
    <n v="0"/>
    <n v="0"/>
    <n v="1"/>
    <n v="1018"/>
    <n v="4"/>
    <n v="4"/>
    <n v="0"/>
    <n v="0"/>
    <n v="250"/>
    <n v="170"/>
    <n v="170"/>
    <n v="1"/>
    <n v="0"/>
    <n v="0"/>
    <n v="0"/>
    <n v="0"/>
    <n v="1"/>
    <n v="0"/>
    <n v="0"/>
    <n v="0"/>
    <n v="0"/>
    <x v="1"/>
    <s v="Village"/>
    <x v="0"/>
    <s v="Rakhine"/>
    <n v="19.4781608581543"/>
    <n v="93.622062683105497"/>
    <n v="198475"/>
    <x v="0"/>
    <m/>
  </r>
  <r>
    <x v="0"/>
    <x v="2"/>
    <x v="2"/>
    <s v="UNICEF"/>
    <x v="1"/>
    <x v="9"/>
    <x v="0"/>
    <x v="64"/>
    <n v="76"/>
    <n v="276"/>
    <d v="2019-03-16T00:00:00"/>
    <d v="2020-03-16T00:00:00"/>
    <n v="69"/>
    <m/>
    <m/>
    <m/>
    <m/>
    <m/>
    <m/>
    <m/>
    <m/>
    <m/>
    <x v="1"/>
    <n v="2"/>
    <m/>
    <m/>
    <m/>
    <m/>
    <m/>
    <n v="0"/>
    <n v="0"/>
    <n v="0"/>
    <n v="0"/>
    <n v="0"/>
    <n v="0"/>
    <n v="0"/>
    <n v="0"/>
    <m/>
    <m/>
    <m/>
    <m/>
    <m/>
    <m/>
    <m/>
    <m/>
    <n v="0"/>
    <n v="0"/>
    <n v="0"/>
    <n v="0"/>
    <n v="0"/>
    <n v="0"/>
    <n v="0"/>
    <n v="1"/>
    <n v="276"/>
    <n v="1"/>
    <n v="1"/>
    <n v="0"/>
    <n v="0"/>
    <n v="100"/>
    <n v="46"/>
    <n v="46"/>
    <n v="1"/>
    <n v="0"/>
    <n v="0"/>
    <n v="0"/>
    <n v="0"/>
    <n v="1"/>
    <n v="0"/>
    <n v="0"/>
    <n v="0"/>
    <n v="0"/>
    <x v="1"/>
    <s v="Village"/>
    <x v="0"/>
    <s v="Rakhine"/>
    <n v="19.483570098876999"/>
    <n v="93.639602661132798"/>
    <n v="198476"/>
    <x v="0"/>
    <m/>
  </r>
  <r>
    <x v="0"/>
    <x v="2"/>
    <x v="2"/>
    <s v="UNICEF"/>
    <x v="1"/>
    <x v="9"/>
    <x v="0"/>
    <x v="65"/>
    <n v="251"/>
    <n v="970"/>
    <d v="2019-03-16T00:00:00"/>
    <d v="2020-03-16T00:00:00"/>
    <n v="297"/>
    <m/>
    <m/>
    <m/>
    <m/>
    <m/>
    <m/>
    <m/>
    <m/>
    <m/>
    <x v="1"/>
    <n v="4"/>
    <m/>
    <m/>
    <m/>
    <m/>
    <m/>
    <n v="0"/>
    <n v="0"/>
    <n v="0"/>
    <n v="0"/>
    <n v="0"/>
    <n v="0"/>
    <n v="0"/>
    <n v="0"/>
    <m/>
    <m/>
    <m/>
    <m/>
    <m/>
    <m/>
    <m/>
    <m/>
    <n v="0"/>
    <n v="0"/>
    <n v="0"/>
    <n v="0"/>
    <n v="0"/>
    <n v="0"/>
    <n v="0"/>
    <n v="1"/>
    <n v="970"/>
    <n v="4"/>
    <n v="4"/>
    <n v="0"/>
    <n v="0"/>
    <n v="200"/>
    <n v="162"/>
    <n v="162"/>
    <n v="1"/>
    <n v="0"/>
    <n v="0"/>
    <n v="0"/>
    <n v="0"/>
    <n v="1"/>
    <n v="0"/>
    <n v="0"/>
    <n v="0"/>
    <n v="0"/>
    <x v="1"/>
    <s v="Village"/>
    <x v="0"/>
    <s v="Rakhine"/>
    <n v="19.378620147705099"/>
    <n v="93.483879089355497"/>
    <n v="198508"/>
    <x v="0"/>
    <m/>
  </r>
  <r>
    <x v="0"/>
    <x v="2"/>
    <x v="2"/>
    <s v="UNICEF"/>
    <x v="1"/>
    <x v="9"/>
    <x v="0"/>
    <x v="66"/>
    <n v="152"/>
    <n v="864"/>
    <d v="2019-03-16T00:00:00"/>
    <d v="2020-03-16T00:00:00"/>
    <n v="188"/>
    <m/>
    <m/>
    <m/>
    <m/>
    <m/>
    <m/>
    <m/>
    <m/>
    <m/>
    <x v="1"/>
    <n v="3"/>
    <m/>
    <m/>
    <m/>
    <m/>
    <m/>
    <n v="0"/>
    <n v="0"/>
    <n v="0"/>
    <n v="0"/>
    <n v="0"/>
    <n v="0"/>
    <n v="0"/>
    <n v="0"/>
    <m/>
    <m/>
    <m/>
    <m/>
    <m/>
    <m/>
    <m/>
    <m/>
    <n v="0"/>
    <n v="0"/>
    <n v="0"/>
    <n v="0"/>
    <n v="0"/>
    <n v="0"/>
    <n v="0"/>
    <n v="1"/>
    <n v="864"/>
    <n v="3"/>
    <n v="3"/>
    <n v="0"/>
    <n v="0"/>
    <n v="150"/>
    <n v="144"/>
    <n v="144"/>
    <n v="1"/>
    <n v="0"/>
    <n v="0"/>
    <n v="0"/>
    <n v="0"/>
    <n v="1"/>
    <n v="0"/>
    <n v="0"/>
    <n v="0"/>
    <n v="0"/>
    <x v="1"/>
    <s v="Village"/>
    <x v="0"/>
    <s v="Rakhine"/>
    <n v="19.243989944458001"/>
    <n v="93.714859008789105"/>
    <n v="198667"/>
    <x v="0"/>
    <m/>
  </r>
  <r>
    <x v="0"/>
    <x v="3"/>
    <x v="3"/>
    <s v="BMZ"/>
    <x v="1"/>
    <x v="10"/>
    <x v="0"/>
    <x v="67"/>
    <n v="192"/>
    <n v="1083"/>
    <d v="2017-01-01T00:00:00"/>
    <d v="2021-12-21T00:00:00"/>
    <m/>
    <m/>
    <n v="2"/>
    <n v="52"/>
    <n v="3"/>
    <n v="53"/>
    <m/>
    <m/>
    <m/>
    <n v="112"/>
    <x v="3"/>
    <m/>
    <m/>
    <m/>
    <m/>
    <m/>
    <m/>
    <n v="90"/>
    <n v="671"/>
    <n v="43"/>
    <n v="76"/>
    <m/>
    <m/>
    <m/>
    <m/>
    <m/>
    <m/>
    <m/>
    <m/>
    <m/>
    <m/>
    <m/>
    <m/>
    <n v="1"/>
    <n v="1083"/>
    <n v="1"/>
    <n v="1083"/>
    <n v="1"/>
    <n v="1083"/>
    <n v="4.3319999999999999"/>
    <n v="0"/>
    <n v="0"/>
    <n v="0"/>
    <n v="4"/>
    <n v="0.62049861495844871"/>
    <n v="672"/>
    <n v="0"/>
    <n v="181"/>
    <n v="69"/>
    <n v="0.37950138504155129"/>
    <n v="880"/>
    <n v="0"/>
    <n v="880"/>
    <n v="0.81255771006463529"/>
    <n v="0.18744228993536471"/>
    <n v="0.81255771006463529"/>
    <n v="0"/>
    <n v="0"/>
    <n v="0"/>
    <x v="0"/>
    <s v="Village"/>
    <x v="0"/>
    <n v="0"/>
    <n v="20.2034397125244"/>
    <n v="92.909606933593807"/>
    <n v="196132"/>
    <x v="0"/>
    <m/>
  </r>
  <r>
    <x v="0"/>
    <x v="3"/>
    <x v="3"/>
    <s v="BMZ"/>
    <x v="1"/>
    <x v="10"/>
    <x v="0"/>
    <x v="68"/>
    <n v="65"/>
    <n v="373"/>
    <d v="2017-01-01T00:00:00"/>
    <d v="2021-12-21T00:00:00"/>
    <m/>
    <m/>
    <n v="4"/>
    <n v="31"/>
    <n v="1"/>
    <m/>
    <m/>
    <m/>
    <m/>
    <n v="44"/>
    <x v="3"/>
    <m/>
    <m/>
    <m/>
    <m/>
    <m/>
    <m/>
    <n v="72"/>
    <n v="194"/>
    <n v="19"/>
    <n v="26"/>
    <m/>
    <m/>
    <m/>
    <m/>
    <m/>
    <m/>
    <m/>
    <m/>
    <m/>
    <m/>
    <m/>
    <m/>
    <n v="1"/>
    <n v="373"/>
    <n v="1"/>
    <n v="373"/>
    <n v="1"/>
    <n v="373"/>
    <n v="1.492"/>
    <n v="0"/>
    <n v="0"/>
    <n v="0"/>
    <n v="1"/>
    <n v="0.70777479892761397"/>
    <n v="264"/>
    <n v="0"/>
    <n v="62"/>
    <n v="18"/>
    <n v="0.29222520107238603"/>
    <n v="311"/>
    <n v="0"/>
    <n v="311"/>
    <n v="0.83378016085790885"/>
    <n v="0.16621983914209115"/>
    <n v="0.83378016085790885"/>
    <n v="0"/>
    <n v="0"/>
    <n v="0"/>
    <x v="0"/>
    <s v="Village"/>
    <x v="0"/>
    <n v="0"/>
    <n v="20.191799163818398"/>
    <n v="92.9066162109375"/>
    <n v="196135"/>
    <x v="0"/>
    <m/>
  </r>
  <r>
    <x v="0"/>
    <x v="3"/>
    <x v="3"/>
    <s v="BMZ"/>
    <x v="1"/>
    <x v="10"/>
    <x v="0"/>
    <x v="69"/>
    <n v="86"/>
    <n v="481"/>
    <d v="2017-01-01T00:00:00"/>
    <d v="2021-12-21T00:00:00"/>
    <m/>
    <m/>
    <n v="8"/>
    <n v="34"/>
    <n v="2"/>
    <m/>
    <m/>
    <m/>
    <m/>
    <n v="67"/>
    <x v="3"/>
    <m/>
    <m/>
    <m/>
    <m/>
    <m/>
    <m/>
    <n v="96"/>
    <n v="192"/>
    <n v="29"/>
    <n v="34"/>
    <m/>
    <m/>
    <m/>
    <m/>
    <m/>
    <m/>
    <m/>
    <m/>
    <m/>
    <m/>
    <m/>
    <m/>
    <n v="1"/>
    <n v="481"/>
    <n v="1"/>
    <n v="481"/>
    <n v="1"/>
    <n v="481"/>
    <n v="1.9239999999999999"/>
    <n v="0"/>
    <n v="0"/>
    <n v="7.6000000000000068E-2"/>
    <n v="2"/>
    <n v="0.83575883575883581"/>
    <n v="402"/>
    <n v="0"/>
    <n v="80"/>
    <n v="13"/>
    <n v="0.16424116424116419"/>
    <n v="351"/>
    <n v="0"/>
    <n v="351"/>
    <n v="0.72972972972972971"/>
    <n v="0.27027027027027029"/>
    <n v="0.72972972972972971"/>
    <n v="0"/>
    <n v="0"/>
    <n v="0"/>
    <x v="0"/>
    <s v="Village"/>
    <x v="0"/>
    <n v="0"/>
    <n v="20.187860488891602"/>
    <n v="92.903419494628906"/>
    <n v="196134"/>
    <x v="0"/>
    <m/>
  </r>
  <r>
    <x v="0"/>
    <x v="3"/>
    <x v="3"/>
    <s v="BMZ"/>
    <x v="1"/>
    <x v="10"/>
    <x v="0"/>
    <x v="70"/>
    <n v="88"/>
    <n v="454"/>
    <d v="2017-01-01T00:00:00"/>
    <d v="2021-12-21T00:00:00"/>
    <m/>
    <m/>
    <n v="6"/>
    <n v="41"/>
    <n v="1"/>
    <m/>
    <m/>
    <m/>
    <m/>
    <n v="76"/>
    <x v="3"/>
    <m/>
    <m/>
    <m/>
    <m/>
    <m/>
    <m/>
    <n v="58"/>
    <n v="292"/>
    <n v="27"/>
    <n v="22"/>
    <m/>
    <m/>
    <m/>
    <m/>
    <m/>
    <m/>
    <m/>
    <m/>
    <m/>
    <m/>
    <m/>
    <m/>
    <n v="1"/>
    <n v="454"/>
    <n v="1"/>
    <n v="454"/>
    <n v="1"/>
    <n v="454"/>
    <n v="1.8160000000000001"/>
    <n v="0"/>
    <n v="0"/>
    <n v="0.18399999999999994"/>
    <n v="2"/>
    <n v="1"/>
    <n v="454"/>
    <n v="0"/>
    <n v="76"/>
    <n v="0"/>
    <n v="0"/>
    <n v="399"/>
    <n v="0"/>
    <n v="399"/>
    <n v="0.87885462555066074"/>
    <n v="0.12114537444933926"/>
    <n v="0.87885462555066074"/>
    <n v="0"/>
    <n v="0"/>
    <n v="0"/>
    <x v="0"/>
    <s v="Village"/>
    <x v="0"/>
    <n v="0"/>
    <n v="20.1899604797363"/>
    <n v="92.895767211914105"/>
    <n v="196136"/>
    <x v="0"/>
    <m/>
  </r>
  <r>
    <x v="0"/>
    <x v="3"/>
    <x v="3"/>
    <s v="EU"/>
    <x v="1"/>
    <x v="10"/>
    <x v="0"/>
    <x v="71"/>
    <n v="218"/>
    <n v="978"/>
    <d v="2017-01-01T00:00:00"/>
    <d v="2021-12-21T00:00:00"/>
    <m/>
    <m/>
    <n v="9"/>
    <n v="76"/>
    <n v="3"/>
    <m/>
    <m/>
    <m/>
    <m/>
    <n v="118"/>
    <x v="3"/>
    <m/>
    <m/>
    <m/>
    <m/>
    <m/>
    <m/>
    <n v="122"/>
    <n v="518"/>
    <n v="51"/>
    <n v="78"/>
    <m/>
    <m/>
    <m/>
    <m/>
    <m/>
    <m/>
    <m/>
    <m/>
    <m/>
    <m/>
    <m/>
    <m/>
    <n v="1"/>
    <n v="978"/>
    <n v="1"/>
    <n v="978"/>
    <n v="1"/>
    <n v="978"/>
    <n v="3.9119999999999999"/>
    <n v="0"/>
    <n v="0"/>
    <n v="8.8000000000000078E-2"/>
    <n v="4"/>
    <n v="0.7239263803680982"/>
    <n v="708"/>
    <n v="0"/>
    <n v="163"/>
    <n v="45"/>
    <n v="0.2760736196319018"/>
    <n v="769"/>
    <n v="0"/>
    <n v="769"/>
    <n v="0.78629856850715751"/>
    <n v="0.21370143149284249"/>
    <n v="0.78629856850715751"/>
    <n v="0"/>
    <n v="0"/>
    <n v="0"/>
    <x v="0"/>
    <s v="Village"/>
    <x v="0"/>
    <n v="0"/>
    <n v="20.2630290985107"/>
    <n v="92.858856201171903"/>
    <n v="196166"/>
    <x v="0"/>
    <m/>
  </r>
  <r>
    <x v="0"/>
    <x v="3"/>
    <x v="3"/>
    <s v="EU"/>
    <x v="1"/>
    <x v="10"/>
    <x v="0"/>
    <x v="72"/>
    <n v="147"/>
    <n v="741"/>
    <d v="2017-01-01T00:00:00"/>
    <d v="2021-12-21T00:00:00"/>
    <m/>
    <m/>
    <n v="4"/>
    <n v="42"/>
    <n v="2"/>
    <m/>
    <m/>
    <m/>
    <m/>
    <n v="123"/>
    <x v="3"/>
    <m/>
    <m/>
    <m/>
    <m/>
    <m/>
    <m/>
    <n v="79"/>
    <n v="413"/>
    <n v="63"/>
    <n v="44"/>
    <m/>
    <m/>
    <m/>
    <m/>
    <m/>
    <m/>
    <m/>
    <m/>
    <m/>
    <m/>
    <m/>
    <m/>
    <n v="1"/>
    <n v="741"/>
    <n v="1"/>
    <n v="741"/>
    <n v="1"/>
    <n v="741"/>
    <n v="2.964"/>
    <n v="0"/>
    <n v="0"/>
    <n v="3.6000000000000032E-2"/>
    <n v="3"/>
    <n v="0.99595141700404854"/>
    <n v="738"/>
    <n v="0"/>
    <n v="124"/>
    <n v="1"/>
    <n v="4.0485829959514552E-3"/>
    <n v="599"/>
    <n v="0"/>
    <n v="599"/>
    <n v="0.80836707152496623"/>
    <n v="0.19163292847503377"/>
    <n v="0.80836707152496623"/>
    <n v="0"/>
    <n v="0"/>
    <n v="0"/>
    <x v="0"/>
    <s v="Village"/>
    <x v="0"/>
    <n v="0"/>
    <n v="20.248519897460898"/>
    <n v="92.8621826171875"/>
    <n v="196170"/>
    <x v="0"/>
    <m/>
  </r>
  <r>
    <x v="0"/>
    <x v="3"/>
    <x v="3"/>
    <s v="EU"/>
    <x v="1"/>
    <x v="10"/>
    <x v="0"/>
    <x v="73"/>
    <n v="235"/>
    <n v="1117"/>
    <d v="2017-01-01T00:00:00"/>
    <d v="2021-12-21T00:00:00"/>
    <m/>
    <m/>
    <n v="2"/>
    <n v="132"/>
    <n v="3"/>
    <m/>
    <m/>
    <m/>
    <m/>
    <n v="216"/>
    <x v="3"/>
    <m/>
    <m/>
    <m/>
    <m/>
    <m/>
    <m/>
    <n v="136"/>
    <n v="609"/>
    <n v="57"/>
    <n v="59"/>
    <m/>
    <m/>
    <m/>
    <m/>
    <m/>
    <m/>
    <m/>
    <m/>
    <m/>
    <m/>
    <m/>
    <m/>
    <n v="1"/>
    <n v="1117"/>
    <n v="1"/>
    <n v="1117"/>
    <n v="1"/>
    <n v="1117"/>
    <n v="4.468"/>
    <n v="0"/>
    <n v="0"/>
    <n v="0"/>
    <n v="4"/>
    <n v="1"/>
    <n v="1117"/>
    <n v="0"/>
    <n v="186"/>
    <n v="0"/>
    <n v="0"/>
    <n v="861"/>
    <n v="0"/>
    <n v="861"/>
    <n v="0.77081468218442251"/>
    <n v="0.22918531781557749"/>
    <n v="0.77081468218442251"/>
    <n v="0"/>
    <n v="0"/>
    <n v="0"/>
    <x v="0"/>
    <s v="Village"/>
    <x v="0"/>
    <n v="0"/>
    <n v="20.2375602722168"/>
    <n v="92.861152648925795"/>
    <n v="196169"/>
    <x v="0"/>
    <m/>
  </r>
  <r>
    <x v="0"/>
    <x v="3"/>
    <x v="3"/>
    <s v="EU"/>
    <x v="1"/>
    <x v="10"/>
    <x v="0"/>
    <x v="74"/>
    <n v="156"/>
    <n v="658"/>
    <d v="2017-01-01T00:00:00"/>
    <d v="2021-12-21T00:00:00"/>
    <m/>
    <m/>
    <m/>
    <n v="88"/>
    <n v="2"/>
    <m/>
    <m/>
    <m/>
    <m/>
    <n v="98"/>
    <x v="3"/>
    <m/>
    <m/>
    <m/>
    <m/>
    <m/>
    <m/>
    <n v="117"/>
    <n v="235"/>
    <n v="26"/>
    <n v="75"/>
    <m/>
    <m/>
    <m/>
    <m/>
    <m/>
    <m/>
    <m/>
    <m/>
    <m/>
    <m/>
    <m/>
    <m/>
    <n v="1"/>
    <n v="658"/>
    <n v="1"/>
    <n v="658"/>
    <n v="1"/>
    <n v="658"/>
    <n v="2.6320000000000001"/>
    <n v="0"/>
    <n v="0"/>
    <n v="0.36799999999999988"/>
    <n v="3"/>
    <n v="0.8936170212765957"/>
    <n v="588"/>
    <n v="0"/>
    <n v="110"/>
    <n v="12"/>
    <n v="0.1063829787234043"/>
    <n v="453"/>
    <n v="0"/>
    <n v="453"/>
    <n v="0.68844984802431608"/>
    <n v="0.31155015197568392"/>
    <n v="0.68844984802431608"/>
    <n v="0"/>
    <n v="0"/>
    <n v="0"/>
    <x v="0"/>
    <s v="Village"/>
    <x v="0"/>
    <s v="Rakhine"/>
    <n v="20.22929001"/>
    <n v="92.864669800000001"/>
    <n v="196167"/>
    <x v="0"/>
    <m/>
  </r>
  <r>
    <x v="0"/>
    <x v="3"/>
    <x v="3"/>
    <s v="EU"/>
    <x v="1"/>
    <x v="10"/>
    <x v="0"/>
    <x v="75"/>
    <n v="113"/>
    <n v="656"/>
    <d v="2017-01-01T00:00:00"/>
    <d v="2021-12-21T00:00:00"/>
    <m/>
    <m/>
    <n v="9"/>
    <n v="41"/>
    <n v="3"/>
    <m/>
    <m/>
    <m/>
    <m/>
    <n v="78"/>
    <x v="3"/>
    <m/>
    <m/>
    <m/>
    <m/>
    <m/>
    <m/>
    <n v="92"/>
    <n v="278"/>
    <n v="69"/>
    <n v="44"/>
    <m/>
    <m/>
    <m/>
    <m/>
    <m/>
    <m/>
    <m/>
    <m/>
    <m/>
    <m/>
    <m/>
    <m/>
    <n v="1"/>
    <n v="656"/>
    <n v="1"/>
    <n v="656"/>
    <n v="1"/>
    <n v="656"/>
    <n v="2.6240000000000001"/>
    <n v="0"/>
    <n v="0"/>
    <n v="0.37599999999999989"/>
    <n v="3"/>
    <n v="0.71341463414634143"/>
    <n v="468"/>
    <n v="0"/>
    <n v="109"/>
    <n v="31"/>
    <n v="0.28658536585365857"/>
    <n v="483"/>
    <n v="0"/>
    <n v="483"/>
    <n v="0.73628048780487809"/>
    <n v="0.26371951219512191"/>
    <n v="0.73628048780487809"/>
    <n v="0"/>
    <n v="0"/>
    <n v="0"/>
    <x v="0"/>
    <s v="Village"/>
    <x v="0"/>
    <s v="Rakhine"/>
    <n v="20.2315197"/>
    <n v="92.876129149999997"/>
    <n v="196180"/>
    <x v="0"/>
    <m/>
  </r>
  <r>
    <x v="0"/>
    <x v="3"/>
    <x v="3"/>
    <s v="EU"/>
    <x v="1"/>
    <x v="10"/>
    <x v="0"/>
    <x v="76"/>
    <n v="172"/>
    <n v="1435"/>
    <d v="2017-01-01T00:00:00"/>
    <d v="2021-12-21T00:00:00"/>
    <m/>
    <m/>
    <n v="8"/>
    <n v="97"/>
    <n v="3"/>
    <m/>
    <m/>
    <m/>
    <m/>
    <n v="132"/>
    <x v="3"/>
    <m/>
    <m/>
    <m/>
    <m/>
    <m/>
    <m/>
    <n v="218"/>
    <n v="514"/>
    <n v="16"/>
    <n v="37"/>
    <m/>
    <m/>
    <m/>
    <m/>
    <m/>
    <m/>
    <m/>
    <m/>
    <m/>
    <m/>
    <m/>
    <m/>
    <n v="1"/>
    <n v="1435"/>
    <n v="1"/>
    <n v="1435"/>
    <n v="1"/>
    <n v="1435"/>
    <n v="5.74"/>
    <n v="0"/>
    <n v="0"/>
    <n v="0.25999999999999979"/>
    <n v="6"/>
    <n v="0.55191637630662016"/>
    <n v="791.99999999999989"/>
    <n v="0"/>
    <n v="239"/>
    <n v="107"/>
    <n v="0.44808362369337984"/>
    <n v="785"/>
    <n v="0"/>
    <n v="785"/>
    <n v="0.54703832752613235"/>
    <n v="0.45296167247386765"/>
    <n v="0.54703832752613235"/>
    <n v="0"/>
    <n v="0"/>
    <n v="0"/>
    <x v="0"/>
    <s v="Village"/>
    <x v="0"/>
    <s v="Muslim"/>
    <n v="0"/>
    <n v="0"/>
    <n v="0"/>
    <x v="0"/>
    <m/>
  </r>
  <r>
    <x v="0"/>
    <x v="3"/>
    <x v="3"/>
    <s v="EU"/>
    <x v="1"/>
    <x v="10"/>
    <x v="0"/>
    <x v="77"/>
    <n v="241"/>
    <n v="1027"/>
    <d v="2017-01-01T00:00:00"/>
    <d v="2021-12-21T00:00:00"/>
    <m/>
    <m/>
    <n v="26"/>
    <n v="33"/>
    <n v="2"/>
    <m/>
    <m/>
    <m/>
    <m/>
    <n v="66"/>
    <x v="3"/>
    <m/>
    <m/>
    <m/>
    <m/>
    <m/>
    <m/>
    <n v="47"/>
    <n v="98"/>
    <n v="28"/>
    <n v="32"/>
    <m/>
    <m/>
    <m/>
    <m/>
    <m/>
    <m/>
    <m/>
    <m/>
    <m/>
    <m/>
    <m/>
    <m/>
    <n v="1"/>
    <n v="1027"/>
    <n v="1"/>
    <n v="1027"/>
    <n v="1"/>
    <n v="1027"/>
    <n v="4.1079999999999997"/>
    <n v="0"/>
    <n v="0"/>
    <n v="0"/>
    <n v="4"/>
    <n v="0.38558909444985395"/>
    <n v="396"/>
    <n v="0"/>
    <n v="171"/>
    <n v="105"/>
    <n v="0.6144109055501461"/>
    <n v="205"/>
    <n v="0"/>
    <n v="205"/>
    <n v="0.19961051606621227"/>
    <n v="0.80038948393378773"/>
    <n v="0.19961051606621227"/>
    <n v="0"/>
    <n v="0"/>
    <n v="0"/>
    <x v="0"/>
    <s v="Village"/>
    <x v="0"/>
    <n v="0"/>
    <n v="20.2105598449707"/>
    <n v="92.836456298828097"/>
    <n v="196125"/>
    <x v="0"/>
    <m/>
  </r>
  <r>
    <x v="0"/>
    <x v="3"/>
    <x v="3"/>
    <s v="EU"/>
    <x v="1"/>
    <x v="10"/>
    <x v="0"/>
    <x v="78"/>
    <n v="77"/>
    <n v="370"/>
    <d v="2017-01-01T00:00:00"/>
    <d v="2021-12-21T00:00:00"/>
    <m/>
    <m/>
    <n v="14"/>
    <n v="208"/>
    <n v="4"/>
    <m/>
    <m/>
    <m/>
    <m/>
    <n v="201"/>
    <x v="3"/>
    <m/>
    <m/>
    <m/>
    <m/>
    <m/>
    <m/>
    <n v="147"/>
    <n v="279"/>
    <n v="58"/>
    <n v="82"/>
    <m/>
    <m/>
    <m/>
    <m/>
    <m/>
    <m/>
    <m/>
    <m/>
    <m/>
    <m/>
    <m/>
    <m/>
    <n v="1"/>
    <n v="370"/>
    <n v="1"/>
    <n v="370"/>
    <n v="1"/>
    <n v="370"/>
    <n v="1.48"/>
    <n v="0"/>
    <n v="0"/>
    <n v="0"/>
    <n v="1"/>
    <n v="1"/>
    <n v="370"/>
    <n v="0"/>
    <n v="62"/>
    <n v="0"/>
    <n v="0"/>
    <n v="370"/>
    <n v="0"/>
    <n v="370"/>
    <n v="1"/>
    <n v="0"/>
    <n v="1"/>
    <n v="0"/>
    <n v="0"/>
    <n v="0"/>
    <x v="0"/>
    <s v="Village"/>
    <x v="0"/>
    <s v="Rakhine"/>
    <n v="20.236940383911101"/>
    <n v="92.833259582519503"/>
    <n v="196130"/>
    <x v="0"/>
    <m/>
  </r>
  <r>
    <x v="0"/>
    <x v="3"/>
    <x v="3"/>
    <s v="EU"/>
    <x v="1"/>
    <x v="10"/>
    <x v="0"/>
    <x v="79"/>
    <n v="509"/>
    <n v="1574"/>
    <d v="2017-01-01T00:00:00"/>
    <d v="2021-12-21T00:00:00"/>
    <m/>
    <m/>
    <n v="9"/>
    <n v="94"/>
    <n v="2"/>
    <m/>
    <m/>
    <m/>
    <m/>
    <n v="136"/>
    <x v="3"/>
    <m/>
    <m/>
    <m/>
    <m/>
    <m/>
    <m/>
    <n v="99"/>
    <n v="315"/>
    <n v="66"/>
    <n v="47"/>
    <m/>
    <m/>
    <m/>
    <m/>
    <m/>
    <m/>
    <m/>
    <m/>
    <m/>
    <m/>
    <m/>
    <m/>
    <n v="1"/>
    <n v="1574"/>
    <n v="1"/>
    <n v="1574"/>
    <n v="1"/>
    <n v="1574"/>
    <n v="6.2960000000000003"/>
    <n v="0"/>
    <n v="0"/>
    <n v="0"/>
    <n v="6"/>
    <n v="0.51842439644218552"/>
    <n v="816"/>
    <n v="0"/>
    <n v="262"/>
    <n v="126"/>
    <n v="0.48157560355781448"/>
    <n v="527"/>
    <n v="0"/>
    <n v="527"/>
    <n v="0.33481575603557817"/>
    <n v="0.66518424396442177"/>
    <n v="0.33481575603557817"/>
    <n v="0"/>
    <n v="0"/>
    <n v="0"/>
    <x v="0"/>
    <s v="Village"/>
    <x v="0"/>
    <s v="Rakhine"/>
    <n v="20.226730346679702"/>
    <n v="92.836929321289105"/>
    <n v="196129"/>
    <x v="0"/>
    <m/>
  </r>
  <r>
    <x v="0"/>
    <x v="3"/>
    <x v="3"/>
    <s v="EU"/>
    <x v="1"/>
    <x v="10"/>
    <x v="0"/>
    <x v="80"/>
    <n v="301"/>
    <n v="1529"/>
    <d v="2017-01-01T00:00:00"/>
    <d v="2021-12-21T00:00:00"/>
    <m/>
    <m/>
    <n v="7"/>
    <n v="117"/>
    <n v="3"/>
    <m/>
    <m/>
    <m/>
    <m/>
    <n v="186"/>
    <x v="3"/>
    <m/>
    <m/>
    <m/>
    <m/>
    <m/>
    <m/>
    <n v="85"/>
    <n v="316"/>
    <n v="58"/>
    <n v="83"/>
    <m/>
    <m/>
    <m/>
    <m/>
    <m/>
    <m/>
    <m/>
    <m/>
    <m/>
    <m/>
    <m/>
    <m/>
    <n v="1"/>
    <n v="1529"/>
    <n v="1"/>
    <n v="1529"/>
    <n v="1"/>
    <n v="1529"/>
    <n v="6.1159999999999997"/>
    <n v="0"/>
    <n v="0"/>
    <n v="0"/>
    <n v="6"/>
    <n v="0.72988881621975144"/>
    <n v="1116"/>
    <n v="0"/>
    <n v="255"/>
    <n v="69"/>
    <n v="0.27011118378024856"/>
    <n v="542"/>
    <n v="0"/>
    <n v="542"/>
    <n v="0.35448005232177893"/>
    <n v="0.64551994767822107"/>
    <n v="0.35448005232177893"/>
    <n v="0"/>
    <n v="0"/>
    <n v="0"/>
    <x v="0"/>
    <s v="Village"/>
    <x v="0"/>
    <s v="Rakhine"/>
    <n v="20.257850650000002"/>
    <n v="92.811126709999996"/>
    <n v="196161"/>
    <x v="0"/>
    <m/>
  </r>
  <r>
    <x v="0"/>
    <x v="3"/>
    <x v="3"/>
    <s v="EU"/>
    <x v="1"/>
    <x v="10"/>
    <x v="0"/>
    <x v="81"/>
    <n v="85"/>
    <n v="369"/>
    <d v="2017-01-01T00:00:00"/>
    <d v="2021-12-21T00:00:00"/>
    <m/>
    <m/>
    <n v="2"/>
    <n v="56"/>
    <n v="2"/>
    <m/>
    <m/>
    <m/>
    <m/>
    <n v="58"/>
    <x v="3"/>
    <m/>
    <m/>
    <m/>
    <m/>
    <m/>
    <m/>
    <n v="26"/>
    <n v="190"/>
    <n v="14"/>
    <n v="32"/>
    <m/>
    <m/>
    <m/>
    <m/>
    <m/>
    <m/>
    <m/>
    <m/>
    <m/>
    <m/>
    <m/>
    <m/>
    <n v="1"/>
    <n v="369"/>
    <n v="1"/>
    <n v="369"/>
    <n v="1"/>
    <n v="369"/>
    <n v="1.476"/>
    <n v="0"/>
    <n v="0"/>
    <n v="0"/>
    <n v="1"/>
    <n v="0.94308943089430897"/>
    <n v="348"/>
    <n v="0"/>
    <n v="62"/>
    <n v="4"/>
    <n v="5.6910569105691033E-2"/>
    <n v="262"/>
    <n v="0"/>
    <n v="262"/>
    <n v="0.71002710027100269"/>
    <n v="0.28997289972899731"/>
    <n v="0.71002710027100269"/>
    <n v="0"/>
    <n v="0"/>
    <n v="0"/>
    <x v="0"/>
    <s v="Village"/>
    <x v="0"/>
    <n v="0"/>
    <n v="20.261358000000001"/>
    <n v="92.805672999999999"/>
    <n v="220593"/>
    <x v="0"/>
    <m/>
  </r>
  <r>
    <x v="0"/>
    <x v="3"/>
    <x v="3"/>
    <s v="EU"/>
    <x v="1"/>
    <x v="10"/>
    <x v="0"/>
    <x v="82"/>
    <n v="355"/>
    <n v="2168"/>
    <d v="2017-01-01T00:00:00"/>
    <d v="2021-12-21T00:00:00"/>
    <m/>
    <m/>
    <n v="23"/>
    <n v="374"/>
    <n v="2"/>
    <m/>
    <m/>
    <m/>
    <m/>
    <n v="216"/>
    <x v="3"/>
    <m/>
    <m/>
    <m/>
    <m/>
    <m/>
    <m/>
    <n v="112"/>
    <n v="423"/>
    <n v="58"/>
    <n v="65"/>
    <m/>
    <m/>
    <m/>
    <m/>
    <m/>
    <m/>
    <m/>
    <m/>
    <m/>
    <m/>
    <m/>
    <m/>
    <n v="1"/>
    <n v="2168"/>
    <n v="1"/>
    <n v="2168"/>
    <n v="1"/>
    <n v="2168"/>
    <n v="8.6720000000000006"/>
    <n v="0"/>
    <n v="0"/>
    <n v="0.3279999999999994"/>
    <n v="9"/>
    <n v="0.59778597785977861"/>
    <n v="1296"/>
    <n v="0"/>
    <n v="361"/>
    <n v="145"/>
    <n v="0.40221402214022139"/>
    <n v="658"/>
    <n v="0"/>
    <n v="658"/>
    <n v="0.30350553505535055"/>
    <n v="0.69649446494464939"/>
    <n v="0.30350553505535055"/>
    <n v="0"/>
    <n v="0"/>
    <n v="0"/>
    <x v="0"/>
    <s v="Village"/>
    <x v="0"/>
    <n v="0"/>
    <n v="20.246250152587901"/>
    <n v="92.822059631347699"/>
    <n v="196160"/>
    <x v="0"/>
    <m/>
  </r>
  <r>
    <x v="0"/>
    <x v="3"/>
    <x v="3"/>
    <s v="EU"/>
    <x v="1"/>
    <x v="10"/>
    <x v="0"/>
    <x v="83"/>
    <n v="300"/>
    <n v="1369"/>
    <d v="2017-01-01T00:00:00"/>
    <d v="2021-12-21T00:00:00"/>
    <m/>
    <m/>
    <n v="8"/>
    <n v="191"/>
    <n v="4"/>
    <m/>
    <m/>
    <m/>
    <m/>
    <n v="219"/>
    <x v="3"/>
    <m/>
    <m/>
    <m/>
    <m/>
    <m/>
    <m/>
    <n v="127"/>
    <n v="398"/>
    <n v="44"/>
    <n v="78"/>
    <m/>
    <m/>
    <m/>
    <m/>
    <m/>
    <m/>
    <m/>
    <m/>
    <m/>
    <m/>
    <m/>
    <m/>
    <n v="1"/>
    <n v="1369"/>
    <n v="1"/>
    <n v="1369"/>
    <n v="1"/>
    <n v="1369"/>
    <n v="5.476"/>
    <n v="0"/>
    <n v="0"/>
    <n v="0"/>
    <n v="5"/>
    <n v="0.95982468955441924"/>
    <n v="1314"/>
    <n v="0"/>
    <n v="228"/>
    <n v="9"/>
    <n v="4.0175310445580759E-2"/>
    <n v="647"/>
    <n v="0"/>
    <n v="647"/>
    <n v="0.47260774287801316"/>
    <n v="0.5273922571219869"/>
    <n v="0.47260774287801316"/>
    <n v="0"/>
    <n v="0"/>
    <n v="0"/>
    <x v="0"/>
    <s v="Village"/>
    <x v="0"/>
    <n v="0"/>
    <n v="20.239799499511701"/>
    <n v="92.825088500976605"/>
    <n v="196131"/>
    <x v="0"/>
    <m/>
  </r>
  <r>
    <x v="0"/>
    <x v="3"/>
    <x v="3"/>
    <s v="BMZ"/>
    <x v="1"/>
    <x v="10"/>
    <x v="0"/>
    <x v="84"/>
    <n v="331"/>
    <n v="1473"/>
    <d v="2017-01-01T00:00:00"/>
    <d v="2021-12-21T00:00:00"/>
    <m/>
    <m/>
    <n v="2"/>
    <n v="68"/>
    <n v="2"/>
    <m/>
    <m/>
    <m/>
    <m/>
    <n v="79"/>
    <x v="3"/>
    <m/>
    <m/>
    <m/>
    <m/>
    <m/>
    <m/>
    <n v="72"/>
    <n v="113"/>
    <n v="34"/>
    <n v="36"/>
    <m/>
    <m/>
    <m/>
    <m/>
    <m/>
    <m/>
    <m/>
    <m/>
    <m/>
    <m/>
    <m/>
    <m/>
    <n v="1"/>
    <n v="1473"/>
    <n v="1"/>
    <n v="1473"/>
    <n v="1"/>
    <n v="1473"/>
    <n v="5.8920000000000003"/>
    <n v="0"/>
    <n v="0"/>
    <n v="0.10799999999999965"/>
    <n v="6"/>
    <n v="0.32179226069246436"/>
    <n v="474"/>
    <n v="0"/>
    <n v="246"/>
    <n v="167"/>
    <n v="0.67820773930753564"/>
    <n v="255"/>
    <n v="0"/>
    <n v="255"/>
    <n v="0.17311608961303462"/>
    <n v="0.8268839103869654"/>
    <n v="0.17311608961303462"/>
    <n v="0"/>
    <n v="0"/>
    <n v="0"/>
    <x v="0"/>
    <s v="Village"/>
    <x v="0"/>
    <n v="0"/>
    <n v="20.128850936889599"/>
    <n v="92.872497558593807"/>
    <n v="196208"/>
    <x v="0"/>
    <m/>
  </r>
  <r>
    <x v="0"/>
    <x v="4"/>
    <x v="4"/>
    <s v="DFID/HARP"/>
    <x v="1"/>
    <x v="10"/>
    <x v="0"/>
    <x v="85"/>
    <n v="200"/>
    <n v="1065"/>
    <d v="2017-10-01T00:00:00"/>
    <d v="2020-09-30T00:00:00"/>
    <m/>
    <n v="0"/>
    <m/>
    <m/>
    <m/>
    <m/>
    <m/>
    <m/>
    <m/>
    <m/>
    <x v="0"/>
    <m/>
    <m/>
    <m/>
    <m/>
    <m/>
    <m/>
    <m/>
    <m/>
    <m/>
    <m/>
    <n v="218"/>
    <n v="213"/>
    <m/>
    <m/>
    <m/>
    <m/>
    <m/>
    <m/>
    <m/>
    <m/>
    <m/>
    <m/>
    <n v="0"/>
    <n v="0"/>
    <n v="0"/>
    <n v="0"/>
    <n v="0"/>
    <n v="0"/>
    <n v="0"/>
    <n v="1"/>
    <n v="1065"/>
    <n v="4"/>
    <n v="4"/>
    <n v="0"/>
    <n v="0"/>
    <n v="0"/>
    <n v="178"/>
    <n v="178"/>
    <n v="1"/>
    <n v="431"/>
    <n v="0"/>
    <n v="431"/>
    <n v="0.40469483568075115"/>
    <n v="0.59530516431924885"/>
    <n v="0.40469483568075115"/>
    <n v="0"/>
    <n v="0"/>
    <n v="0"/>
    <x v="0"/>
    <s v="Village"/>
    <x v="0"/>
    <s v="Muslim"/>
    <n v="20.197549819999999"/>
    <n v="92.785682679999994"/>
    <n v="196156"/>
    <x v="0"/>
    <m/>
  </r>
  <r>
    <x v="0"/>
    <x v="3"/>
    <x v="3"/>
    <s v="EU"/>
    <x v="1"/>
    <x v="10"/>
    <x v="0"/>
    <x v="86"/>
    <n v="326"/>
    <n v="4476"/>
    <d v="2017-01-01T00:00:00"/>
    <d v="2021-12-21T00:00:00"/>
    <m/>
    <m/>
    <n v="5"/>
    <n v="153"/>
    <n v="5"/>
    <m/>
    <m/>
    <m/>
    <m/>
    <n v="217"/>
    <x v="3"/>
    <m/>
    <m/>
    <m/>
    <m/>
    <m/>
    <m/>
    <n v="96"/>
    <n v="411"/>
    <n v="97"/>
    <n v="119"/>
    <m/>
    <m/>
    <m/>
    <m/>
    <m/>
    <m/>
    <m/>
    <m/>
    <m/>
    <m/>
    <m/>
    <m/>
    <n v="1"/>
    <n v="4476"/>
    <n v="1"/>
    <n v="4476"/>
    <n v="1"/>
    <n v="4476"/>
    <n v="17.904"/>
    <n v="0"/>
    <n v="0"/>
    <n v="9.6000000000000085E-2"/>
    <n v="18"/>
    <n v="0.29088471849865954"/>
    <n v="1302.0000000000002"/>
    <n v="0"/>
    <n v="746"/>
    <n v="529"/>
    <n v="0.7091152815013404"/>
    <n v="723"/>
    <n v="0"/>
    <n v="723"/>
    <n v="0.16152815013404825"/>
    <n v="0.8384718498659518"/>
    <n v="0.16152815013404825"/>
    <n v="0"/>
    <n v="0"/>
    <n v="0"/>
    <x v="0"/>
    <s v="Village"/>
    <x v="0"/>
    <n v="0"/>
    <n v="20.142469406127901"/>
    <n v="92.863967895507798"/>
    <n v="196203"/>
    <x v="0"/>
    <m/>
  </r>
  <r>
    <x v="0"/>
    <x v="3"/>
    <x v="3"/>
    <s v="EU"/>
    <x v="1"/>
    <x v="10"/>
    <x v="0"/>
    <x v="87"/>
    <n v="335"/>
    <n v="1867"/>
    <d v="2017-01-01T00:00:00"/>
    <d v="2021-12-21T00:00:00"/>
    <m/>
    <m/>
    <n v="14"/>
    <n v="113"/>
    <n v="4"/>
    <m/>
    <m/>
    <m/>
    <m/>
    <n v="210"/>
    <x v="3"/>
    <m/>
    <m/>
    <m/>
    <m/>
    <m/>
    <m/>
    <n v="217"/>
    <n v="299"/>
    <n v="89"/>
    <n v="87"/>
    <m/>
    <m/>
    <m/>
    <m/>
    <m/>
    <m/>
    <m/>
    <m/>
    <m/>
    <m/>
    <m/>
    <m/>
    <n v="1"/>
    <n v="1867"/>
    <n v="1"/>
    <n v="1867"/>
    <n v="1"/>
    <n v="1867"/>
    <n v="7.468"/>
    <n v="0"/>
    <n v="0"/>
    <n v="0"/>
    <n v="7"/>
    <n v="0.67487948580610602"/>
    <n v="1260"/>
    <n v="0"/>
    <n v="311"/>
    <n v="101"/>
    <n v="0.32512051419389398"/>
    <n v="692"/>
    <n v="0"/>
    <n v="692"/>
    <n v="0.37064809855382969"/>
    <n v="0.62935190144617037"/>
    <n v="0.37064809855382969"/>
    <n v="0"/>
    <n v="0"/>
    <n v="0"/>
    <x v="0"/>
    <s v="Village"/>
    <x v="0"/>
    <n v="0"/>
    <n v="20.170469284057599"/>
    <n v="92.8343505859375"/>
    <n v="196202"/>
    <x v="0"/>
    <m/>
  </r>
  <r>
    <x v="0"/>
    <x v="3"/>
    <x v="3"/>
    <s v="EU"/>
    <x v="1"/>
    <x v="10"/>
    <x v="0"/>
    <x v="88"/>
    <n v="863"/>
    <n v="3768"/>
    <d v="2017-01-01T00:00:00"/>
    <d v="2021-12-21T00:00:00"/>
    <m/>
    <m/>
    <n v="19"/>
    <n v="128"/>
    <n v="6"/>
    <m/>
    <m/>
    <m/>
    <m/>
    <n v="199"/>
    <x v="3"/>
    <m/>
    <m/>
    <m/>
    <m/>
    <m/>
    <m/>
    <n v="151"/>
    <n v="395"/>
    <n v="17"/>
    <n v="54"/>
    <m/>
    <m/>
    <m/>
    <m/>
    <m/>
    <m/>
    <m/>
    <m/>
    <m/>
    <m/>
    <m/>
    <m/>
    <n v="1"/>
    <n v="3768"/>
    <n v="1"/>
    <n v="3768"/>
    <n v="1"/>
    <n v="3768"/>
    <n v="15.071999999999999"/>
    <n v="0"/>
    <n v="0"/>
    <n v="0"/>
    <n v="15"/>
    <n v="0.31687898089171973"/>
    <n v="1194"/>
    <n v="0"/>
    <n v="628"/>
    <n v="429"/>
    <n v="0.68312101910828027"/>
    <n v="617"/>
    <n v="0"/>
    <n v="617"/>
    <n v="0.16374734607218683"/>
    <n v="0.83625265392781323"/>
    <n v="0.16374734607218683"/>
    <n v="0"/>
    <n v="0"/>
    <n v="0"/>
    <x v="0"/>
    <s v="Village"/>
    <x v="0"/>
    <n v="0"/>
    <n v="20.168970108032202"/>
    <n v="92.826896667480497"/>
    <n v="196206"/>
    <x v="0"/>
    <m/>
  </r>
  <r>
    <x v="0"/>
    <x v="3"/>
    <x v="3"/>
    <s v="EU"/>
    <x v="1"/>
    <x v="10"/>
    <x v="0"/>
    <x v="89"/>
    <n v="310"/>
    <n v="1750"/>
    <d v="2017-01-01T00:00:00"/>
    <d v="2021-12-21T00:00:00"/>
    <m/>
    <m/>
    <n v="193"/>
    <n v="89"/>
    <n v="5"/>
    <m/>
    <m/>
    <m/>
    <m/>
    <n v="198"/>
    <x v="3"/>
    <m/>
    <m/>
    <m/>
    <m/>
    <m/>
    <m/>
    <n v="114"/>
    <n v="289"/>
    <n v="118"/>
    <n v="183"/>
    <m/>
    <m/>
    <m/>
    <m/>
    <m/>
    <m/>
    <m/>
    <m/>
    <m/>
    <m/>
    <m/>
    <m/>
    <n v="1"/>
    <n v="1750"/>
    <n v="1"/>
    <n v="1750"/>
    <n v="1"/>
    <n v="1750"/>
    <n v="7"/>
    <n v="0"/>
    <n v="0"/>
    <n v="0"/>
    <n v="7"/>
    <n v="0.67885714285714283"/>
    <n v="1188"/>
    <n v="0"/>
    <n v="292"/>
    <n v="94"/>
    <n v="0.32114285714285717"/>
    <n v="704"/>
    <n v="0"/>
    <n v="704"/>
    <n v="0.4022857142857143"/>
    <n v="0.59771428571428564"/>
    <n v="0.4022857142857143"/>
    <n v="0"/>
    <n v="0"/>
    <n v="0"/>
    <x v="0"/>
    <s v="Village"/>
    <x v="0"/>
    <n v="0"/>
    <n v="0"/>
    <n v="0"/>
    <n v="0"/>
    <x v="0"/>
    <m/>
  </r>
  <r>
    <x v="0"/>
    <x v="3"/>
    <x v="3"/>
    <s v="EU"/>
    <x v="1"/>
    <x v="11"/>
    <x v="0"/>
    <x v="90"/>
    <n v="125"/>
    <n v="513"/>
    <d v="2017-01-01T00:00:00"/>
    <d v="2021-12-21T00:00:00"/>
    <m/>
    <m/>
    <n v="16"/>
    <n v="96"/>
    <n v="4"/>
    <m/>
    <m/>
    <m/>
    <m/>
    <n v="300"/>
    <x v="3"/>
    <m/>
    <m/>
    <m/>
    <m/>
    <m/>
    <m/>
    <n v="94"/>
    <n v="416"/>
    <n v="61"/>
    <n v="96"/>
    <m/>
    <m/>
    <m/>
    <m/>
    <m/>
    <m/>
    <m/>
    <m/>
    <m/>
    <m/>
    <m/>
    <m/>
    <n v="1"/>
    <n v="513"/>
    <n v="1"/>
    <n v="513"/>
    <n v="1"/>
    <n v="513"/>
    <n v="2.052"/>
    <n v="0"/>
    <n v="0"/>
    <n v="0"/>
    <n v="2"/>
    <n v="1"/>
    <n v="513"/>
    <n v="0"/>
    <n v="86"/>
    <n v="0"/>
    <n v="0"/>
    <n v="513"/>
    <n v="0"/>
    <n v="513"/>
    <n v="1"/>
    <n v="0"/>
    <n v="1"/>
    <n v="0"/>
    <n v="0"/>
    <n v="0"/>
    <x v="0"/>
    <s v="Village"/>
    <x v="1"/>
    <s v="Muslim"/>
    <n v="20.39902"/>
    <n v="93.249669999999995"/>
    <s v="MMR012CMP003"/>
    <x v="0"/>
    <m/>
  </r>
  <r>
    <x v="0"/>
    <x v="3"/>
    <x v="3"/>
    <s v="BMZ"/>
    <x v="1"/>
    <x v="10"/>
    <x v="0"/>
    <x v="91"/>
    <n v="92"/>
    <n v="715"/>
    <d v="2017-01-01T00:00:00"/>
    <d v="2021-12-21T00:00:00"/>
    <m/>
    <m/>
    <n v="114"/>
    <n v="348"/>
    <n v="4"/>
    <m/>
    <m/>
    <m/>
    <m/>
    <n v="514"/>
    <x v="3"/>
    <m/>
    <m/>
    <m/>
    <m/>
    <m/>
    <m/>
    <n v="127"/>
    <n v="398"/>
    <n v="162"/>
    <n v="155"/>
    <m/>
    <m/>
    <m/>
    <m/>
    <m/>
    <m/>
    <m/>
    <m/>
    <m/>
    <m/>
    <m/>
    <m/>
    <n v="1"/>
    <n v="715"/>
    <n v="1"/>
    <n v="715"/>
    <n v="1"/>
    <n v="715"/>
    <n v="2.86"/>
    <n v="0"/>
    <n v="0"/>
    <n v="0.14000000000000012"/>
    <n v="3"/>
    <n v="1"/>
    <n v="715"/>
    <n v="0"/>
    <n v="119"/>
    <n v="0"/>
    <n v="0"/>
    <n v="715"/>
    <n v="0"/>
    <n v="715"/>
    <n v="1"/>
    <n v="0"/>
    <n v="1"/>
    <n v="0"/>
    <n v="0"/>
    <n v="0"/>
    <x v="0"/>
    <s v="Village"/>
    <x v="0"/>
    <n v="0"/>
    <n v="20.172649383544901"/>
    <n v="92.874351501464801"/>
    <n v="196195"/>
    <x v="0"/>
    <m/>
  </r>
  <r>
    <x v="0"/>
    <x v="3"/>
    <x v="3"/>
    <s v="BMZ"/>
    <x v="1"/>
    <x v="10"/>
    <x v="0"/>
    <x v="92"/>
    <n v="2100"/>
    <n v="12993"/>
    <d v="2017-01-01T00:00:00"/>
    <d v="2021-12-21T00:00:00"/>
    <m/>
    <m/>
    <n v="12"/>
    <n v="97"/>
    <n v="2"/>
    <m/>
    <m/>
    <m/>
    <m/>
    <n v="218"/>
    <x v="3"/>
    <m/>
    <m/>
    <m/>
    <m/>
    <m/>
    <m/>
    <n v="246"/>
    <n v="217"/>
    <n v="78"/>
    <n v="127"/>
    <m/>
    <m/>
    <m/>
    <m/>
    <m/>
    <m/>
    <m/>
    <m/>
    <m/>
    <m/>
    <m/>
    <m/>
    <n v="1"/>
    <n v="12993"/>
    <n v="1"/>
    <n v="12993"/>
    <n v="1"/>
    <n v="12993"/>
    <n v="51.972000000000001"/>
    <n v="0"/>
    <n v="0"/>
    <n v="2.7999999999998693E-2"/>
    <n v="52"/>
    <n v="0.10066959131840221"/>
    <n v="1308"/>
    <n v="0"/>
    <n v="2166"/>
    <n v="1948"/>
    <n v="0.89933040868159775"/>
    <n v="668"/>
    <n v="0"/>
    <n v="668"/>
    <n v="5.1412298930193182E-2"/>
    <n v="0.94858770106980683"/>
    <n v="5.1412298930193182E-2"/>
    <n v="0"/>
    <n v="0"/>
    <n v="0"/>
    <x v="0"/>
    <s v="Village"/>
    <x v="0"/>
    <s v="Muslim"/>
    <n v="0"/>
    <n v="0"/>
    <n v="0"/>
    <x v="0"/>
    <m/>
  </r>
  <r>
    <x v="0"/>
    <x v="3"/>
    <x v="3"/>
    <s v="EU"/>
    <x v="1"/>
    <x v="11"/>
    <x v="0"/>
    <x v="93"/>
    <n v="325"/>
    <n v="1923"/>
    <d v="2017-01-01T00:00:00"/>
    <d v="2021-12-21T00:00:00"/>
    <m/>
    <m/>
    <n v="14"/>
    <n v="48"/>
    <n v="3"/>
    <m/>
    <m/>
    <m/>
    <m/>
    <n v="112"/>
    <x v="3"/>
    <m/>
    <m/>
    <m/>
    <m/>
    <m/>
    <m/>
    <m/>
    <m/>
    <m/>
    <m/>
    <m/>
    <m/>
    <m/>
    <m/>
    <m/>
    <m/>
    <m/>
    <m/>
    <m/>
    <m/>
    <m/>
    <m/>
    <n v="1"/>
    <n v="1923"/>
    <n v="1"/>
    <n v="1923"/>
    <n v="1"/>
    <n v="1923"/>
    <n v="7.6920000000000002"/>
    <n v="0"/>
    <n v="0"/>
    <n v="0.30799999999999983"/>
    <n v="8"/>
    <n v="0.34945397815912638"/>
    <n v="672"/>
    <n v="0"/>
    <n v="321"/>
    <n v="209"/>
    <n v="0.65054602184087362"/>
    <n v="0"/>
    <n v="0"/>
    <n v="0"/>
    <n v="0"/>
    <n v="1"/>
    <n v="0"/>
    <n v="0"/>
    <n v="0"/>
    <n v="0"/>
    <x v="0"/>
    <s v="Village"/>
    <x v="0"/>
    <s v="Muslim"/>
    <n v="0"/>
    <n v="0"/>
    <n v="196999"/>
    <x v="0"/>
    <m/>
  </r>
  <r>
    <x v="0"/>
    <x v="3"/>
    <x v="3"/>
    <s v="EU"/>
    <x v="1"/>
    <x v="11"/>
    <x v="0"/>
    <x v="94"/>
    <n v="146"/>
    <n v="801"/>
    <d v="2017-01-01T00:00:00"/>
    <d v="2021-12-21T00:00:00"/>
    <m/>
    <m/>
    <n v="17"/>
    <n v="43"/>
    <n v="2"/>
    <m/>
    <m/>
    <m/>
    <m/>
    <n v="78"/>
    <x v="3"/>
    <m/>
    <m/>
    <m/>
    <m/>
    <m/>
    <m/>
    <n v="118"/>
    <n v="216"/>
    <n v="46"/>
    <n v="65"/>
    <m/>
    <m/>
    <m/>
    <m/>
    <m/>
    <m/>
    <m/>
    <m/>
    <m/>
    <m/>
    <m/>
    <m/>
    <n v="1"/>
    <n v="801"/>
    <n v="1"/>
    <n v="801"/>
    <n v="1"/>
    <n v="801"/>
    <n v="3.2040000000000002"/>
    <n v="0"/>
    <n v="0"/>
    <n v="0"/>
    <n v="3"/>
    <n v="0.5842696629213483"/>
    <n v="468"/>
    <n v="0"/>
    <n v="134"/>
    <n v="56"/>
    <n v="0.4157303370786517"/>
    <n v="445"/>
    <n v="0"/>
    <n v="445"/>
    <n v="0.55555555555555558"/>
    <n v="0.44444444444444442"/>
    <n v="0.55555555555555558"/>
    <n v="0"/>
    <n v="0"/>
    <n v="0"/>
    <x v="0"/>
    <s v="Village"/>
    <x v="0"/>
    <n v="0"/>
    <n v="20.3927307128906"/>
    <n v="93.304817199707003"/>
    <n v="197017"/>
    <x v="0"/>
    <m/>
  </r>
  <r>
    <x v="0"/>
    <x v="3"/>
    <x v="3"/>
    <s v="EU"/>
    <x v="1"/>
    <x v="11"/>
    <x v="0"/>
    <x v="95"/>
    <n v="31"/>
    <n v="156"/>
    <d v="2017-01-01T00:00:00"/>
    <d v="2021-12-21T00:00:00"/>
    <m/>
    <m/>
    <n v="18"/>
    <n v="116"/>
    <n v="4"/>
    <m/>
    <m/>
    <m/>
    <m/>
    <n v="298"/>
    <x v="3"/>
    <m/>
    <m/>
    <m/>
    <m/>
    <m/>
    <m/>
    <n v="164"/>
    <n v="289"/>
    <n v="69"/>
    <n v="99"/>
    <m/>
    <m/>
    <m/>
    <m/>
    <m/>
    <m/>
    <m/>
    <m/>
    <m/>
    <m/>
    <m/>
    <m/>
    <n v="1"/>
    <n v="156"/>
    <n v="1"/>
    <n v="156"/>
    <n v="1"/>
    <n v="156"/>
    <n v="0.624"/>
    <n v="0"/>
    <n v="0"/>
    <n v="0.376"/>
    <n v="1"/>
    <n v="1"/>
    <n v="156"/>
    <n v="0"/>
    <n v="26"/>
    <n v="0"/>
    <n v="0"/>
    <n v="156"/>
    <n v="0"/>
    <n v="156"/>
    <n v="1"/>
    <n v="0"/>
    <n v="1"/>
    <n v="0"/>
    <n v="0"/>
    <n v="0"/>
    <x v="0"/>
    <s v="Village"/>
    <x v="0"/>
    <n v="0"/>
    <n v="20.406982421875"/>
    <n v="93.312507629394503"/>
    <n v="197022"/>
    <x v="0"/>
    <m/>
  </r>
  <r>
    <x v="0"/>
    <x v="3"/>
    <x v="3"/>
    <s v="EU"/>
    <x v="1"/>
    <x v="11"/>
    <x v="0"/>
    <x v="96"/>
    <n v="96"/>
    <n v="329"/>
    <d v="2017-01-01T00:00:00"/>
    <d v="2021-12-21T00:00:00"/>
    <m/>
    <m/>
    <n v="28"/>
    <n v="826"/>
    <n v="7"/>
    <m/>
    <m/>
    <m/>
    <m/>
    <n v="1408"/>
    <x v="3"/>
    <m/>
    <m/>
    <m/>
    <m/>
    <m/>
    <m/>
    <n v="579"/>
    <n v="458"/>
    <n v="256"/>
    <n v="287"/>
    <m/>
    <m/>
    <m/>
    <m/>
    <m/>
    <m/>
    <m/>
    <m/>
    <m/>
    <m/>
    <m/>
    <m/>
    <n v="1"/>
    <n v="329"/>
    <n v="1"/>
    <n v="329"/>
    <n v="1"/>
    <n v="329"/>
    <n v="1.3160000000000001"/>
    <n v="0"/>
    <n v="0"/>
    <n v="0"/>
    <n v="1"/>
    <n v="1"/>
    <n v="329"/>
    <n v="0"/>
    <n v="55"/>
    <n v="0"/>
    <n v="0"/>
    <n v="329"/>
    <n v="0"/>
    <n v="329"/>
    <n v="1"/>
    <n v="0"/>
    <n v="1"/>
    <n v="0"/>
    <n v="0"/>
    <n v="0"/>
    <x v="0"/>
    <s v="Village"/>
    <x v="0"/>
    <n v="0"/>
    <n v="20.404491424560501"/>
    <n v="93.321144104003906"/>
    <n v="197020"/>
    <x v="0"/>
    <m/>
  </r>
  <r>
    <x v="0"/>
    <x v="3"/>
    <x v="3"/>
    <s v="EU"/>
    <x v="1"/>
    <x v="11"/>
    <x v="0"/>
    <x v="97"/>
    <n v="37"/>
    <n v="119"/>
    <d v="2017-01-01T00:00:00"/>
    <d v="2021-12-21T00:00:00"/>
    <m/>
    <m/>
    <n v="12"/>
    <n v="208"/>
    <n v="3"/>
    <m/>
    <m/>
    <m/>
    <m/>
    <n v="255"/>
    <x v="3"/>
    <m/>
    <m/>
    <m/>
    <m/>
    <m/>
    <m/>
    <m/>
    <m/>
    <m/>
    <m/>
    <m/>
    <m/>
    <m/>
    <m/>
    <m/>
    <m/>
    <m/>
    <m/>
    <m/>
    <m/>
    <m/>
    <m/>
    <n v="1"/>
    <n v="119"/>
    <n v="1"/>
    <n v="119"/>
    <n v="1"/>
    <n v="119"/>
    <n v="0.47599999999999998"/>
    <n v="0"/>
    <n v="0"/>
    <n v="0.52400000000000002"/>
    <n v="1"/>
    <n v="1"/>
    <n v="119"/>
    <n v="0"/>
    <n v="20"/>
    <n v="0"/>
    <n v="0"/>
    <n v="0"/>
    <n v="0"/>
    <n v="0"/>
    <n v="0"/>
    <n v="1"/>
    <n v="0"/>
    <n v="0"/>
    <n v="0"/>
    <n v="0"/>
    <x v="0"/>
    <s v="Village"/>
    <x v="0"/>
    <n v="0"/>
    <n v="20.428560256958001"/>
    <n v="93.305938720703097"/>
    <n v="197027"/>
    <x v="0"/>
    <m/>
  </r>
  <r>
    <x v="0"/>
    <x v="3"/>
    <x v="3"/>
    <s v="EU"/>
    <x v="1"/>
    <x v="11"/>
    <x v="0"/>
    <x v="98"/>
    <n v="167"/>
    <n v="1027"/>
    <d v="2017-01-01T00:00:00"/>
    <d v="2021-12-21T00:00:00"/>
    <m/>
    <m/>
    <n v="6"/>
    <n v="49"/>
    <n v="2"/>
    <m/>
    <m/>
    <m/>
    <m/>
    <n v="66"/>
    <x v="3"/>
    <m/>
    <m/>
    <m/>
    <m/>
    <m/>
    <m/>
    <m/>
    <m/>
    <m/>
    <m/>
    <m/>
    <m/>
    <m/>
    <m/>
    <m/>
    <m/>
    <m/>
    <m/>
    <m/>
    <m/>
    <m/>
    <m/>
    <n v="1"/>
    <n v="1027"/>
    <n v="1"/>
    <n v="1027"/>
    <n v="1"/>
    <n v="1027"/>
    <n v="4.1079999999999997"/>
    <n v="0"/>
    <n v="0"/>
    <n v="0"/>
    <n v="4"/>
    <n v="0.38558909444985395"/>
    <n v="396"/>
    <n v="0"/>
    <n v="171"/>
    <n v="105"/>
    <n v="0.6144109055501461"/>
    <n v="0"/>
    <n v="0"/>
    <n v="0"/>
    <n v="0"/>
    <n v="1"/>
    <n v="0"/>
    <n v="0"/>
    <n v="0"/>
    <n v="0"/>
    <x v="0"/>
    <s v="Village"/>
    <x v="0"/>
    <n v="0"/>
    <n v="20.4226398468018"/>
    <n v="93.307182312011705"/>
    <n v="197028"/>
    <x v="0"/>
    <m/>
  </r>
  <r>
    <x v="0"/>
    <x v="3"/>
    <x v="3"/>
    <s v="EU"/>
    <x v="1"/>
    <x v="11"/>
    <x v="0"/>
    <x v="99"/>
    <n v="90"/>
    <n v="414"/>
    <d v="2017-01-01T00:00:00"/>
    <d v="2021-12-21T00:00:00"/>
    <m/>
    <m/>
    <n v="0"/>
    <n v="9"/>
    <n v="1"/>
    <m/>
    <m/>
    <m/>
    <m/>
    <n v="12"/>
    <x v="3"/>
    <m/>
    <m/>
    <m/>
    <m/>
    <m/>
    <m/>
    <m/>
    <m/>
    <m/>
    <m/>
    <m/>
    <m/>
    <m/>
    <m/>
    <m/>
    <m/>
    <m/>
    <m/>
    <m/>
    <m/>
    <m/>
    <m/>
    <n v="1"/>
    <n v="414"/>
    <n v="1"/>
    <n v="414"/>
    <n v="1"/>
    <n v="414"/>
    <n v="1.6559999999999999"/>
    <n v="0"/>
    <n v="0"/>
    <n v="0.34400000000000008"/>
    <n v="2"/>
    <n v="0.17391304347826086"/>
    <n v="72"/>
    <n v="0"/>
    <n v="69"/>
    <n v="57"/>
    <n v="0.82608695652173914"/>
    <n v="0"/>
    <n v="0"/>
    <n v="0"/>
    <n v="0"/>
    <n v="1"/>
    <n v="0"/>
    <n v="0"/>
    <n v="0"/>
    <n v="0"/>
    <x v="0"/>
    <s v="Village"/>
    <x v="0"/>
    <n v="0"/>
    <n v="20.437318801879901"/>
    <n v="93.302917480468807"/>
    <n v="197034"/>
    <x v="0"/>
    <m/>
  </r>
  <r>
    <x v="0"/>
    <x v="3"/>
    <x v="3"/>
    <s v="EU"/>
    <x v="1"/>
    <x v="11"/>
    <x v="0"/>
    <x v="100"/>
    <n v="78"/>
    <n v="308"/>
    <d v="2017-01-01T00:00:00"/>
    <d v="2021-12-21T00:00:00"/>
    <m/>
    <m/>
    <n v="4"/>
    <n v="46"/>
    <n v="2"/>
    <m/>
    <m/>
    <m/>
    <m/>
    <n v="54"/>
    <x v="3"/>
    <m/>
    <m/>
    <m/>
    <m/>
    <m/>
    <m/>
    <m/>
    <m/>
    <m/>
    <m/>
    <m/>
    <m/>
    <m/>
    <m/>
    <m/>
    <m/>
    <m/>
    <m/>
    <m/>
    <m/>
    <m/>
    <m/>
    <n v="1"/>
    <n v="308"/>
    <n v="1"/>
    <n v="308"/>
    <n v="1"/>
    <n v="308"/>
    <n v="1.232"/>
    <n v="0"/>
    <n v="0"/>
    <n v="0"/>
    <n v="1"/>
    <n v="1"/>
    <n v="308"/>
    <n v="0"/>
    <n v="51"/>
    <n v="0"/>
    <n v="0"/>
    <n v="0"/>
    <n v="0"/>
    <n v="0"/>
    <n v="0"/>
    <n v="1"/>
    <n v="0"/>
    <n v="0"/>
    <n v="0"/>
    <n v="0"/>
    <x v="0"/>
    <s v="Village"/>
    <x v="0"/>
    <n v="0"/>
    <n v="20.442419052123999"/>
    <n v="93.300033569335895"/>
    <n v="197036"/>
    <x v="0"/>
    <m/>
  </r>
  <r>
    <x v="0"/>
    <x v="3"/>
    <x v="3"/>
    <s v="EU"/>
    <x v="1"/>
    <x v="11"/>
    <x v="0"/>
    <x v="101"/>
    <n v="85"/>
    <n v="413"/>
    <d v="2017-01-01T00:00:00"/>
    <d v="2021-12-21T00:00:00"/>
    <m/>
    <m/>
    <n v="0"/>
    <n v="23"/>
    <n v="1"/>
    <m/>
    <m/>
    <m/>
    <m/>
    <n v="27"/>
    <x v="3"/>
    <m/>
    <m/>
    <m/>
    <m/>
    <m/>
    <m/>
    <m/>
    <m/>
    <m/>
    <m/>
    <m/>
    <m/>
    <m/>
    <m/>
    <m/>
    <m/>
    <m/>
    <m/>
    <m/>
    <m/>
    <m/>
    <m/>
    <n v="1"/>
    <n v="413"/>
    <n v="1"/>
    <n v="413"/>
    <n v="1"/>
    <n v="413"/>
    <n v="1.6519999999999999"/>
    <n v="0"/>
    <n v="0"/>
    <n v="0.34800000000000009"/>
    <n v="2"/>
    <n v="0.39225181598062953"/>
    <n v="162"/>
    <n v="0"/>
    <n v="69"/>
    <n v="42"/>
    <n v="0.60774818401937047"/>
    <n v="0"/>
    <n v="0"/>
    <n v="0"/>
    <n v="0"/>
    <n v="1"/>
    <n v="0"/>
    <n v="0"/>
    <n v="0"/>
    <n v="0"/>
    <x v="0"/>
    <s v="Village"/>
    <x v="0"/>
    <n v="0"/>
    <n v="20.430749893188501"/>
    <n v="93.304450988769503"/>
    <n v="197033"/>
    <x v="0"/>
    <m/>
  </r>
  <r>
    <x v="0"/>
    <x v="3"/>
    <x v="3"/>
    <s v="EU"/>
    <x v="1"/>
    <x v="11"/>
    <x v="0"/>
    <x v="102"/>
    <n v="353"/>
    <n v="2111"/>
    <d v="2017-01-01T00:00:00"/>
    <d v="2021-12-21T00:00:00"/>
    <m/>
    <m/>
    <n v="3"/>
    <n v="87"/>
    <n v="2"/>
    <m/>
    <m/>
    <m/>
    <m/>
    <n v="83"/>
    <x v="3"/>
    <m/>
    <m/>
    <m/>
    <m/>
    <m/>
    <m/>
    <m/>
    <m/>
    <m/>
    <m/>
    <m/>
    <m/>
    <m/>
    <m/>
    <m/>
    <m/>
    <m/>
    <m/>
    <m/>
    <m/>
    <m/>
    <m/>
    <n v="1"/>
    <n v="2111"/>
    <n v="1"/>
    <n v="2111"/>
    <n v="1"/>
    <n v="2111"/>
    <n v="8.4440000000000008"/>
    <n v="0"/>
    <n v="0"/>
    <n v="0"/>
    <n v="8"/>
    <n v="0.23590715300805307"/>
    <n v="498"/>
    <n v="0"/>
    <n v="352"/>
    <n v="269"/>
    <n v="0.76409284699194691"/>
    <n v="0"/>
    <n v="0"/>
    <n v="0"/>
    <n v="0"/>
    <n v="1"/>
    <n v="0"/>
    <n v="0"/>
    <n v="0"/>
    <n v="0"/>
    <x v="0"/>
    <s v="Village"/>
    <x v="0"/>
    <n v="0"/>
    <n v="20.448799133300799"/>
    <n v="93.300239562988295"/>
    <n v="197040"/>
    <x v="0"/>
    <m/>
  </r>
  <r>
    <x v="0"/>
    <x v="3"/>
    <x v="3"/>
    <s v="EU"/>
    <x v="1"/>
    <x v="11"/>
    <x v="0"/>
    <x v="103"/>
    <n v="295"/>
    <n v="1698"/>
    <d v="2017-01-01T00:00:00"/>
    <d v="2021-12-21T00:00:00"/>
    <m/>
    <m/>
    <n v="2"/>
    <n v="53"/>
    <n v="2"/>
    <m/>
    <m/>
    <m/>
    <m/>
    <n v="77"/>
    <x v="3"/>
    <m/>
    <m/>
    <m/>
    <m/>
    <m/>
    <m/>
    <m/>
    <m/>
    <m/>
    <m/>
    <m/>
    <m/>
    <m/>
    <m/>
    <m/>
    <m/>
    <m/>
    <m/>
    <m/>
    <m/>
    <m/>
    <m/>
    <n v="1"/>
    <n v="1698"/>
    <n v="1"/>
    <n v="1698"/>
    <n v="1"/>
    <n v="1698"/>
    <n v="6.7919999999999998"/>
    <n v="0"/>
    <n v="0"/>
    <n v="0.20800000000000018"/>
    <n v="7"/>
    <n v="0.27208480565371024"/>
    <n v="462"/>
    <n v="0"/>
    <n v="283"/>
    <n v="206"/>
    <n v="0.72791519434628982"/>
    <n v="0"/>
    <n v="0"/>
    <n v="0"/>
    <n v="0"/>
    <n v="1"/>
    <n v="0"/>
    <n v="0"/>
    <n v="0"/>
    <n v="0"/>
    <x v="0"/>
    <s v="Village"/>
    <x v="0"/>
    <n v="0"/>
    <n v="20.463020324706999"/>
    <n v="93.296417236328097"/>
    <n v="197039"/>
    <x v="0"/>
    <m/>
  </r>
  <r>
    <x v="0"/>
    <x v="3"/>
    <x v="3"/>
    <s v="EU"/>
    <x v="1"/>
    <x v="11"/>
    <x v="0"/>
    <x v="104"/>
    <n v="140"/>
    <n v="985"/>
    <d v="2017-01-01T00:00:00"/>
    <d v="2021-12-21T00:00:00"/>
    <m/>
    <m/>
    <n v="7"/>
    <n v="27"/>
    <n v="3"/>
    <m/>
    <m/>
    <m/>
    <m/>
    <n v="65"/>
    <x v="3"/>
    <m/>
    <m/>
    <m/>
    <m/>
    <m/>
    <m/>
    <m/>
    <m/>
    <m/>
    <m/>
    <m/>
    <m/>
    <m/>
    <m/>
    <m/>
    <m/>
    <m/>
    <m/>
    <m/>
    <m/>
    <m/>
    <m/>
    <n v="1"/>
    <n v="985"/>
    <n v="1"/>
    <n v="985"/>
    <n v="1"/>
    <n v="985"/>
    <n v="3.94"/>
    <n v="0"/>
    <n v="0"/>
    <n v="6.0000000000000053E-2"/>
    <n v="4"/>
    <n v="0.39593908629441626"/>
    <n v="390"/>
    <n v="0"/>
    <n v="164"/>
    <n v="99"/>
    <n v="0.60406091370558368"/>
    <n v="0"/>
    <n v="0"/>
    <n v="0"/>
    <n v="0"/>
    <n v="1"/>
    <n v="0"/>
    <n v="0"/>
    <n v="0"/>
    <n v="0"/>
    <x v="0"/>
    <s v="Village"/>
    <x v="0"/>
    <n v="0"/>
    <n v="20.4733695983887"/>
    <n v="93.291687011718807"/>
    <n v="197041"/>
    <x v="0"/>
    <m/>
  </r>
  <r>
    <x v="0"/>
    <x v="3"/>
    <x v="3"/>
    <s v="EU"/>
    <x v="1"/>
    <x v="11"/>
    <x v="0"/>
    <x v="105"/>
    <n v="157"/>
    <n v="735"/>
    <d v="2017-01-01T00:00:00"/>
    <d v="2021-12-21T00:00:00"/>
    <m/>
    <m/>
    <n v="0"/>
    <n v="32"/>
    <n v="3"/>
    <m/>
    <m/>
    <m/>
    <m/>
    <n v="72"/>
    <x v="3"/>
    <m/>
    <m/>
    <m/>
    <m/>
    <m/>
    <m/>
    <m/>
    <m/>
    <m/>
    <m/>
    <m/>
    <m/>
    <m/>
    <m/>
    <m/>
    <m/>
    <m/>
    <m/>
    <m/>
    <m/>
    <m/>
    <m/>
    <n v="1"/>
    <n v="735"/>
    <n v="1"/>
    <n v="735"/>
    <n v="1"/>
    <n v="735"/>
    <n v="2.94"/>
    <n v="0"/>
    <n v="0"/>
    <n v="6.0000000000000053E-2"/>
    <n v="3"/>
    <n v="0.58775510204081638"/>
    <n v="432.00000000000006"/>
    <n v="0"/>
    <n v="123"/>
    <n v="51"/>
    <n v="0.41224489795918362"/>
    <n v="0"/>
    <n v="0"/>
    <n v="0"/>
    <n v="0"/>
    <n v="1"/>
    <n v="0"/>
    <n v="0"/>
    <n v="0"/>
    <n v="0"/>
    <x v="0"/>
    <s v="Village"/>
    <x v="0"/>
    <n v="0"/>
    <n v="20.478410720825199"/>
    <n v="93.28662109375"/>
    <n v="197042"/>
    <x v="0"/>
    <m/>
  </r>
  <r>
    <x v="0"/>
    <x v="3"/>
    <x v="3"/>
    <s v="EU"/>
    <x v="1"/>
    <x v="11"/>
    <x v="0"/>
    <x v="106"/>
    <n v="35"/>
    <n v="142"/>
    <d v="2017-01-01T00:00:00"/>
    <d v="2021-12-21T00:00:00"/>
    <m/>
    <m/>
    <n v="0"/>
    <n v="117"/>
    <n v="3"/>
    <m/>
    <m/>
    <m/>
    <m/>
    <n v="235"/>
    <x v="3"/>
    <m/>
    <m/>
    <m/>
    <m/>
    <m/>
    <m/>
    <m/>
    <m/>
    <m/>
    <m/>
    <m/>
    <m/>
    <m/>
    <m/>
    <m/>
    <m/>
    <m/>
    <m/>
    <m/>
    <m/>
    <m/>
    <m/>
    <n v="1"/>
    <n v="142"/>
    <n v="1"/>
    <n v="142"/>
    <n v="1"/>
    <n v="142"/>
    <n v="0.56799999999999995"/>
    <n v="0"/>
    <n v="0"/>
    <n v="0.43200000000000005"/>
    <n v="1"/>
    <n v="1"/>
    <n v="142"/>
    <n v="0"/>
    <n v="24"/>
    <n v="0"/>
    <n v="0"/>
    <n v="0"/>
    <n v="0"/>
    <n v="0"/>
    <n v="0"/>
    <n v="1"/>
    <n v="0"/>
    <n v="0"/>
    <n v="0"/>
    <n v="0"/>
    <x v="0"/>
    <s v="Village"/>
    <x v="0"/>
    <n v="0"/>
    <n v="20.481389999389599"/>
    <n v="93.283447265625"/>
    <n v="197043"/>
    <x v="0"/>
    <m/>
  </r>
  <r>
    <x v="0"/>
    <x v="3"/>
    <x v="3"/>
    <s v="EU"/>
    <x v="1"/>
    <x v="11"/>
    <x v="0"/>
    <x v="107"/>
    <n v="148"/>
    <n v="630"/>
    <d v="2017-01-01T00:00:00"/>
    <d v="2021-12-21T00:00:00"/>
    <m/>
    <m/>
    <n v="6"/>
    <n v="92"/>
    <n v="3"/>
    <m/>
    <m/>
    <m/>
    <m/>
    <n v="204"/>
    <x v="3"/>
    <m/>
    <m/>
    <m/>
    <m/>
    <m/>
    <m/>
    <m/>
    <m/>
    <m/>
    <m/>
    <m/>
    <m/>
    <m/>
    <m/>
    <m/>
    <m/>
    <m/>
    <m/>
    <m/>
    <m/>
    <m/>
    <m/>
    <n v="1"/>
    <n v="630"/>
    <n v="1"/>
    <n v="630"/>
    <n v="1"/>
    <n v="630"/>
    <n v="2.52"/>
    <n v="0"/>
    <n v="0"/>
    <n v="0.48"/>
    <n v="3"/>
    <n v="1"/>
    <n v="630"/>
    <n v="0"/>
    <n v="105"/>
    <n v="0"/>
    <n v="0"/>
    <n v="0"/>
    <n v="0"/>
    <n v="0"/>
    <n v="0"/>
    <n v="1"/>
    <n v="0"/>
    <n v="0"/>
    <n v="0"/>
    <n v="0"/>
    <x v="0"/>
    <s v="Village"/>
    <x v="0"/>
    <n v="0"/>
    <n v="20.422460556030298"/>
    <n v="93.317733764648395"/>
    <n v="197089"/>
    <x v="0"/>
    <m/>
  </r>
  <r>
    <x v="0"/>
    <x v="3"/>
    <x v="3"/>
    <s v="EU"/>
    <x v="1"/>
    <x v="11"/>
    <x v="0"/>
    <x v="108"/>
    <n v="135"/>
    <n v="593"/>
    <d v="2017-01-01T00:00:00"/>
    <d v="2021-12-21T00:00:00"/>
    <m/>
    <m/>
    <n v="7"/>
    <n v="55"/>
    <n v="2"/>
    <m/>
    <m/>
    <m/>
    <m/>
    <n v="114"/>
    <x v="3"/>
    <m/>
    <m/>
    <m/>
    <m/>
    <m/>
    <m/>
    <m/>
    <m/>
    <m/>
    <m/>
    <m/>
    <m/>
    <m/>
    <m/>
    <m/>
    <m/>
    <m/>
    <m/>
    <m/>
    <m/>
    <m/>
    <m/>
    <n v="1"/>
    <n v="593"/>
    <n v="1"/>
    <n v="593"/>
    <n v="1"/>
    <n v="593"/>
    <n v="2.3719999999999999"/>
    <n v="0"/>
    <n v="0"/>
    <n v="0"/>
    <n v="2"/>
    <n v="1"/>
    <n v="593"/>
    <n v="0"/>
    <n v="99"/>
    <n v="0"/>
    <n v="0"/>
    <n v="0"/>
    <n v="0"/>
    <n v="0"/>
    <n v="0"/>
    <n v="1"/>
    <n v="0"/>
    <n v="0"/>
    <n v="0"/>
    <n v="0"/>
    <x v="0"/>
    <s v="Village"/>
    <x v="0"/>
    <n v="0"/>
    <n v="20.445030212402301"/>
    <n v="93.312812805175795"/>
    <n v="197090"/>
    <x v="0"/>
    <m/>
  </r>
  <r>
    <x v="0"/>
    <x v="3"/>
    <x v="3"/>
    <s v="EU"/>
    <x v="1"/>
    <x v="11"/>
    <x v="0"/>
    <x v="109"/>
    <n v="139"/>
    <n v="585"/>
    <d v="2017-01-01T00:00:00"/>
    <d v="2021-12-21T00:00:00"/>
    <m/>
    <m/>
    <n v="3"/>
    <n v="69"/>
    <n v="1"/>
    <m/>
    <m/>
    <m/>
    <m/>
    <n v="54"/>
    <x v="3"/>
    <m/>
    <m/>
    <m/>
    <m/>
    <m/>
    <m/>
    <m/>
    <m/>
    <m/>
    <m/>
    <m/>
    <m/>
    <m/>
    <m/>
    <m/>
    <m/>
    <m/>
    <m/>
    <m/>
    <m/>
    <m/>
    <m/>
    <n v="1"/>
    <n v="585"/>
    <n v="1"/>
    <n v="585"/>
    <n v="1"/>
    <n v="585"/>
    <n v="2.34"/>
    <n v="0"/>
    <n v="0"/>
    <n v="0"/>
    <n v="2"/>
    <n v="0.55384615384615388"/>
    <n v="324"/>
    <n v="0"/>
    <n v="98"/>
    <n v="44"/>
    <n v="0.44615384615384612"/>
    <n v="0"/>
    <n v="0"/>
    <n v="0"/>
    <n v="0"/>
    <n v="1"/>
    <n v="0"/>
    <n v="0"/>
    <n v="0"/>
    <n v="0"/>
    <x v="0"/>
    <s v="Village"/>
    <x v="0"/>
    <n v="0"/>
    <n v="20.466840744018601"/>
    <n v="93.304931640625"/>
    <n v="197149"/>
    <x v="0"/>
    <m/>
  </r>
  <r>
    <x v="0"/>
    <x v="3"/>
    <x v="3"/>
    <s v="EU"/>
    <x v="1"/>
    <x v="11"/>
    <x v="0"/>
    <x v="110"/>
    <n v="408"/>
    <n v="2009"/>
    <d v="2017-01-01T00:00:00"/>
    <d v="2021-12-21T00:00:00"/>
    <m/>
    <m/>
    <n v="1"/>
    <n v="14"/>
    <n v="1"/>
    <m/>
    <m/>
    <m/>
    <m/>
    <n v="20"/>
    <x v="3"/>
    <m/>
    <m/>
    <m/>
    <m/>
    <m/>
    <m/>
    <m/>
    <m/>
    <m/>
    <m/>
    <m/>
    <m/>
    <m/>
    <m/>
    <m/>
    <m/>
    <m/>
    <m/>
    <m/>
    <m/>
    <m/>
    <m/>
    <n v="1"/>
    <n v="2009"/>
    <n v="1"/>
    <n v="2009"/>
    <n v="1"/>
    <n v="2009"/>
    <n v="8.0359999999999996"/>
    <n v="0"/>
    <n v="0"/>
    <n v="0"/>
    <n v="8"/>
    <n v="5.9731209556993528E-2"/>
    <n v="120"/>
    <n v="0"/>
    <n v="335"/>
    <n v="315"/>
    <n v="0.94026879044300649"/>
    <n v="0"/>
    <n v="0"/>
    <n v="0"/>
    <n v="0"/>
    <n v="1"/>
    <n v="0"/>
    <n v="0"/>
    <n v="0"/>
    <n v="0"/>
    <x v="0"/>
    <s v="Village"/>
    <x v="1"/>
    <s v="Muslim"/>
    <n v="20.480898"/>
    <n v="93.299485000000004"/>
    <s v="MMR012CMP006"/>
    <x v="0"/>
    <m/>
  </r>
  <r>
    <x v="0"/>
    <x v="3"/>
    <x v="3"/>
    <s v="EU"/>
    <x v="1"/>
    <x v="11"/>
    <x v="0"/>
    <x v="111"/>
    <n v="47"/>
    <n v="190"/>
    <d v="2017-01-01T00:00:00"/>
    <d v="2021-12-21T00:00:00"/>
    <m/>
    <m/>
    <n v="3"/>
    <n v="60"/>
    <n v="2"/>
    <m/>
    <m/>
    <m/>
    <m/>
    <n v="43"/>
    <x v="3"/>
    <m/>
    <m/>
    <m/>
    <m/>
    <m/>
    <m/>
    <m/>
    <m/>
    <m/>
    <m/>
    <m/>
    <m/>
    <m/>
    <m/>
    <m/>
    <m/>
    <m/>
    <m/>
    <m/>
    <m/>
    <m/>
    <m/>
    <n v="1"/>
    <n v="190"/>
    <n v="1"/>
    <n v="190"/>
    <n v="1"/>
    <n v="190"/>
    <n v="0.76"/>
    <n v="0"/>
    <n v="0"/>
    <n v="0.24"/>
    <n v="1"/>
    <n v="1"/>
    <n v="190"/>
    <n v="0"/>
    <n v="32"/>
    <n v="0"/>
    <n v="0"/>
    <n v="0"/>
    <n v="0"/>
    <n v="0"/>
    <n v="0"/>
    <n v="1"/>
    <n v="0"/>
    <n v="0"/>
    <n v="0"/>
    <n v="0"/>
    <x v="0"/>
    <s v="Village"/>
    <x v="0"/>
    <n v="0"/>
    <n v="0"/>
    <n v="0"/>
    <n v="0"/>
    <x v="0"/>
    <m/>
  </r>
  <r>
    <x v="0"/>
    <x v="3"/>
    <x v="3"/>
    <s v="EU"/>
    <x v="1"/>
    <x v="11"/>
    <x v="0"/>
    <x v="112"/>
    <n v="150"/>
    <n v="532"/>
    <d v="2017-01-01T00:00:00"/>
    <d v="2021-12-21T00:00:00"/>
    <m/>
    <m/>
    <n v="0"/>
    <n v="84"/>
    <n v="2"/>
    <m/>
    <m/>
    <m/>
    <m/>
    <n v="45"/>
    <x v="3"/>
    <m/>
    <m/>
    <m/>
    <m/>
    <m/>
    <m/>
    <m/>
    <m/>
    <m/>
    <m/>
    <m/>
    <m/>
    <m/>
    <m/>
    <m/>
    <m/>
    <m/>
    <m/>
    <m/>
    <m/>
    <m/>
    <m/>
    <n v="1"/>
    <n v="532"/>
    <n v="1"/>
    <n v="532"/>
    <n v="1"/>
    <n v="532"/>
    <n v="2.1280000000000001"/>
    <n v="0"/>
    <n v="0"/>
    <n v="0"/>
    <n v="2"/>
    <n v="0.50751879699248126"/>
    <n v="270.00000000000006"/>
    <n v="0"/>
    <n v="89"/>
    <n v="44"/>
    <n v="0.49248120300751874"/>
    <n v="0"/>
    <n v="0"/>
    <n v="0"/>
    <n v="0"/>
    <n v="1"/>
    <n v="0"/>
    <n v="0"/>
    <n v="0"/>
    <n v="0"/>
    <x v="0"/>
    <s v="Village"/>
    <x v="0"/>
    <n v="0"/>
    <n v="20.440990447998001"/>
    <n v="93.336273193359403"/>
    <n v="197092"/>
    <x v="0"/>
    <m/>
  </r>
  <r>
    <x v="0"/>
    <x v="3"/>
    <x v="3"/>
    <s v="EU"/>
    <x v="1"/>
    <x v="11"/>
    <x v="0"/>
    <x v="113"/>
    <n v="142"/>
    <n v="542"/>
    <d v="2017-01-01T00:00:00"/>
    <d v="2021-12-21T00:00:00"/>
    <m/>
    <m/>
    <n v="11"/>
    <n v="65"/>
    <n v="2"/>
    <m/>
    <m/>
    <m/>
    <m/>
    <n v="56"/>
    <x v="3"/>
    <m/>
    <m/>
    <m/>
    <m/>
    <m/>
    <m/>
    <m/>
    <m/>
    <m/>
    <m/>
    <m/>
    <m/>
    <m/>
    <m/>
    <m/>
    <m/>
    <m/>
    <m/>
    <m/>
    <m/>
    <m/>
    <m/>
    <n v="1"/>
    <n v="542"/>
    <n v="1"/>
    <n v="542"/>
    <n v="1"/>
    <n v="542"/>
    <n v="2.1680000000000001"/>
    <n v="0"/>
    <n v="0"/>
    <n v="0"/>
    <n v="2"/>
    <n v="0.61992619926199266"/>
    <n v="336"/>
    <n v="0"/>
    <n v="90"/>
    <n v="34"/>
    <n v="0.38007380073800734"/>
    <n v="0"/>
    <n v="0"/>
    <n v="0"/>
    <n v="0"/>
    <n v="1"/>
    <n v="0"/>
    <n v="0"/>
    <n v="0"/>
    <n v="0"/>
    <x v="0"/>
    <s v="Village"/>
    <x v="0"/>
    <n v="0"/>
    <n v="20.438470840454102"/>
    <n v="93.344322204589801"/>
    <n v="197100"/>
    <x v="0"/>
    <m/>
  </r>
  <r>
    <x v="0"/>
    <x v="3"/>
    <x v="3"/>
    <s v="EU"/>
    <x v="1"/>
    <x v="11"/>
    <x v="0"/>
    <x v="114"/>
    <n v="290"/>
    <n v="1314"/>
    <d v="2017-01-01T00:00:00"/>
    <d v="2021-12-21T00:00:00"/>
    <m/>
    <m/>
    <n v="7"/>
    <n v="135"/>
    <n v="3"/>
    <m/>
    <m/>
    <m/>
    <m/>
    <n v="159"/>
    <x v="3"/>
    <m/>
    <m/>
    <m/>
    <m/>
    <m/>
    <m/>
    <m/>
    <m/>
    <m/>
    <m/>
    <m/>
    <m/>
    <m/>
    <m/>
    <m/>
    <m/>
    <m/>
    <m/>
    <m/>
    <m/>
    <m/>
    <m/>
    <n v="1"/>
    <n v="1314"/>
    <n v="1"/>
    <n v="1314"/>
    <n v="1"/>
    <n v="1314"/>
    <n v="5.2560000000000002"/>
    <n v="0"/>
    <n v="0"/>
    <n v="0"/>
    <n v="5"/>
    <n v="0.72602739726027399"/>
    <n v="954"/>
    <n v="0"/>
    <n v="219"/>
    <n v="60"/>
    <n v="0.27397260273972601"/>
    <n v="0"/>
    <n v="0"/>
    <n v="0"/>
    <n v="0"/>
    <n v="1"/>
    <n v="0"/>
    <n v="0"/>
    <n v="0"/>
    <n v="0"/>
    <x v="0"/>
    <s v="Village"/>
    <x v="0"/>
    <n v="0"/>
    <n v="20.424299240112301"/>
    <n v="93.337341308593807"/>
    <n v="197099"/>
    <x v="0"/>
    <m/>
  </r>
  <r>
    <x v="0"/>
    <x v="3"/>
    <x v="3"/>
    <s v="EU"/>
    <x v="1"/>
    <x v="11"/>
    <x v="0"/>
    <x v="115"/>
    <n v="215"/>
    <n v="1125"/>
    <d v="2017-01-01T00:00:00"/>
    <d v="2021-12-21T00:00:00"/>
    <m/>
    <m/>
    <n v="0"/>
    <n v="40"/>
    <n v="1"/>
    <m/>
    <m/>
    <m/>
    <m/>
    <n v="36"/>
    <x v="3"/>
    <m/>
    <m/>
    <m/>
    <m/>
    <m/>
    <m/>
    <m/>
    <m/>
    <m/>
    <m/>
    <m/>
    <m/>
    <m/>
    <m/>
    <m/>
    <m/>
    <m/>
    <m/>
    <m/>
    <m/>
    <m/>
    <m/>
    <n v="1"/>
    <n v="1125"/>
    <n v="1"/>
    <n v="1125"/>
    <n v="1"/>
    <n v="1125"/>
    <n v="4.5"/>
    <n v="0"/>
    <n v="0"/>
    <n v="0.5"/>
    <n v="5"/>
    <n v="0.192"/>
    <n v="216"/>
    <n v="0"/>
    <n v="188"/>
    <n v="152"/>
    <n v="0.80800000000000005"/>
    <n v="0"/>
    <n v="0"/>
    <n v="0"/>
    <n v="0"/>
    <n v="1"/>
    <n v="0"/>
    <n v="0"/>
    <n v="0"/>
    <n v="0"/>
    <x v="0"/>
    <s v="Village"/>
    <x v="0"/>
    <n v="0"/>
    <n v="20.470190048217798"/>
    <n v="93.3311767578125"/>
    <n v="197102"/>
    <x v="0"/>
    <m/>
  </r>
  <r>
    <x v="0"/>
    <x v="3"/>
    <x v="3"/>
    <s v="EU"/>
    <x v="1"/>
    <x v="11"/>
    <x v="0"/>
    <x v="116"/>
    <n v="181"/>
    <n v="940"/>
    <d v="2017-01-01T00:00:00"/>
    <d v="2021-12-21T00:00:00"/>
    <m/>
    <m/>
    <n v="0"/>
    <n v="78"/>
    <n v="2"/>
    <m/>
    <m/>
    <m/>
    <m/>
    <n v="88"/>
    <x v="3"/>
    <m/>
    <m/>
    <m/>
    <m/>
    <m/>
    <m/>
    <m/>
    <m/>
    <m/>
    <m/>
    <m/>
    <m/>
    <m/>
    <m/>
    <m/>
    <m/>
    <m/>
    <m/>
    <m/>
    <m/>
    <m/>
    <m/>
    <n v="1"/>
    <n v="940"/>
    <n v="1"/>
    <n v="940"/>
    <n v="1"/>
    <n v="940"/>
    <n v="3.76"/>
    <n v="0"/>
    <n v="0"/>
    <n v="0.24000000000000021"/>
    <n v="4"/>
    <n v="0.5617021276595745"/>
    <n v="528"/>
    <n v="0"/>
    <n v="157"/>
    <n v="69"/>
    <n v="0.4382978723404255"/>
    <n v="0"/>
    <n v="0"/>
    <n v="0"/>
    <n v="0"/>
    <n v="1"/>
    <n v="0"/>
    <n v="0"/>
    <n v="0"/>
    <n v="0"/>
    <x v="0"/>
    <s v="Village"/>
    <x v="0"/>
    <n v="0"/>
    <n v="20.494003295898398"/>
    <n v="93.324035644531307"/>
    <n v="220651"/>
    <x v="0"/>
    <m/>
  </r>
  <r>
    <x v="0"/>
    <x v="3"/>
    <x v="3"/>
    <s v="EU"/>
    <x v="1"/>
    <x v="11"/>
    <x v="0"/>
    <x v="117"/>
    <n v="170"/>
    <n v="743"/>
    <d v="2017-01-01T00:00:00"/>
    <d v="2021-12-21T00:00:00"/>
    <m/>
    <m/>
    <n v="14"/>
    <n v="69"/>
    <n v="3"/>
    <m/>
    <m/>
    <m/>
    <m/>
    <n v="71"/>
    <x v="3"/>
    <m/>
    <m/>
    <m/>
    <m/>
    <m/>
    <m/>
    <m/>
    <m/>
    <m/>
    <m/>
    <m/>
    <m/>
    <m/>
    <m/>
    <m/>
    <m/>
    <m/>
    <m/>
    <m/>
    <m/>
    <m/>
    <m/>
    <n v="1"/>
    <n v="743"/>
    <n v="1"/>
    <n v="743"/>
    <n v="1"/>
    <n v="743"/>
    <n v="2.972"/>
    <n v="0"/>
    <n v="0"/>
    <n v="2.8000000000000025E-2"/>
    <n v="3"/>
    <n v="0.57335127860026913"/>
    <n v="425.99999999999994"/>
    <n v="0"/>
    <n v="124"/>
    <n v="53"/>
    <n v="0.42664872139973087"/>
    <n v="0"/>
    <n v="0"/>
    <n v="0"/>
    <n v="0"/>
    <n v="1"/>
    <n v="0"/>
    <n v="0"/>
    <n v="0"/>
    <n v="0"/>
    <x v="0"/>
    <s v="Village"/>
    <x v="0"/>
    <n v="0"/>
    <n v="20.476139068603501"/>
    <n v="93.338516235351605"/>
    <n v="197103"/>
    <x v="0"/>
    <m/>
  </r>
  <r>
    <x v="0"/>
    <x v="3"/>
    <x v="3"/>
    <s v="EU"/>
    <x v="1"/>
    <x v="11"/>
    <x v="0"/>
    <x v="118"/>
    <n v="121"/>
    <n v="421"/>
    <d v="2017-01-01T00:00:00"/>
    <d v="2021-12-21T00:00:00"/>
    <m/>
    <m/>
    <n v="0"/>
    <n v="98"/>
    <n v="2"/>
    <m/>
    <m/>
    <m/>
    <m/>
    <n v="112"/>
    <x v="3"/>
    <m/>
    <m/>
    <m/>
    <m/>
    <m/>
    <m/>
    <m/>
    <m/>
    <m/>
    <m/>
    <m/>
    <m/>
    <m/>
    <m/>
    <m/>
    <m/>
    <m/>
    <m/>
    <m/>
    <m/>
    <m/>
    <m/>
    <n v="1"/>
    <n v="421"/>
    <n v="1"/>
    <n v="421"/>
    <n v="1"/>
    <n v="421"/>
    <n v="1.6839999999999999"/>
    <n v="0"/>
    <n v="0"/>
    <n v="0.31600000000000006"/>
    <n v="2"/>
    <n v="1"/>
    <n v="421"/>
    <n v="0"/>
    <n v="70"/>
    <n v="0"/>
    <n v="0"/>
    <n v="0"/>
    <n v="0"/>
    <n v="0"/>
    <n v="0"/>
    <n v="1"/>
    <n v="0"/>
    <n v="0"/>
    <n v="0"/>
    <n v="0"/>
    <x v="0"/>
    <s v="Village"/>
    <x v="0"/>
    <s v="Mixed"/>
    <n v="20.394809720000001"/>
    <n v="93.251609799999997"/>
    <n v="196994"/>
    <x v="0"/>
    <m/>
  </r>
  <r>
    <x v="0"/>
    <x v="3"/>
    <x v="3"/>
    <s v="EU"/>
    <x v="1"/>
    <x v="11"/>
    <x v="0"/>
    <x v="119"/>
    <n v="203"/>
    <n v="1118"/>
    <d v="2017-01-01T00:00:00"/>
    <d v="2021-12-21T00:00:00"/>
    <m/>
    <m/>
    <n v="18"/>
    <n v="111"/>
    <n v="2"/>
    <m/>
    <m/>
    <m/>
    <m/>
    <n v="97"/>
    <x v="3"/>
    <m/>
    <m/>
    <m/>
    <m/>
    <m/>
    <m/>
    <m/>
    <m/>
    <m/>
    <m/>
    <m/>
    <m/>
    <m/>
    <m/>
    <m/>
    <m/>
    <m/>
    <m/>
    <m/>
    <m/>
    <m/>
    <m/>
    <n v="1"/>
    <n v="1118"/>
    <n v="1"/>
    <n v="1118"/>
    <n v="1"/>
    <n v="1118"/>
    <n v="4.4720000000000004"/>
    <n v="0"/>
    <n v="0"/>
    <n v="0"/>
    <n v="4"/>
    <n v="0.52057245080500891"/>
    <n v="582"/>
    <n v="0"/>
    <n v="186"/>
    <n v="89"/>
    <n v="0.47942754919499109"/>
    <n v="0"/>
    <n v="0"/>
    <n v="0"/>
    <n v="0"/>
    <n v="1"/>
    <n v="0"/>
    <n v="0"/>
    <n v="0"/>
    <n v="0"/>
    <x v="0"/>
    <s v="Village"/>
    <x v="0"/>
    <n v="0"/>
    <n v="20.391029357910199"/>
    <n v="93.257637023925795"/>
    <n v="196997"/>
    <x v="0"/>
    <m/>
  </r>
  <r>
    <x v="0"/>
    <x v="3"/>
    <x v="3"/>
    <s v="EU"/>
    <x v="1"/>
    <x v="11"/>
    <x v="0"/>
    <x v="120"/>
    <n v="31"/>
    <n v="170"/>
    <d v="2017-01-01T00:00:00"/>
    <d v="2021-12-21T00:00:00"/>
    <m/>
    <m/>
    <n v="0"/>
    <n v="54"/>
    <n v="4"/>
    <m/>
    <m/>
    <m/>
    <m/>
    <n v="154"/>
    <x v="3"/>
    <m/>
    <m/>
    <m/>
    <m/>
    <m/>
    <m/>
    <m/>
    <m/>
    <m/>
    <m/>
    <m/>
    <m/>
    <m/>
    <m/>
    <m/>
    <m/>
    <m/>
    <m/>
    <m/>
    <m/>
    <m/>
    <m/>
    <n v="1"/>
    <n v="170"/>
    <n v="1"/>
    <n v="170"/>
    <n v="1"/>
    <n v="170"/>
    <n v="0.68"/>
    <n v="0"/>
    <n v="0"/>
    <n v="0.31999999999999995"/>
    <n v="1"/>
    <n v="1"/>
    <n v="170"/>
    <n v="0"/>
    <n v="28"/>
    <n v="0"/>
    <n v="0"/>
    <n v="0"/>
    <n v="0"/>
    <n v="0"/>
    <n v="0"/>
    <n v="1"/>
    <n v="0"/>
    <n v="0"/>
    <n v="0"/>
    <n v="0"/>
    <x v="0"/>
    <s v="Village"/>
    <x v="0"/>
    <s v="Rakhine"/>
    <n v="20.396680830000001"/>
    <n v="93.252868649999996"/>
    <n v="196998"/>
    <x v="0"/>
    <m/>
  </r>
  <r>
    <x v="0"/>
    <x v="3"/>
    <x v="3"/>
    <s v="BMZ"/>
    <x v="1"/>
    <x v="11"/>
    <x v="0"/>
    <x v="121"/>
    <n v="180"/>
    <n v="964"/>
    <d v="2017-01-01T00:00:00"/>
    <d v="2021-12-21T00:00:00"/>
    <m/>
    <m/>
    <n v="3"/>
    <n v="76"/>
    <n v="3"/>
    <m/>
    <m/>
    <m/>
    <m/>
    <n v="116"/>
    <x v="3"/>
    <m/>
    <m/>
    <m/>
    <m/>
    <m/>
    <m/>
    <m/>
    <m/>
    <m/>
    <m/>
    <m/>
    <m/>
    <m/>
    <m/>
    <m/>
    <m/>
    <m/>
    <m/>
    <m/>
    <m/>
    <m/>
    <m/>
    <n v="1"/>
    <n v="964"/>
    <n v="1"/>
    <n v="964"/>
    <n v="1"/>
    <n v="964"/>
    <n v="3.8559999999999999"/>
    <n v="0"/>
    <n v="0"/>
    <n v="0.14400000000000013"/>
    <n v="4"/>
    <n v="0.72199170124481327"/>
    <n v="696"/>
    <n v="0"/>
    <n v="161"/>
    <n v="45"/>
    <n v="0.27800829875518673"/>
    <n v="0"/>
    <n v="0"/>
    <n v="0"/>
    <n v="0"/>
    <n v="1"/>
    <n v="0"/>
    <n v="0"/>
    <n v="0"/>
    <n v="0"/>
    <x v="0"/>
    <s v="Village"/>
    <x v="0"/>
    <n v="0"/>
    <n v="20.410079956054702"/>
    <n v="93.37109375"/>
    <n v="197114"/>
    <x v="0"/>
    <m/>
  </r>
  <r>
    <x v="0"/>
    <x v="3"/>
    <x v="3"/>
    <s v="BMZ"/>
    <x v="1"/>
    <x v="11"/>
    <x v="0"/>
    <x v="122"/>
    <n v="130"/>
    <n v="398"/>
    <d v="2017-01-01T00:00:00"/>
    <d v="2021-12-21T00:00:00"/>
    <m/>
    <m/>
    <n v="43"/>
    <n v="48"/>
    <n v="2"/>
    <m/>
    <m/>
    <m/>
    <m/>
    <n v="78"/>
    <x v="3"/>
    <m/>
    <m/>
    <m/>
    <m/>
    <m/>
    <m/>
    <m/>
    <m/>
    <m/>
    <m/>
    <m/>
    <m/>
    <m/>
    <m/>
    <m/>
    <m/>
    <m/>
    <m/>
    <m/>
    <m/>
    <m/>
    <m/>
    <n v="1"/>
    <n v="398"/>
    <n v="1"/>
    <n v="398"/>
    <n v="1"/>
    <n v="398"/>
    <n v="1.5920000000000001"/>
    <n v="0"/>
    <n v="0"/>
    <n v="0.40799999999999992"/>
    <n v="2"/>
    <n v="1"/>
    <n v="398"/>
    <n v="0"/>
    <n v="66"/>
    <n v="0"/>
    <n v="0"/>
    <n v="0"/>
    <n v="0"/>
    <n v="0"/>
    <n v="0"/>
    <n v="1"/>
    <n v="0"/>
    <n v="0"/>
    <n v="0"/>
    <n v="0"/>
    <x v="0"/>
    <s v="Village"/>
    <x v="0"/>
    <n v="0"/>
    <n v="20.382389068603501"/>
    <n v="93.373863220214801"/>
    <n v="197111"/>
    <x v="0"/>
    <m/>
  </r>
  <r>
    <x v="0"/>
    <x v="3"/>
    <x v="3"/>
    <s v="BMZ"/>
    <x v="1"/>
    <x v="11"/>
    <x v="0"/>
    <x v="123"/>
    <n v="191"/>
    <n v="713"/>
    <d v="2017-01-01T00:00:00"/>
    <d v="2021-12-21T00:00:00"/>
    <m/>
    <m/>
    <n v="11"/>
    <n v="93"/>
    <n v="2"/>
    <m/>
    <m/>
    <m/>
    <m/>
    <n v="89"/>
    <x v="3"/>
    <m/>
    <m/>
    <m/>
    <m/>
    <m/>
    <m/>
    <m/>
    <m/>
    <m/>
    <m/>
    <m/>
    <m/>
    <m/>
    <m/>
    <m/>
    <m/>
    <m/>
    <m/>
    <m/>
    <m/>
    <m/>
    <m/>
    <n v="1"/>
    <n v="713"/>
    <n v="1"/>
    <n v="713"/>
    <n v="1"/>
    <n v="713"/>
    <n v="2.8519999999999999"/>
    <n v="0"/>
    <n v="0"/>
    <n v="0.14800000000000013"/>
    <n v="3"/>
    <n v="0.74894810659186539"/>
    <n v="534"/>
    <n v="0"/>
    <n v="119"/>
    <n v="30"/>
    <n v="0.25105189340813461"/>
    <n v="0"/>
    <n v="0"/>
    <n v="0"/>
    <n v="0"/>
    <n v="1"/>
    <n v="0"/>
    <n v="0"/>
    <n v="0"/>
    <n v="0"/>
    <x v="0"/>
    <s v="Village"/>
    <x v="0"/>
    <n v="0"/>
    <n v="20.389610290527301"/>
    <n v="93.371490478515597"/>
    <n v="197112"/>
    <x v="0"/>
    <m/>
  </r>
  <r>
    <x v="0"/>
    <x v="3"/>
    <x v="3"/>
    <s v="BMZ"/>
    <x v="1"/>
    <x v="11"/>
    <x v="0"/>
    <x v="124"/>
    <n v="27"/>
    <n v="53"/>
    <d v="2017-01-01T00:00:00"/>
    <d v="2021-12-21T00:00:00"/>
    <m/>
    <m/>
    <n v="2"/>
    <n v="23"/>
    <n v="1"/>
    <m/>
    <m/>
    <m/>
    <m/>
    <n v="22"/>
    <x v="3"/>
    <m/>
    <m/>
    <m/>
    <m/>
    <m/>
    <m/>
    <m/>
    <m/>
    <m/>
    <m/>
    <m/>
    <m/>
    <m/>
    <m/>
    <m/>
    <m/>
    <m/>
    <m/>
    <m/>
    <m/>
    <m/>
    <m/>
    <n v="1"/>
    <n v="53"/>
    <n v="1"/>
    <n v="53"/>
    <n v="1"/>
    <n v="53"/>
    <n v="0.21199999999999999"/>
    <n v="0"/>
    <n v="0"/>
    <n v="0.78800000000000003"/>
    <n v="1"/>
    <n v="1"/>
    <n v="53"/>
    <n v="0"/>
    <n v="9"/>
    <n v="0"/>
    <n v="0"/>
    <n v="0"/>
    <n v="0"/>
    <n v="0"/>
    <n v="0"/>
    <n v="1"/>
    <n v="0"/>
    <n v="0"/>
    <n v="0"/>
    <n v="0"/>
    <x v="0"/>
    <s v="Village"/>
    <x v="0"/>
    <n v="0"/>
    <n v="20.384975433349599"/>
    <n v="93.373054504394503"/>
    <n v="220653"/>
    <x v="0"/>
    <m/>
  </r>
  <r>
    <x v="0"/>
    <x v="3"/>
    <x v="3"/>
    <s v="BMZ"/>
    <x v="1"/>
    <x v="11"/>
    <x v="0"/>
    <x v="125"/>
    <n v="63"/>
    <n v="249"/>
    <d v="2017-01-01T00:00:00"/>
    <d v="2021-12-21T00:00:00"/>
    <m/>
    <m/>
    <n v="0"/>
    <n v="88"/>
    <n v="2"/>
    <m/>
    <m/>
    <m/>
    <m/>
    <n v="108"/>
    <x v="3"/>
    <m/>
    <m/>
    <m/>
    <m/>
    <m/>
    <m/>
    <m/>
    <m/>
    <m/>
    <m/>
    <m/>
    <m/>
    <m/>
    <m/>
    <m/>
    <m/>
    <m/>
    <m/>
    <m/>
    <m/>
    <m/>
    <m/>
    <n v="1"/>
    <n v="249"/>
    <n v="1"/>
    <n v="249"/>
    <n v="1"/>
    <n v="249"/>
    <n v="0.996"/>
    <n v="0"/>
    <n v="0"/>
    <n v="4.0000000000000036E-3"/>
    <n v="1"/>
    <n v="1"/>
    <n v="249"/>
    <n v="0"/>
    <n v="42"/>
    <n v="0"/>
    <n v="0"/>
    <n v="0"/>
    <n v="0"/>
    <n v="0"/>
    <n v="0"/>
    <n v="1"/>
    <n v="0"/>
    <n v="0"/>
    <n v="0"/>
    <n v="0"/>
    <x v="0"/>
    <s v="Village"/>
    <x v="0"/>
    <n v="0"/>
    <n v="0"/>
    <n v="0"/>
    <n v="197110"/>
    <x v="0"/>
    <m/>
  </r>
  <r>
    <x v="0"/>
    <x v="5"/>
    <x v="5"/>
    <s v="UNICEF"/>
    <x v="1"/>
    <x v="12"/>
    <x v="0"/>
    <x v="126"/>
    <n v="40"/>
    <n v="217"/>
    <d v="2019-03-06T00:00:00"/>
    <d v="2020-04-30T00:00:00"/>
    <n v="107"/>
    <m/>
    <m/>
    <n v="8"/>
    <m/>
    <m/>
    <m/>
    <n v="2"/>
    <m/>
    <n v="40"/>
    <x v="1"/>
    <n v="2"/>
    <m/>
    <m/>
    <n v="1"/>
    <m/>
    <m/>
    <n v="41"/>
    <n v="145"/>
    <n v="72"/>
    <n v="114"/>
    <n v="56"/>
    <n v="51"/>
    <n v="40"/>
    <n v="1"/>
    <n v="40"/>
    <n v="80"/>
    <m/>
    <n v="1"/>
    <n v="1"/>
    <m/>
    <m/>
    <m/>
    <n v="1"/>
    <n v="217"/>
    <n v="0"/>
    <n v="0"/>
    <n v="1"/>
    <n v="217"/>
    <n v="0.86799999999999999"/>
    <n v="0"/>
    <n v="0"/>
    <n v="0.13200000000000001"/>
    <n v="1"/>
    <n v="1"/>
    <n v="217"/>
    <n v="100"/>
    <n v="36"/>
    <n v="0"/>
    <n v="0"/>
    <n v="217"/>
    <n v="217"/>
    <n v="217"/>
    <n v="1"/>
    <n v="0"/>
    <n v="1"/>
    <n v="217"/>
    <n v="80"/>
    <n v="217"/>
    <x v="1"/>
    <s v="Village"/>
    <x v="2"/>
    <s v="Rakhine"/>
    <n v="20.041981"/>
    <n v="93.373951000000005"/>
    <s v="MMR012CMP013"/>
    <x v="0"/>
    <m/>
  </r>
  <r>
    <x v="0"/>
    <x v="6"/>
    <x v="6"/>
    <s v="DFID/HARP"/>
    <x v="1"/>
    <x v="10"/>
    <x v="0"/>
    <x v="127"/>
    <n v="249"/>
    <n v="1362"/>
    <d v="2017-10-01T00:00:00"/>
    <d v="2020-09-30T00:00:00"/>
    <m/>
    <n v="0"/>
    <m/>
    <m/>
    <m/>
    <m/>
    <m/>
    <m/>
    <m/>
    <m/>
    <x v="0"/>
    <m/>
    <m/>
    <m/>
    <m/>
    <m/>
    <m/>
    <m/>
    <m/>
    <m/>
    <m/>
    <m/>
    <m/>
    <m/>
    <m/>
    <m/>
    <m/>
    <m/>
    <m/>
    <m/>
    <m/>
    <m/>
    <m/>
    <n v="0"/>
    <n v="0"/>
    <n v="0"/>
    <n v="0"/>
    <n v="0"/>
    <n v="0"/>
    <n v="0"/>
    <n v="1"/>
    <n v="1362"/>
    <n v="5"/>
    <n v="5"/>
    <n v="0"/>
    <n v="0"/>
    <n v="0"/>
    <n v="227"/>
    <n v="227"/>
    <n v="1"/>
    <n v="0"/>
    <n v="0"/>
    <n v="0"/>
    <n v="0"/>
    <n v="1"/>
    <n v="0"/>
    <n v="0"/>
    <n v="0"/>
    <n v="0"/>
    <x v="0"/>
    <s v="Village"/>
    <x v="2"/>
    <s v="Rakhine"/>
    <n v="20.151471999999998"/>
    <n v="92.887277999999995"/>
    <s v="MMR012CMP111"/>
    <x v="0"/>
    <m/>
  </r>
  <r>
    <x v="0"/>
    <x v="4"/>
    <x v="4"/>
    <s v="DFID/HARP"/>
    <x v="1"/>
    <x v="10"/>
    <x v="0"/>
    <x v="128"/>
    <n v="420"/>
    <n v="2179"/>
    <d v="2017-10-01T00:00:00"/>
    <d v="2020-09-30T00:00:00"/>
    <m/>
    <n v="0"/>
    <m/>
    <m/>
    <m/>
    <m/>
    <m/>
    <m/>
    <m/>
    <m/>
    <x v="0"/>
    <m/>
    <m/>
    <m/>
    <m/>
    <m/>
    <m/>
    <m/>
    <n v="25"/>
    <m/>
    <n v="30"/>
    <m/>
    <m/>
    <m/>
    <m/>
    <m/>
    <m/>
    <m/>
    <m/>
    <m/>
    <m/>
    <m/>
    <m/>
    <n v="0"/>
    <n v="0"/>
    <n v="0"/>
    <n v="0"/>
    <n v="0"/>
    <n v="0"/>
    <n v="0"/>
    <n v="1"/>
    <n v="2179"/>
    <n v="9"/>
    <n v="9"/>
    <n v="0"/>
    <n v="0"/>
    <n v="0"/>
    <n v="363"/>
    <n v="363"/>
    <n v="1"/>
    <n v="55"/>
    <n v="0"/>
    <n v="55"/>
    <n v="2.5240936209270308E-2"/>
    <n v="0.97475906379072974"/>
    <n v="2.5240936209270308E-2"/>
    <n v="0"/>
    <n v="0"/>
    <n v="0"/>
    <x v="0"/>
    <s v="Village"/>
    <x v="2"/>
    <s v="Rakhine"/>
    <n v="20.151471999999998"/>
    <n v="92.887277999999995"/>
    <s v="MMR012CMP112"/>
    <x v="0"/>
    <m/>
  </r>
  <r>
    <x v="0"/>
    <x v="4"/>
    <x v="4"/>
    <s v="DFID/HARP"/>
    <x v="1"/>
    <x v="10"/>
    <x v="0"/>
    <x v="129"/>
    <n v="235"/>
    <n v="1390"/>
    <d v="2017-10-01T00:00:00"/>
    <d v="2020-09-30T00:00:00"/>
    <m/>
    <n v="0"/>
    <m/>
    <m/>
    <m/>
    <m/>
    <m/>
    <m/>
    <m/>
    <m/>
    <x v="0"/>
    <m/>
    <m/>
    <m/>
    <m/>
    <m/>
    <m/>
    <n v="257"/>
    <n v="828"/>
    <m/>
    <m/>
    <m/>
    <m/>
    <m/>
    <m/>
    <m/>
    <m/>
    <m/>
    <m/>
    <m/>
    <m/>
    <m/>
    <m/>
    <n v="0"/>
    <n v="0"/>
    <n v="0"/>
    <n v="0"/>
    <n v="0"/>
    <n v="0"/>
    <n v="0"/>
    <n v="1"/>
    <n v="1390"/>
    <n v="6"/>
    <n v="6"/>
    <n v="0"/>
    <n v="0"/>
    <n v="0"/>
    <n v="232"/>
    <n v="232"/>
    <n v="1"/>
    <n v="1085"/>
    <n v="0"/>
    <n v="1085"/>
    <n v="0.78057553956834536"/>
    <n v="0.21942446043165464"/>
    <n v="0.78057553956834536"/>
    <n v="0"/>
    <n v="0"/>
    <n v="0"/>
    <x v="0"/>
    <s v="Village"/>
    <x v="0"/>
    <s v="Muslim"/>
    <n v="20.19171906"/>
    <n v="92.808166499999999"/>
    <n v="196155"/>
    <x v="0"/>
    <m/>
  </r>
  <r>
    <x v="0"/>
    <x v="4"/>
    <x v="4"/>
    <s v="DFID/HARP"/>
    <x v="1"/>
    <x v="10"/>
    <x v="0"/>
    <x v="130"/>
    <n v="72"/>
    <n v="442"/>
    <d v="2017-10-01T00:00:00"/>
    <d v="2020-09-30T00:00:00"/>
    <m/>
    <n v="0"/>
    <m/>
    <m/>
    <m/>
    <m/>
    <m/>
    <m/>
    <m/>
    <m/>
    <x v="0"/>
    <m/>
    <m/>
    <m/>
    <m/>
    <m/>
    <m/>
    <n v="91"/>
    <n v="207"/>
    <n v="92"/>
    <n v="285"/>
    <m/>
    <m/>
    <m/>
    <m/>
    <m/>
    <m/>
    <m/>
    <m/>
    <m/>
    <m/>
    <m/>
    <m/>
    <n v="0"/>
    <n v="0"/>
    <n v="0"/>
    <n v="0"/>
    <n v="0"/>
    <n v="0"/>
    <n v="0"/>
    <n v="1"/>
    <n v="442"/>
    <n v="2"/>
    <n v="2"/>
    <n v="0"/>
    <n v="0"/>
    <n v="0"/>
    <n v="74"/>
    <n v="74"/>
    <n v="1"/>
    <n v="442"/>
    <n v="0"/>
    <n v="442"/>
    <n v="1"/>
    <n v="0"/>
    <n v="1"/>
    <n v="0"/>
    <n v="0"/>
    <n v="0"/>
    <x v="0"/>
    <s v="Village"/>
    <x v="2"/>
    <s v="Maramargyi"/>
    <n v="20.148584"/>
    <n v="92.880319999999998"/>
    <s v="MMR012CMP056"/>
    <x v="0"/>
    <m/>
  </r>
  <r>
    <x v="0"/>
    <x v="4"/>
    <x v="4"/>
    <s v="DFID/HARP"/>
    <x v="1"/>
    <x v="10"/>
    <x v="0"/>
    <x v="131"/>
    <n v="151"/>
    <n v="625"/>
    <d v="2017-10-01T00:00:00"/>
    <d v="2020-09-30T00:00:00"/>
    <m/>
    <n v="0"/>
    <m/>
    <m/>
    <m/>
    <m/>
    <m/>
    <m/>
    <m/>
    <m/>
    <x v="0"/>
    <m/>
    <m/>
    <m/>
    <m/>
    <m/>
    <m/>
    <n v="181"/>
    <n v="402"/>
    <n v="20"/>
    <n v="194"/>
    <m/>
    <m/>
    <m/>
    <m/>
    <m/>
    <m/>
    <m/>
    <m/>
    <m/>
    <m/>
    <m/>
    <m/>
    <n v="0"/>
    <n v="0"/>
    <n v="0"/>
    <n v="0"/>
    <n v="0"/>
    <n v="0"/>
    <n v="0"/>
    <n v="1"/>
    <n v="625"/>
    <n v="3"/>
    <n v="3"/>
    <n v="0"/>
    <n v="0"/>
    <n v="0"/>
    <n v="104"/>
    <n v="104"/>
    <n v="1"/>
    <n v="625"/>
    <n v="0"/>
    <n v="625"/>
    <n v="1"/>
    <n v="0"/>
    <n v="1"/>
    <n v="0"/>
    <n v="0"/>
    <n v="0"/>
    <x v="0"/>
    <s v="Village"/>
    <x v="2"/>
    <s v="Rakhine"/>
    <n v="20.155805999999998"/>
    <n v="92.879138999999995"/>
    <s v="MMR012CMP093"/>
    <x v="0"/>
    <m/>
  </r>
  <r>
    <x v="0"/>
    <x v="6"/>
    <x v="6"/>
    <s v="DFID/HARP"/>
    <x v="1"/>
    <x v="10"/>
    <x v="0"/>
    <x v="132"/>
    <n v="155"/>
    <n v="745"/>
    <d v="2017-10-01T00:00:00"/>
    <d v="2020-09-30T00:00:00"/>
    <m/>
    <n v="0"/>
    <m/>
    <n v="10"/>
    <m/>
    <m/>
    <m/>
    <m/>
    <m/>
    <n v="28"/>
    <x v="0"/>
    <m/>
    <m/>
    <m/>
    <m/>
    <m/>
    <m/>
    <n v="107"/>
    <n v="108"/>
    <n v="33"/>
    <n v="32"/>
    <m/>
    <m/>
    <m/>
    <m/>
    <m/>
    <m/>
    <m/>
    <m/>
    <m/>
    <m/>
    <m/>
    <m/>
    <n v="1"/>
    <n v="745"/>
    <n v="0"/>
    <n v="0"/>
    <n v="1"/>
    <n v="745"/>
    <n v="2.98"/>
    <n v="0"/>
    <n v="0"/>
    <n v="2.0000000000000018E-2"/>
    <n v="3"/>
    <n v="0.22550335570469798"/>
    <n v="168"/>
    <n v="0"/>
    <n v="124"/>
    <n v="96"/>
    <n v="0.77449664429530207"/>
    <n v="280"/>
    <n v="0"/>
    <n v="280"/>
    <n v="0.37583892617449666"/>
    <n v="0.62416107382550334"/>
    <n v="0.37583892617449666"/>
    <n v="0"/>
    <n v="0"/>
    <n v="0"/>
    <x v="0"/>
    <s v="Village"/>
    <x v="0"/>
    <s v="Rakhine"/>
    <n v="20.16259956"/>
    <n v="92.834457400000005"/>
    <n v="196210"/>
    <x v="0"/>
    <m/>
  </r>
  <r>
    <x v="0"/>
    <x v="6"/>
    <x v="6"/>
    <s v="DFID/HARP"/>
    <x v="1"/>
    <x v="10"/>
    <x v="0"/>
    <x v="133"/>
    <n v="758"/>
    <n v="5579"/>
    <d v="2017-10-01T00:00:00"/>
    <d v="2020-09-30T00:00:00"/>
    <m/>
    <n v="0"/>
    <m/>
    <n v="16"/>
    <m/>
    <m/>
    <m/>
    <m/>
    <m/>
    <n v="158"/>
    <x v="0"/>
    <m/>
    <m/>
    <m/>
    <m/>
    <m/>
    <m/>
    <n v="116"/>
    <n v="645"/>
    <n v="135"/>
    <n v="164"/>
    <m/>
    <m/>
    <m/>
    <m/>
    <n v="760"/>
    <m/>
    <m/>
    <n v="1"/>
    <m/>
    <m/>
    <m/>
    <m/>
    <n v="1"/>
    <n v="5579"/>
    <n v="0"/>
    <n v="0"/>
    <n v="1"/>
    <n v="5579"/>
    <n v="22.315999999999999"/>
    <n v="0"/>
    <n v="0"/>
    <n v="0"/>
    <n v="22"/>
    <n v="0.16992292525542213"/>
    <n v="948.00000000000011"/>
    <n v="0"/>
    <n v="930"/>
    <n v="772"/>
    <n v="0.83007707474457781"/>
    <n v="1060"/>
    <n v="0"/>
    <n v="5579"/>
    <n v="1"/>
    <n v="0"/>
    <n v="0.18999820756407959"/>
    <n v="5579"/>
    <n v="0"/>
    <n v="5579"/>
    <x v="0"/>
    <s v="Village"/>
    <x v="0"/>
    <s v="Muslim"/>
    <n v="20.15736008"/>
    <n v="92.838653559999997"/>
    <n v="196211"/>
    <x v="0"/>
    <m/>
  </r>
  <r>
    <x v="0"/>
    <x v="6"/>
    <x v="6"/>
    <s v="DFID/HARP"/>
    <x v="1"/>
    <x v="10"/>
    <x v="0"/>
    <x v="134"/>
    <n v="427"/>
    <n v="2427"/>
    <d v="2017-10-01T00:00:00"/>
    <d v="2020-09-30T00:00:00"/>
    <m/>
    <n v="0"/>
    <m/>
    <n v="18"/>
    <m/>
    <m/>
    <m/>
    <m/>
    <m/>
    <n v="35"/>
    <x v="0"/>
    <m/>
    <m/>
    <m/>
    <m/>
    <m/>
    <m/>
    <n v="122"/>
    <n v="287"/>
    <n v="591"/>
    <n v="566"/>
    <m/>
    <m/>
    <m/>
    <m/>
    <n v="423"/>
    <m/>
    <m/>
    <n v="0.92"/>
    <m/>
    <m/>
    <m/>
    <m/>
    <n v="1"/>
    <n v="2427"/>
    <n v="0"/>
    <n v="0"/>
    <n v="1"/>
    <n v="2427"/>
    <n v="9.7080000000000002"/>
    <n v="0"/>
    <n v="0"/>
    <n v="0.29199999999999982"/>
    <n v="10"/>
    <n v="8.6526576019777507E-2"/>
    <n v="210"/>
    <n v="0"/>
    <n v="405"/>
    <n v="370"/>
    <n v="0.91347342398022247"/>
    <n v="1566"/>
    <n v="0"/>
    <n v="2427"/>
    <n v="1"/>
    <n v="0"/>
    <n v="0.64524103831891222"/>
    <n v="2427"/>
    <n v="0"/>
    <n v="2427"/>
    <x v="0"/>
    <s v="Village"/>
    <x v="0"/>
    <s v="Muslim"/>
    <n v="20.147863431600001"/>
    <n v="92.846768572000002"/>
    <n v="196209"/>
    <x v="0"/>
    <m/>
  </r>
  <r>
    <x v="0"/>
    <x v="3"/>
    <x v="3"/>
    <s v="BMZ"/>
    <x v="1"/>
    <x v="10"/>
    <x v="0"/>
    <x v="135"/>
    <n v="452"/>
    <n v="1901"/>
    <d v="2017-01-01T00:00:00"/>
    <d v="2021-12-21T00:00:00"/>
    <m/>
    <m/>
    <m/>
    <m/>
    <m/>
    <m/>
    <m/>
    <m/>
    <m/>
    <m/>
    <x v="3"/>
    <m/>
    <m/>
    <m/>
    <m/>
    <m/>
    <m/>
    <m/>
    <m/>
    <m/>
    <m/>
    <m/>
    <m/>
    <m/>
    <m/>
    <m/>
    <m/>
    <m/>
    <m/>
    <m/>
    <m/>
    <m/>
    <m/>
    <n v="0"/>
    <n v="0"/>
    <n v="0"/>
    <n v="0"/>
    <n v="0"/>
    <n v="0"/>
    <n v="0"/>
    <n v="1"/>
    <n v="1901"/>
    <n v="8"/>
    <n v="8"/>
    <n v="0"/>
    <n v="0"/>
    <n v="0"/>
    <n v="317"/>
    <n v="317"/>
    <n v="1"/>
    <n v="0"/>
    <n v="0"/>
    <n v="0"/>
    <n v="0"/>
    <n v="1"/>
    <n v="0"/>
    <n v="0"/>
    <n v="0"/>
    <n v="0"/>
    <x v="0"/>
    <s v="Village"/>
    <x v="0"/>
    <n v="0"/>
    <n v="20.760820389999999"/>
    <n v="92.960083010000005"/>
    <n v="196893"/>
    <x v="0"/>
    <m/>
  </r>
  <r>
    <x v="0"/>
    <x v="4"/>
    <x v="4"/>
    <s v="DFID/HARP"/>
    <x v="1"/>
    <x v="10"/>
    <x v="0"/>
    <x v="136"/>
    <n v="17"/>
    <n v="74"/>
    <d v="2017-10-01T00:00:00"/>
    <d v="2020-09-30T00:00:00"/>
    <m/>
    <n v="0"/>
    <m/>
    <m/>
    <m/>
    <m/>
    <m/>
    <m/>
    <m/>
    <m/>
    <x v="0"/>
    <m/>
    <m/>
    <m/>
    <m/>
    <m/>
    <m/>
    <m/>
    <m/>
    <m/>
    <m/>
    <m/>
    <m/>
    <m/>
    <m/>
    <m/>
    <m/>
    <m/>
    <m/>
    <m/>
    <m/>
    <m/>
    <m/>
    <n v="0"/>
    <n v="0"/>
    <n v="0"/>
    <n v="0"/>
    <n v="0"/>
    <n v="0"/>
    <n v="0"/>
    <n v="1"/>
    <n v="74"/>
    <n v="1"/>
    <n v="1"/>
    <n v="0"/>
    <n v="0"/>
    <n v="0"/>
    <n v="12"/>
    <n v="12"/>
    <n v="1"/>
    <n v="0"/>
    <n v="0"/>
    <n v="0"/>
    <n v="0"/>
    <n v="1"/>
    <n v="0"/>
    <n v="0"/>
    <n v="0"/>
    <n v="0"/>
    <x v="0"/>
    <s v="Village"/>
    <x v="0"/>
    <s v="Muslim"/>
    <n v="20.193460460000001"/>
    <n v="92.867782590000004"/>
    <n v="196147"/>
    <x v="0"/>
    <m/>
  </r>
  <r>
    <x v="0"/>
    <x v="7"/>
    <x v="7"/>
    <s v="ECHO, OFDA, CDC"/>
    <x v="1"/>
    <x v="8"/>
    <x v="0"/>
    <x v="137"/>
    <n v="400"/>
    <n v="2050"/>
    <d v="2019-03-01T00:00:00"/>
    <s v=" 02/28/2021"/>
    <m/>
    <n v="62"/>
    <n v="0"/>
    <n v="0"/>
    <n v="1"/>
    <m/>
    <m/>
    <m/>
    <m/>
    <m/>
    <x v="3"/>
    <m/>
    <m/>
    <m/>
    <m/>
    <m/>
    <s v="data  about PSN should be provide by CMA "/>
    <n v="417"/>
    <n v="463"/>
    <n v="614"/>
    <n v="556"/>
    <n v="0"/>
    <n v="0"/>
    <n v="0"/>
    <n v="0"/>
    <n v="2050"/>
    <n v="1019"/>
    <s v="HP session od SI targeted the all population od ANYv 2050"/>
    <s v="NA"/>
    <s v="NA"/>
    <n v="0"/>
    <m/>
    <n v="0"/>
    <n v="0"/>
    <n v="0"/>
    <n v="1"/>
    <n v="2050"/>
    <n v="1"/>
    <n v="2050"/>
    <n v="8.1999999999999993"/>
    <n v="0"/>
    <n v="0"/>
    <n v="0"/>
    <n v="8"/>
    <n v="0"/>
    <n v="0"/>
    <n v="0"/>
    <n v="342"/>
    <n v="342"/>
    <n v="1"/>
    <n v="2050"/>
    <n v="0"/>
    <n v="2050"/>
    <n v="1"/>
    <n v="0"/>
    <n v="1"/>
    <n v="2050"/>
    <n v="1019"/>
    <n v="2050"/>
    <x v="0"/>
    <s v="Village"/>
    <x v="0"/>
    <s v="Muslim"/>
    <n v="20.099340439999999"/>
    <n v="92.989143369999994"/>
    <n v="197558"/>
    <x v="0"/>
    <m/>
  </r>
  <r>
    <x v="0"/>
    <x v="1"/>
    <x v="1"/>
    <s v="BMZ"/>
    <x v="1"/>
    <x v="8"/>
    <x v="0"/>
    <x v="138"/>
    <n v="36"/>
    <n v="172"/>
    <d v="2018-09-16T00:00:00"/>
    <d v="2020-12-31T00:00:00"/>
    <n v="52"/>
    <m/>
    <m/>
    <m/>
    <n v="0"/>
    <m/>
    <n v="172"/>
    <n v="0"/>
    <m/>
    <n v="0"/>
    <x v="2"/>
    <n v="0"/>
    <n v="2"/>
    <m/>
    <m/>
    <m/>
    <m/>
    <m/>
    <m/>
    <m/>
    <m/>
    <m/>
    <m/>
    <m/>
    <m/>
    <m/>
    <m/>
    <m/>
    <m/>
    <m/>
    <m/>
    <m/>
    <m/>
    <n v="0"/>
    <n v="0"/>
    <n v="1"/>
    <n v="172"/>
    <n v="1"/>
    <n v="172"/>
    <n v="0.68799999999999994"/>
    <n v="0"/>
    <n v="0"/>
    <n v="0.31200000000000006"/>
    <n v="1"/>
    <n v="0"/>
    <n v="0"/>
    <n v="0"/>
    <n v="29"/>
    <n v="29"/>
    <n v="1"/>
    <n v="0"/>
    <n v="0"/>
    <n v="0"/>
    <n v="0"/>
    <n v="1"/>
    <n v="0"/>
    <n v="0"/>
    <n v="0"/>
    <n v="0"/>
    <x v="1"/>
    <s v="Village"/>
    <x v="0"/>
    <n v="0"/>
    <n v="20.005199432373001"/>
    <n v="92.948463439941406"/>
    <n v="197565"/>
    <x v="0"/>
    <m/>
  </r>
  <r>
    <x v="0"/>
    <x v="8"/>
    <x v="8"/>
    <s v="HQ"/>
    <x v="1"/>
    <x v="10"/>
    <x v="0"/>
    <x v="139"/>
    <n v="338"/>
    <n v="1520"/>
    <d v="2018-09-15T00:00:00"/>
    <d v="2020-02-28T00:00:00"/>
    <m/>
    <m/>
    <m/>
    <m/>
    <m/>
    <m/>
    <m/>
    <m/>
    <m/>
    <n v="53"/>
    <x v="0"/>
    <m/>
    <n v="21"/>
    <n v="21"/>
    <m/>
    <m/>
    <m/>
    <n v="310"/>
    <n v="358"/>
    <n v="441"/>
    <n v="411"/>
    <m/>
    <m/>
    <m/>
    <m/>
    <n v="338"/>
    <m/>
    <m/>
    <m/>
    <m/>
    <m/>
    <m/>
    <m/>
    <n v="0"/>
    <n v="0"/>
    <n v="0"/>
    <n v="0"/>
    <n v="0"/>
    <n v="0"/>
    <n v="0"/>
    <n v="1"/>
    <n v="1520"/>
    <n v="6"/>
    <n v="6"/>
    <n v="0.22302631578947368"/>
    <n v="339"/>
    <n v="0"/>
    <n v="253"/>
    <n v="200"/>
    <n v="0.77697368421052637"/>
    <n v="1520"/>
    <n v="0"/>
    <n v="1520"/>
    <n v="1"/>
    <n v="0"/>
    <n v="1"/>
    <n v="1520"/>
    <n v="0"/>
    <n v="1520"/>
    <x v="0"/>
    <s v="Village"/>
    <x v="0"/>
    <n v="0"/>
    <n v="20.199499130248999"/>
    <n v="92.834327697753906"/>
    <n v="196126"/>
    <x v="0"/>
    <m/>
  </r>
  <r>
    <x v="0"/>
    <x v="8"/>
    <x v="8"/>
    <s v="HQ"/>
    <x v="1"/>
    <x v="10"/>
    <x v="0"/>
    <x v="140"/>
    <n v="213"/>
    <n v="1156"/>
    <d v="2018-09-15T00:00:00"/>
    <d v="2020-02-28T00:00:00"/>
    <m/>
    <m/>
    <m/>
    <m/>
    <m/>
    <m/>
    <m/>
    <m/>
    <m/>
    <n v="50"/>
    <x v="0"/>
    <m/>
    <n v="13"/>
    <n v="13"/>
    <m/>
    <m/>
    <m/>
    <n v="239"/>
    <n v="281"/>
    <n v="310"/>
    <n v="335"/>
    <m/>
    <m/>
    <m/>
    <m/>
    <n v="213"/>
    <m/>
    <m/>
    <m/>
    <m/>
    <m/>
    <m/>
    <m/>
    <n v="0"/>
    <n v="0"/>
    <n v="0"/>
    <n v="0"/>
    <n v="0"/>
    <n v="0"/>
    <n v="0"/>
    <n v="1"/>
    <n v="1156"/>
    <n v="5"/>
    <n v="5"/>
    <n v="0.27076124567474047"/>
    <n v="313"/>
    <n v="0"/>
    <n v="193"/>
    <n v="143"/>
    <n v="0.72923875432525953"/>
    <n v="1156"/>
    <n v="0"/>
    <n v="1156"/>
    <n v="1"/>
    <n v="0"/>
    <n v="1"/>
    <n v="1156"/>
    <n v="0"/>
    <n v="1156"/>
    <x v="0"/>
    <s v="Village"/>
    <x v="0"/>
    <n v="0"/>
    <n v="20.194370269775401"/>
    <n v="92.834007263183594"/>
    <n v="196128"/>
    <x v="0"/>
    <m/>
  </r>
  <r>
    <x v="0"/>
    <x v="8"/>
    <x v="8"/>
    <s v="HQ"/>
    <x v="1"/>
    <x v="10"/>
    <x v="0"/>
    <x v="141"/>
    <n v="358"/>
    <n v="1931"/>
    <d v="2018-09-15T00:00:00"/>
    <d v="2020-02-28T00:00:00"/>
    <m/>
    <m/>
    <m/>
    <m/>
    <m/>
    <m/>
    <m/>
    <m/>
    <m/>
    <n v="33"/>
    <x v="0"/>
    <m/>
    <n v="5"/>
    <n v="5"/>
    <m/>
    <m/>
    <m/>
    <n v="390"/>
    <n v="464"/>
    <n v="551"/>
    <n v="526"/>
    <m/>
    <m/>
    <m/>
    <m/>
    <n v="358"/>
    <m/>
    <m/>
    <m/>
    <m/>
    <m/>
    <m/>
    <m/>
    <n v="0"/>
    <n v="0"/>
    <n v="0"/>
    <n v="0"/>
    <n v="0"/>
    <n v="0"/>
    <n v="0"/>
    <n v="1"/>
    <n v="1931"/>
    <n v="8"/>
    <n v="8"/>
    <n v="0.10512687726566546"/>
    <n v="203"/>
    <n v="0"/>
    <n v="322"/>
    <n v="289"/>
    <n v="0.8948731227343345"/>
    <n v="1931"/>
    <n v="0"/>
    <n v="1931"/>
    <n v="1"/>
    <n v="0"/>
    <n v="1"/>
    <n v="1931"/>
    <n v="0"/>
    <n v="1931"/>
    <x v="0"/>
    <s v="Village"/>
    <x v="0"/>
    <n v="0"/>
    <n v="20.183790210000002"/>
    <n v="92.864143369999994"/>
    <n v="196197"/>
    <x v="0"/>
    <m/>
  </r>
  <r>
    <x v="0"/>
    <x v="8"/>
    <x v="8"/>
    <s v="HQ"/>
    <x v="1"/>
    <x v="10"/>
    <x v="0"/>
    <x v="142"/>
    <n v="88"/>
    <n v="354"/>
    <d v="2018-09-15T00:00:00"/>
    <d v="2020-02-28T00:00:00"/>
    <m/>
    <m/>
    <m/>
    <m/>
    <m/>
    <m/>
    <m/>
    <m/>
    <m/>
    <n v="50"/>
    <x v="0"/>
    <m/>
    <n v="1"/>
    <n v="1"/>
    <m/>
    <m/>
    <m/>
    <n v="121"/>
    <n v="151"/>
    <n v="46"/>
    <n v="36"/>
    <m/>
    <m/>
    <m/>
    <m/>
    <n v="88"/>
    <m/>
    <m/>
    <m/>
    <m/>
    <m/>
    <m/>
    <m/>
    <n v="0"/>
    <n v="0"/>
    <n v="0"/>
    <n v="0"/>
    <n v="0"/>
    <n v="0"/>
    <n v="0"/>
    <n v="1"/>
    <n v="354"/>
    <n v="1"/>
    <n v="1"/>
    <n v="0.85028248587570621"/>
    <n v="301"/>
    <n v="0"/>
    <n v="59"/>
    <n v="9"/>
    <n v="0.14971751412429379"/>
    <n v="354"/>
    <n v="0"/>
    <n v="354"/>
    <n v="1"/>
    <n v="0"/>
    <n v="1"/>
    <n v="354"/>
    <n v="0"/>
    <n v="354"/>
    <x v="0"/>
    <s v="Village"/>
    <x v="0"/>
    <n v="0"/>
    <n v="0"/>
    <n v="0"/>
    <n v="0"/>
    <x v="0"/>
    <m/>
  </r>
  <r>
    <x v="0"/>
    <x v="8"/>
    <x v="8"/>
    <s v="HQ"/>
    <x v="1"/>
    <x v="10"/>
    <x v="0"/>
    <x v="143"/>
    <n v="164"/>
    <n v="812"/>
    <d v="2018-09-15T00:00:00"/>
    <d v="2020-02-28T00:00:00"/>
    <m/>
    <m/>
    <m/>
    <m/>
    <m/>
    <m/>
    <m/>
    <m/>
    <m/>
    <n v="20"/>
    <x v="0"/>
    <m/>
    <n v="4"/>
    <n v="4"/>
    <m/>
    <m/>
    <m/>
    <n v="277"/>
    <n v="319"/>
    <n v="99"/>
    <n v="117"/>
    <m/>
    <m/>
    <m/>
    <m/>
    <n v="164"/>
    <m/>
    <m/>
    <m/>
    <m/>
    <m/>
    <m/>
    <m/>
    <n v="0"/>
    <n v="0"/>
    <n v="0"/>
    <n v="0"/>
    <n v="0"/>
    <n v="0"/>
    <n v="0"/>
    <n v="1"/>
    <n v="812"/>
    <n v="3"/>
    <n v="3"/>
    <n v="0.15270935960591134"/>
    <n v="124"/>
    <n v="0"/>
    <n v="135"/>
    <n v="115"/>
    <n v="0.84729064039408863"/>
    <n v="812"/>
    <n v="0"/>
    <n v="812"/>
    <n v="1"/>
    <n v="0"/>
    <n v="1"/>
    <n v="812"/>
    <n v="0"/>
    <n v="812"/>
    <x v="0"/>
    <s v="Village"/>
    <x v="0"/>
    <s v="Rakhine"/>
    <n v="20.245159149999999"/>
    <n v="92.807418819999995"/>
    <n v="196137"/>
    <x v="0"/>
    <m/>
  </r>
  <r>
    <x v="0"/>
    <x v="9"/>
    <x v="9"/>
    <s v="GIZ"/>
    <x v="1"/>
    <x v="13"/>
    <x v="0"/>
    <x v="144"/>
    <n v="128"/>
    <n v="583"/>
    <d v="2019-07-01T00:00:00"/>
    <d v="2020-07-31T00:00:00"/>
    <n v="90"/>
    <m/>
    <m/>
    <m/>
    <n v="4"/>
    <m/>
    <m/>
    <m/>
    <m/>
    <n v="6"/>
    <x v="3"/>
    <n v="3"/>
    <n v="3"/>
    <m/>
    <m/>
    <m/>
    <m/>
    <n v="1"/>
    <n v="10"/>
    <m/>
    <m/>
    <m/>
    <m/>
    <n v="11"/>
    <m/>
    <m/>
    <m/>
    <m/>
    <m/>
    <m/>
    <m/>
    <m/>
    <m/>
    <n v="0"/>
    <n v="0"/>
    <n v="1"/>
    <n v="583"/>
    <n v="1"/>
    <n v="583"/>
    <n v="2.3319999999999999"/>
    <n v="0"/>
    <n v="0"/>
    <n v="0"/>
    <n v="2"/>
    <n v="6.1749571183533448E-2"/>
    <n v="36"/>
    <n v="150"/>
    <n v="97"/>
    <n v="91"/>
    <n v="0.93825042881646659"/>
    <n v="11"/>
    <n v="66"/>
    <n v="11"/>
    <n v="1.8867924528301886E-2"/>
    <n v="0.98113207547169812"/>
    <n v="1.8867924528301886E-2"/>
    <n v="0"/>
    <n v="0"/>
    <n v="0"/>
    <x v="1"/>
    <s v="Village"/>
    <x v="0"/>
    <s v="Rakhine"/>
    <n v="20.646560668945298"/>
    <n v="92.976043701171903"/>
    <n v="196937"/>
    <x v="0"/>
    <m/>
  </r>
  <r>
    <x v="0"/>
    <x v="9"/>
    <x v="9"/>
    <s v="GIZ"/>
    <x v="1"/>
    <x v="13"/>
    <x v="0"/>
    <x v="145"/>
    <n v="178"/>
    <n v="849"/>
    <d v="2019-07-01T00:00:00"/>
    <d v="2020-07-31T00:00:00"/>
    <n v="154"/>
    <m/>
    <m/>
    <m/>
    <m/>
    <m/>
    <n v="3"/>
    <m/>
    <m/>
    <n v="35"/>
    <x v="3"/>
    <n v="1"/>
    <n v="2"/>
    <m/>
    <m/>
    <m/>
    <m/>
    <m/>
    <n v="12"/>
    <m/>
    <m/>
    <m/>
    <m/>
    <n v="12"/>
    <m/>
    <m/>
    <m/>
    <m/>
    <m/>
    <m/>
    <m/>
    <m/>
    <m/>
    <n v="0"/>
    <n v="0"/>
    <n v="3.5335689045936395E-3"/>
    <n v="3"/>
    <n v="3.5335689045936395E-3"/>
    <n v="3"/>
    <n v="1.2E-2"/>
    <n v="0.99646643109540634"/>
    <n v="846"/>
    <n v="2.988"/>
    <n v="3"/>
    <n v="0.24734982332155478"/>
    <n v="210"/>
    <n v="50"/>
    <n v="142"/>
    <n v="107"/>
    <n v="0.75265017667844525"/>
    <n v="12"/>
    <n v="72"/>
    <n v="12"/>
    <n v="1.4134275618374558E-2"/>
    <n v="0.98586572438162545"/>
    <n v="1.4134275618374558E-2"/>
    <n v="0"/>
    <n v="0"/>
    <n v="0"/>
    <x v="1"/>
    <s v="Village"/>
    <x v="0"/>
    <n v="0"/>
    <n v="92.998542785644503"/>
    <n v="20.6563606262207"/>
    <n v="196940"/>
    <x v="0"/>
    <m/>
  </r>
  <r>
    <x v="0"/>
    <x v="9"/>
    <x v="9"/>
    <s v="GIZ"/>
    <x v="1"/>
    <x v="13"/>
    <x v="0"/>
    <x v="146"/>
    <n v="176"/>
    <n v="880"/>
    <d v="2019-07-01T00:00:00"/>
    <d v="2020-07-31T00:00:00"/>
    <n v="105"/>
    <m/>
    <m/>
    <m/>
    <m/>
    <m/>
    <n v="3"/>
    <m/>
    <m/>
    <n v="50"/>
    <x v="3"/>
    <n v="1"/>
    <n v="2"/>
    <m/>
    <m/>
    <m/>
    <m/>
    <m/>
    <n v="12"/>
    <m/>
    <m/>
    <m/>
    <m/>
    <n v="12"/>
    <m/>
    <m/>
    <m/>
    <m/>
    <m/>
    <m/>
    <m/>
    <m/>
    <m/>
    <n v="0"/>
    <n v="0"/>
    <n v="3.4090909090909089E-3"/>
    <n v="3"/>
    <n v="3.4090909090909089E-3"/>
    <n v="3"/>
    <n v="1.2E-2"/>
    <n v="0.99659090909090908"/>
    <n v="877"/>
    <n v="3.988"/>
    <n v="4"/>
    <n v="0.34090909090909088"/>
    <n v="300"/>
    <n v="50"/>
    <n v="147"/>
    <n v="97"/>
    <n v="0.65909090909090917"/>
    <n v="12"/>
    <n v="72"/>
    <n v="12"/>
    <n v="1.3636363636363636E-2"/>
    <n v="0.98636363636363633"/>
    <n v="1.3636363636363636E-2"/>
    <n v="0"/>
    <n v="0"/>
    <n v="0"/>
    <x v="1"/>
    <s v="Village"/>
    <x v="0"/>
    <n v="0"/>
    <n v="92.983703613281307"/>
    <n v="20.776130676269499"/>
    <n v="196962"/>
    <x v="0"/>
    <m/>
  </r>
  <r>
    <x v="0"/>
    <x v="9"/>
    <x v="9"/>
    <s v="GIZ"/>
    <x v="1"/>
    <x v="13"/>
    <x v="0"/>
    <x v="147"/>
    <n v="29"/>
    <n v="137"/>
    <d v="2019-07-01T00:00:00"/>
    <d v="2020-07-31T00:00:00"/>
    <n v="30"/>
    <m/>
    <m/>
    <m/>
    <n v="2"/>
    <m/>
    <n v="2"/>
    <m/>
    <m/>
    <n v="15"/>
    <x v="3"/>
    <m/>
    <m/>
    <m/>
    <m/>
    <m/>
    <m/>
    <m/>
    <n v="12"/>
    <m/>
    <m/>
    <m/>
    <m/>
    <n v="12"/>
    <m/>
    <m/>
    <m/>
    <m/>
    <m/>
    <m/>
    <m/>
    <m/>
    <m/>
    <n v="0"/>
    <n v="0"/>
    <n v="1"/>
    <n v="137"/>
    <n v="1"/>
    <n v="137"/>
    <n v="0.54800000000000004"/>
    <n v="0"/>
    <n v="0"/>
    <n v="0.45199999999999996"/>
    <n v="1"/>
    <n v="0.65693430656934304"/>
    <n v="90"/>
    <n v="0"/>
    <n v="23"/>
    <n v="8"/>
    <n v="0.34306569343065696"/>
    <n v="12"/>
    <n v="72"/>
    <n v="12"/>
    <n v="8.7591240875912413E-2"/>
    <n v="0.91240875912408759"/>
    <n v="8.7591240875912413E-2"/>
    <n v="0"/>
    <n v="0"/>
    <n v="0"/>
    <x v="1"/>
    <s v="Village"/>
    <x v="0"/>
    <n v="0"/>
    <n v="92.929412841796903"/>
    <n v="20.642980575561499"/>
    <n v="196919"/>
    <x v="0"/>
    <m/>
  </r>
  <r>
    <x v="0"/>
    <x v="9"/>
    <x v="9"/>
    <s v="GIZ"/>
    <x v="1"/>
    <x v="13"/>
    <x v="0"/>
    <x v="148"/>
    <n v="361"/>
    <n v="1669"/>
    <d v="2019-07-01T00:00:00"/>
    <d v="2020-07-31T00:00:00"/>
    <n v="512"/>
    <m/>
    <m/>
    <m/>
    <n v="4"/>
    <m/>
    <n v="5"/>
    <n v="1"/>
    <m/>
    <n v="210"/>
    <x v="3"/>
    <n v="4"/>
    <n v="6"/>
    <m/>
    <n v="1"/>
    <m/>
    <m/>
    <m/>
    <n v="12"/>
    <m/>
    <m/>
    <m/>
    <m/>
    <n v="12"/>
    <m/>
    <m/>
    <m/>
    <m/>
    <m/>
    <m/>
    <m/>
    <m/>
    <m/>
    <n v="0.14979029358897544"/>
    <n v="250"/>
    <n v="1"/>
    <n v="1669"/>
    <n v="1"/>
    <n v="1669"/>
    <n v="6.6760000000000002"/>
    <n v="0"/>
    <n v="0"/>
    <n v="0.32399999999999984"/>
    <n v="7"/>
    <n v="0.75494307968843621"/>
    <n v="1260"/>
    <n v="200"/>
    <n v="278"/>
    <n v="68"/>
    <n v="0.24505692031156379"/>
    <n v="12"/>
    <n v="72"/>
    <n v="12"/>
    <n v="7.1899340922708206E-3"/>
    <n v="0.99281006590772913"/>
    <n v="7.1899340922708206E-3"/>
    <n v="0"/>
    <n v="0"/>
    <n v="0"/>
    <x v="1"/>
    <s v="Village"/>
    <x v="0"/>
    <s v="Rakhine"/>
    <n v="20.705930710000001"/>
    <n v="93.001953130000004"/>
    <n v="196943"/>
    <x v="0"/>
    <m/>
  </r>
  <r>
    <x v="0"/>
    <x v="9"/>
    <x v="9"/>
    <s v="GIZ"/>
    <x v="1"/>
    <x v="13"/>
    <x v="0"/>
    <x v="149"/>
    <n v="86"/>
    <n v="404"/>
    <d v="2019-07-01T00:00:00"/>
    <d v="2020-07-31T00:00:00"/>
    <n v="55"/>
    <m/>
    <m/>
    <m/>
    <n v="3"/>
    <m/>
    <m/>
    <m/>
    <m/>
    <n v="35"/>
    <x v="3"/>
    <n v="2"/>
    <n v="4"/>
    <m/>
    <m/>
    <m/>
    <m/>
    <m/>
    <n v="12"/>
    <m/>
    <m/>
    <m/>
    <m/>
    <n v="9"/>
    <m/>
    <m/>
    <m/>
    <m/>
    <m/>
    <m/>
    <m/>
    <m/>
    <m/>
    <n v="0"/>
    <n v="0"/>
    <n v="1"/>
    <n v="404"/>
    <n v="1"/>
    <n v="404"/>
    <n v="1.6160000000000001"/>
    <n v="0"/>
    <n v="0"/>
    <n v="0.3839999999999999"/>
    <n v="2"/>
    <n v="0.51980198019801982"/>
    <n v="210"/>
    <n v="100"/>
    <n v="67"/>
    <n v="32"/>
    <n v="0.48019801980198018"/>
    <n v="12"/>
    <n v="54"/>
    <n v="12"/>
    <n v="2.9702970297029702E-2"/>
    <n v="0.97029702970297027"/>
    <n v="2.9702970297029702E-2"/>
    <n v="0"/>
    <n v="0"/>
    <n v="0"/>
    <x v="1"/>
    <s v="Village"/>
    <x v="0"/>
    <n v="0"/>
    <n v="20.640909189999999"/>
    <n v="92.979751590000006"/>
    <n v="196938"/>
    <x v="0"/>
    <m/>
  </r>
  <r>
    <x v="0"/>
    <x v="9"/>
    <x v="9"/>
    <s v="GIZ"/>
    <x v="1"/>
    <x v="13"/>
    <x v="0"/>
    <x v="150"/>
    <n v="181"/>
    <n v="833"/>
    <d v="2019-07-01T00:00:00"/>
    <d v="2020-07-31T00:00:00"/>
    <n v="195"/>
    <m/>
    <m/>
    <m/>
    <m/>
    <m/>
    <n v="4"/>
    <m/>
    <m/>
    <n v="75"/>
    <x v="3"/>
    <n v="1"/>
    <n v="4"/>
    <m/>
    <m/>
    <m/>
    <m/>
    <n v="1"/>
    <n v="11"/>
    <m/>
    <m/>
    <m/>
    <m/>
    <n v="11"/>
    <m/>
    <m/>
    <m/>
    <m/>
    <m/>
    <m/>
    <m/>
    <m/>
    <m/>
    <n v="0"/>
    <n v="0"/>
    <n v="4.8019207683073226E-3"/>
    <n v="3.9999999999999996"/>
    <n v="4.8019207683073226E-3"/>
    <n v="3.9999999999999996"/>
    <n v="1.5999999999999997E-2"/>
    <n v="0.99519807923169268"/>
    <n v="829"/>
    <n v="2.984"/>
    <n v="3"/>
    <n v="0.54021608643457386"/>
    <n v="450"/>
    <n v="50"/>
    <n v="139"/>
    <n v="64"/>
    <n v="0.45978391356542614"/>
    <n v="12"/>
    <n v="66"/>
    <n v="12"/>
    <n v="1.4405762304921969E-2"/>
    <n v="0.98559423769507803"/>
    <n v="1.4405762304921969E-2"/>
    <n v="0"/>
    <n v="0"/>
    <n v="0"/>
    <x v="1"/>
    <s v="Village"/>
    <x v="0"/>
    <n v="0"/>
    <n v="92.934356689453097"/>
    <n v="20.657760620117202"/>
    <n v="196925"/>
    <x v="0"/>
    <m/>
  </r>
  <r>
    <x v="0"/>
    <x v="9"/>
    <x v="9"/>
    <s v="GIZ"/>
    <x v="1"/>
    <x v="13"/>
    <x v="0"/>
    <x v="151"/>
    <n v="34"/>
    <n v="198"/>
    <d v="2019-07-01T00:00:00"/>
    <d v="2020-07-31T00:00:00"/>
    <n v="205"/>
    <m/>
    <m/>
    <m/>
    <n v="2"/>
    <m/>
    <n v="2"/>
    <m/>
    <m/>
    <n v="4"/>
    <x v="3"/>
    <n v="1"/>
    <m/>
    <m/>
    <m/>
    <m/>
    <m/>
    <m/>
    <n v="12"/>
    <m/>
    <m/>
    <m/>
    <m/>
    <n v="12"/>
    <m/>
    <m/>
    <m/>
    <m/>
    <m/>
    <m/>
    <m/>
    <m/>
    <m/>
    <n v="0"/>
    <n v="0"/>
    <n v="1"/>
    <n v="198"/>
    <n v="1"/>
    <n v="198"/>
    <n v="0.79200000000000004"/>
    <n v="0"/>
    <n v="0"/>
    <n v="0.20799999999999996"/>
    <n v="1"/>
    <n v="0.12121212121212122"/>
    <n v="24"/>
    <n v="50"/>
    <n v="33"/>
    <n v="29"/>
    <n v="0.87878787878787878"/>
    <n v="12"/>
    <n v="72"/>
    <n v="12"/>
    <n v="6.0606060606060608E-2"/>
    <n v="0.93939393939393945"/>
    <n v="6.0606060606060608E-2"/>
    <n v="0"/>
    <n v="0"/>
    <n v="0"/>
    <x v="1"/>
    <s v="Village"/>
    <x v="0"/>
    <n v="0"/>
    <n v="92.928596496582003"/>
    <n v="20.649574279785199"/>
    <n v="196920"/>
    <x v="0"/>
    <m/>
  </r>
  <r>
    <x v="0"/>
    <x v="9"/>
    <x v="9"/>
    <s v="GIZ"/>
    <x v="1"/>
    <x v="13"/>
    <x v="0"/>
    <x v="152"/>
    <n v="76"/>
    <n v="365"/>
    <d v="2019-07-01T00:00:00"/>
    <d v="2020-07-31T00:00:00"/>
    <n v="400"/>
    <m/>
    <m/>
    <m/>
    <n v="1"/>
    <m/>
    <m/>
    <m/>
    <m/>
    <n v="4"/>
    <x v="3"/>
    <m/>
    <n v="2"/>
    <m/>
    <m/>
    <m/>
    <m/>
    <m/>
    <n v="12"/>
    <m/>
    <m/>
    <m/>
    <m/>
    <n v="12"/>
    <m/>
    <m/>
    <m/>
    <m/>
    <m/>
    <m/>
    <m/>
    <m/>
    <m/>
    <n v="0"/>
    <n v="0"/>
    <n v="1"/>
    <n v="365"/>
    <n v="1"/>
    <n v="365"/>
    <n v="1.46"/>
    <n v="0"/>
    <n v="0"/>
    <n v="0"/>
    <n v="1"/>
    <n v="6.575342465753424E-2"/>
    <n v="23.999999999999996"/>
    <n v="0"/>
    <n v="61"/>
    <n v="57"/>
    <n v="0.9342465753424658"/>
    <n v="12"/>
    <n v="72"/>
    <n v="12"/>
    <n v="3.287671232876712E-2"/>
    <n v="0.9671232876712329"/>
    <n v="3.287671232876712E-2"/>
    <n v="0"/>
    <n v="0"/>
    <n v="0"/>
    <x v="1"/>
    <s v="Village"/>
    <x v="0"/>
    <n v="0"/>
    <n v="92.978729248046903"/>
    <n v="20.768480300903299"/>
    <n v="196960"/>
    <x v="0"/>
    <m/>
  </r>
  <r>
    <x v="0"/>
    <x v="9"/>
    <x v="9"/>
    <s v="GIZ"/>
    <x v="1"/>
    <x v="13"/>
    <x v="0"/>
    <x v="153"/>
    <n v="289"/>
    <n v="1331"/>
    <d v="2019-07-01T00:00:00"/>
    <d v="2020-07-31T00:00:00"/>
    <n v="100"/>
    <m/>
    <m/>
    <m/>
    <n v="1"/>
    <m/>
    <n v="4"/>
    <m/>
    <m/>
    <n v="51"/>
    <x v="3"/>
    <n v="2"/>
    <n v="10"/>
    <m/>
    <m/>
    <m/>
    <m/>
    <n v="1"/>
    <n v="10"/>
    <m/>
    <m/>
    <m/>
    <m/>
    <n v="10"/>
    <m/>
    <m/>
    <m/>
    <m/>
    <m/>
    <m/>
    <m/>
    <m/>
    <m/>
    <n v="0"/>
    <n v="0"/>
    <n v="1"/>
    <n v="1331"/>
    <n v="1"/>
    <n v="1331"/>
    <n v="5.3239999999999998"/>
    <n v="0"/>
    <n v="0"/>
    <n v="0"/>
    <n v="5"/>
    <n v="0.22990232907588279"/>
    <n v="306"/>
    <n v="100"/>
    <n v="222"/>
    <n v="171"/>
    <n v="0.77009767092411718"/>
    <n v="11"/>
    <n v="60"/>
    <n v="11"/>
    <n v="8.2644628099173556E-3"/>
    <n v="0.99173553719008267"/>
    <n v="8.2644628099173556E-3"/>
    <n v="0"/>
    <n v="0"/>
    <n v="0"/>
    <x v="1"/>
    <s v="Village"/>
    <x v="0"/>
    <n v="0"/>
    <n v="92.981712341308594"/>
    <n v="20.772109985351602"/>
    <n v="196959"/>
    <x v="0"/>
    <m/>
  </r>
  <r>
    <x v="0"/>
    <x v="9"/>
    <x v="9"/>
    <s v="GIZ"/>
    <x v="1"/>
    <x v="13"/>
    <x v="0"/>
    <x v="154"/>
    <n v="219"/>
    <n v="959"/>
    <d v="2019-07-01T00:00:00"/>
    <d v="2020-07-31T00:00:00"/>
    <n v="158"/>
    <m/>
    <m/>
    <m/>
    <n v="2"/>
    <m/>
    <n v="3"/>
    <m/>
    <m/>
    <n v="50"/>
    <x v="3"/>
    <n v="2"/>
    <n v="1"/>
    <m/>
    <m/>
    <m/>
    <m/>
    <m/>
    <n v="12"/>
    <m/>
    <m/>
    <m/>
    <m/>
    <n v="12"/>
    <m/>
    <m/>
    <m/>
    <m/>
    <m/>
    <m/>
    <m/>
    <m/>
    <m/>
    <n v="0"/>
    <n v="0"/>
    <n v="1"/>
    <n v="959"/>
    <n v="1"/>
    <n v="959"/>
    <n v="3.8359999999999999"/>
    <n v="0"/>
    <n v="0"/>
    <n v="0.16400000000000015"/>
    <n v="4"/>
    <n v="0.31282586027111575"/>
    <n v="300"/>
    <n v="100"/>
    <n v="160"/>
    <n v="110"/>
    <n v="0.68717413972888419"/>
    <n v="12"/>
    <n v="72"/>
    <n v="12"/>
    <n v="1.251303441084463E-2"/>
    <n v="0.98748696558915539"/>
    <n v="1.251303441084463E-2"/>
    <n v="0"/>
    <n v="0"/>
    <n v="0"/>
    <x v="1"/>
    <s v="Village"/>
    <x v="0"/>
    <n v="0"/>
    <n v="92.985267639160199"/>
    <n v="20.7800903320313"/>
    <n v="196963"/>
    <x v="0"/>
    <m/>
  </r>
  <r>
    <x v="0"/>
    <x v="9"/>
    <x v="9"/>
    <s v="GIZ"/>
    <x v="1"/>
    <x v="13"/>
    <x v="0"/>
    <x v="155"/>
    <n v="158"/>
    <n v="456"/>
    <d v="2019-07-01T00:00:00"/>
    <d v="2020-07-31T00:00:00"/>
    <n v="101"/>
    <m/>
    <m/>
    <m/>
    <n v="3"/>
    <m/>
    <n v="1"/>
    <n v="1"/>
    <m/>
    <n v="250"/>
    <x v="3"/>
    <n v="1"/>
    <m/>
    <m/>
    <n v="1"/>
    <m/>
    <m/>
    <n v="7"/>
    <n v="18"/>
    <m/>
    <m/>
    <m/>
    <m/>
    <n v="25"/>
    <m/>
    <m/>
    <m/>
    <m/>
    <m/>
    <m/>
    <m/>
    <m/>
    <m/>
    <n v="0.54824561403508776"/>
    <n v="250.00000000000003"/>
    <n v="1"/>
    <n v="456"/>
    <n v="1"/>
    <n v="456"/>
    <n v="1.8240000000000001"/>
    <n v="0"/>
    <n v="0"/>
    <n v="0.17599999999999993"/>
    <n v="2"/>
    <n v="1"/>
    <n v="456"/>
    <n v="50"/>
    <n v="76"/>
    <n v="0"/>
    <n v="0"/>
    <n v="25"/>
    <n v="150"/>
    <n v="25"/>
    <n v="5.4824561403508769E-2"/>
    <n v="0.94517543859649122"/>
    <n v="5.4824561403508769E-2"/>
    <n v="0"/>
    <n v="0"/>
    <n v="0"/>
    <x v="1"/>
    <s v="Village"/>
    <x v="0"/>
    <n v="0"/>
    <n v="0"/>
    <n v="0"/>
    <n v="196948"/>
    <x v="0"/>
    <m/>
  </r>
  <r>
    <x v="0"/>
    <x v="9"/>
    <x v="9"/>
    <s v="GIZ"/>
    <x v="1"/>
    <x v="13"/>
    <x v="0"/>
    <x v="156"/>
    <n v="140"/>
    <n v="740"/>
    <d v="2019-07-01T00:00:00"/>
    <d v="2020-07-31T00:00:00"/>
    <n v="103"/>
    <m/>
    <m/>
    <m/>
    <n v="1"/>
    <m/>
    <n v="3"/>
    <n v="1"/>
    <m/>
    <n v="30"/>
    <x v="3"/>
    <n v="4"/>
    <n v="1"/>
    <m/>
    <m/>
    <m/>
    <m/>
    <n v="2"/>
    <n v="23"/>
    <m/>
    <m/>
    <m/>
    <m/>
    <n v="25"/>
    <m/>
    <m/>
    <m/>
    <m/>
    <m/>
    <m/>
    <m/>
    <m/>
    <m/>
    <n v="0.33783783783783783"/>
    <n v="250"/>
    <n v="1"/>
    <n v="740"/>
    <n v="1"/>
    <n v="740"/>
    <n v="2.96"/>
    <n v="0"/>
    <n v="0"/>
    <n v="4.0000000000000036E-2"/>
    <n v="3"/>
    <n v="0.24324324324324326"/>
    <n v="180"/>
    <n v="200"/>
    <n v="123"/>
    <n v="93"/>
    <n v="0.7567567567567568"/>
    <n v="25"/>
    <n v="150"/>
    <n v="25"/>
    <n v="3.3783783783783786E-2"/>
    <n v="0.96621621621621623"/>
    <n v="3.3783783783783786E-2"/>
    <n v="0"/>
    <n v="0"/>
    <n v="0"/>
    <x v="1"/>
    <s v="Village"/>
    <x v="0"/>
    <n v="0"/>
    <n v="0"/>
    <n v="0"/>
    <n v="0"/>
    <x v="0"/>
    <m/>
  </r>
  <r>
    <x v="0"/>
    <x v="9"/>
    <x v="9"/>
    <s v="GIZ"/>
    <x v="1"/>
    <x v="13"/>
    <x v="0"/>
    <x v="157"/>
    <n v="62"/>
    <n v="142"/>
    <d v="2019-07-01T00:00:00"/>
    <d v="2020-07-31T00:00:00"/>
    <n v="30"/>
    <m/>
    <m/>
    <m/>
    <n v="1"/>
    <m/>
    <n v="2"/>
    <m/>
    <m/>
    <n v="5"/>
    <x v="3"/>
    <n v="2"/>
    <n v="1"/>
    <m/>
    <m/>
    <m/>
    <m/>
    <n v="7"/>
    <n v="16"/>
    <m/>
    <m/>
    <m/>
    <m/>
    <n v="23"/>
    <m/>
    <m/>
    <m/>
    <m/>
    <m/>
    <m/>
    <m/>
    <m/>
    <m/>
    <n v="0"/>
    <n v="0"/>
    <n v="1"/>
    <n v="142"/>
    <n v="1"/>
    <n v="142"/>
    <n v="0.56799999999999995"/>
    <n v="0"/>
    <n v="0"/>
    <n v="0.43200000000000005"/>
    <n v="1"/>
    <n v="0.21126760563380281"/>
    <n v="30"/>
    <n v="100"/>
    <n v="24"/>
    <n v="19"/>
    <n v="0.78873239436619724"/>
    <n v="23"/>
    <n v="138"/>
    <n v="23"/>
    <n v="0.1619718309859155"/>
    <n v="0.8380281690140845"/>
    <n v="0.1619718309859155"/>
    <n v="0"/>
    <n v="0"/>
    <n v="0"/>
    <x v="1"/>
    <s v="Village"/>
    <x v="0"/>
    <n v="0"/>
    <n v="20.7489204406738"/>
    <n v="92.958816528320298"/>
    <n v="196894"/>
    <x v="0"/>
    <m/>
  </r>
  <r>
    <x v="0"/>
    <x v="9"/>
    <x v="9"/>
    <s v="GIZ"/>
    <x v="1"/>
    <x v="13"/>
    <x v="0"/>
    <x v="158"/>
    <n v="103"/>
    <n v="449"/>
    <d v="2019-07-01T00:00:00"/>
    <d v="2020-07-31T00:00:00"/>
    <n v="53"/>
    <m/>
    <m/>
    <n v="8"/>
    <n v="1"/>
    <m/>
    <n v="4"/>
    <m/>
    <m/>
    <n v="96"/>
    <x v="3"/>
    <n v="2"/>
    <n v="6"/>
    <m/>
    <m/>
    <m/>
    <m/>
    <n v="0"/>
    <n v="25"/>
    <m/>
    <m/>
    <m/>
    <m/>
    <n v="25"/>
    <m/>
    <m/>
    <m/>
    <m/>
    <m/>
    <m/>
    <m/>
    <m/>
    <m/>
    <n v="1"/>
    <n v="449"/>
    <n v="1"/>
    <n v="449"/>
    <n v="1"/>
    <n v="449"/>
    <n v="1.796"/>
    <n v="0"/>
    <n v="0"/>
    <n v="0.20399999999999996"/>
    <n v="2"/>
    <n v="1"/>
    <n v="449"/>
    <n v="100"/>
    <n v="75"/>
    <n v="0"/>
    <n v="0"/>
    <n v="25"/>
    <n v="150"/>
    <n v="25"/>
    <n v="5.5679287305122498E-2"/>
    <n v="0.9443207126948775"/>
    <n v="5.5679287305122498E-2"/>
    <n v="0"/>
    <n v="0"/>
    <n v="0"/>
    <x v="1"/>
    <s v="Village"/>
    <x v="0"/>
    <s v="Mro"/>
    <n v="20.720500950000002"/>
    <n v="92.937339780000002"/>
    <n v="196950"/>
    <x v="0"/>
    <m/>
  </r>
  <r>
    <x v="0"/>
    <x v="9"/>
    <x v="9"/>
    <s v="GIZ"/>
    <x v="1"/>
    <x v="13"/>
    <x v="0"/>
    <x v="159"/>
    <n v="26"/>
    <n v="98"/>
    <d v="2019-07-01T00:00:00"/>
    <d v="2020-07-31T00:00:00"/>
    <n v="30"/>
    <m/>
    <m/>
    <m/>
    <m/>
    <m/>
    <m/>
    <m/>
    <m/>
    <m/>
    <x v="0"/>
    <m/>
    <m/>
    <m/>
    <m/>
    <m/>
    <m/>
    <n v="5"/>
    <n v="20"/>
    <m/>
    <m/>
    <m/>
    <m/>
    <m/>
    <m/>
    <m/>
    <m/>
    <m/>
    <m/>
    <m/>
    <m/>
    <m/>
    <m/>
    <n v="0"/>
    <n v="0"/>
    <n v="0"/>
    <n v="0"/>
    <n v="0"/>
    <n v="0"/>
    <n v="0"/>
    <n v="1"/>
    <n v="98"/>
    <n v="1"/>
    <n v="1"/>
    <n v="0"/>
    <n v="0"/>
    <n v="0"/>
    <n v="16"/>
    <n v="16"/>
    <n v="1"/>
    <n v="25"/>
    <n v="0"/>
    <n v="25"/>
    <n v="0.25510204081632654"/>
    <n v="0.74489795918367352"/>
    <n v="0.25510204081632654"/>
    <n v="0"/>
    <n v="0"/>
    <n v="0"/>
    <x v="1"/>
    <s v="Village"/>
    <x v="0"/>
    <n v="0"/>
    <n v="0"/>
    <n v="0"/>
    <n v="0"/>
    <x v="0"/>
    <m/>
  </r>
  <r>
    <x v="0"/>
    <x v="9"/>
    <x v="9"/>
    <s v="GIZ"/>
    <x v="1"/>
    <x v="10"/>
    <x v="0"/>
    <x v="160"/>
    <n v="389"/>
    <n v="1790"/>
    <d v="2019-08-01T00:00:00"/>
    <d v="2020-07-31T00:00:00"/>
    <n v="350"/>
    <m/>
    <m/>
    <n v="230"/>
    <n v="0"/>
    <m/>
    <m/>
    <n v="0"/>
    <m/>
    <n v="80"/>
    <x v="2"/>
    <n v="0"/>
    <n v="20"/>
    <m/>
    <m/>
    <m/>
    <m/>
    <m/>
    <n v="50"/>
    <m/>
    <m/>
    <m/>
    <m/>
    <n v="45"/>
    <m/>
    <m/>
    <m/>
    <m/>
    <m/>
    <m/>
    <m/>
    <m/>
    <m/>
    <n v="1"/>
    <n v="1790"/>
    <n v="0"/>
    <n v="0"/>
    <n v="1"/>
    <n v="1790"/>
    <n v="7.16"/>
    <n v="0"/>
    <n v="0"/>
    <n v="0"/>
    <n v="7"/>
    <n v="0.26815642458100558"/>
    <n v="480"/>
    <n v="0"/>
    <n v="298"/>
    <n v="218"/>
    <n v="0.73184357541899447"/>
    <n v="50"/>
    <n v="270"/>
    <n v="50"/>
    <n v="2.7932960893854747E-2"/>
    <n v="0.97206703910614523"/>
    <n v="2.7932960893854747E-2"/>
    <n v="0"/>
    <n v="0"/>
    <n v="0"/>
    <x v="1"/>
    <s v="Village"/>
    <x v="0"/>
    <s v="Muslim"/>
    <n v="20.235199999999999"/>
    <n v="92.805000000000007"/>
    <n v="196143"/>
    <x v="0"/>
    <m/>
  </r>
  <r>
    <x v="0"/>
    <x v="9"/>
    <x v="9"/>
    <s v="GIZ"/>
    <x v="1"/>
    <x v="10"/>
    <x v="0"/>
    <x v="161"/>
    <n v="410"/>
    <n v="2100"/>
    <d v="2019-08-01T00:00:00"/>
    <d v="2020-07-31T00:00:00"/>
    <n v="200"/>
    <m/>
    <n v="10"/>
    <n v="50"/>
    <m/>
    <m/>
    <m/>
    <n v="1"/>
    <m/>
    <n v="280"/>
    <x v="2"/>
    <n v="5"/>
    <n v="9"/>
    <m/>
    <m/>
    <m/>
    <m/>
    <m/>
    <n v="50"/>
    <m/>
    <m/>
    <m/>
    <m/>
    <n v="50"/>
    <m/>
    <m/>
    <m/>
    <m/>
    <m/>
    <m/>
    <m/>
    <m/>
    <m/>
    <n v="1"/>
    <n v="2100"/>
    <n v="0"/>
    <n v="0"/>
    <n v="1"/>
    <n v="2100"/>
    <n v="8.4"/>
    <n v="0"/>
    <n v="0"/>
    <n v="0"/>
    <n v="8"/>
    <n v="0.8"/>
    <n v="1680"/>
    <n v="250"/>
    <n v="350"/>
    <n v="70"/>
    <n v="0.19999999999999996"/>
    <n v="50"/>
    <n v="300"/>
    <n v="50"/>
    <n v="2.3809523809523808E-2"/>
    <n v="0.97619047619047616"/>
    <n v="2.3809523809523808E-2"/>
    <n v="0"/>
    <n v="0"/>
    <n v="0"/>
    <x v="1"/>
    <s v="Village"/>
    <x v="0"/>
    <n v="0"/>
    <n v="20.2351894378662"/>
    <n v="92.790191650390597"/>
    <n v="196138"/>
    <x v="0"/>
    <m/>
  </r>
  <r>
    <x v="0"/>
    <x v="9"/>
    <x v="9"/>
    <s v="GIZ"/>
    <x v="1"/>
    <x v="10"/>
    <x v="0"/>
    <x v="162"/>
    <n v="187"/>
    <n v="913"/>
    <d v="2019-08-01T00:00:00"/>
    <d v="2020-07-31T00:00:00"/>
    <n v="110"/>
    <m/>
    <n v="7"/>
    <n v="10"/>
    <n v="0"/>
    <m/>
    <m/>
    <m/>
    <m/>
    <n v="12"/>
    <x v="2"/>
    <n v="0"/>
    <n v="14"/>
    <m/>
    <m/>
    <m/>
    <m/>
    <m/>
    <n v="50"/>
    <m/>
    <m/>
    <m/>
    <m/>
    <n v="50"/>
    <m/>
    <m/>
    <m/>
    <m/>
    <m/>
    <m/>
    <m/>
    <m/>
    <m/>
    <n v="1"/>
    <n v="913"/>
    <n v="0"/>
    <n v="0"/>
    <n v="1"/>
    <n v="913"/>
    <n v="3.6520000000000001"/>
    <n v="0"/>
    <n v="0"/>
    <n v="0.34799999999999986"/>
    <n v="4"/>
    <n v="7.8860898138006577E-2"/>
    <n v="72"/>
    <n v="0"/>
    <n v="152"/>
    <n v="140"/>
    <n v="0.92113910186199344"/>
    <n v="50"/>
    <n v="300"/>
    <n v="50"/>
    <n v="5.4764512595837894E-2"/>
    <n v="0.94523548740416208"/>
    <n v="5.4764512595837894E-2"/>
    <n v="0"/>
    <n v="0"/>
    <n v="0"/>
    <x v="1"/>
    <s v="Village"/>
    <x v="0"/>
    <n v="0"/>
    <n v="0"/>
    <n v="0"/>
    <n v="0"/>
    <x v="0"/>
    <m/>
  </r>
  <r>
    <x v="0"/>
    <x v="9"/>
    <x v="9"/>
    <s v="GIZ"/>
    <x v="1"/>
    <x v="10"/>
    <x v="0"/>
    <x v="163"/>
    <n v="164"/>
    <n v="1172"/>
    <d v="2019-08-01T00:00:00"/>
    <d v="2020-07-31T00:00:00"/>
    <n v="50"/>
    <m/>
    <n v="2"/>
    <n v="70"/>
    <n v="0"/>
    <m/>
    <n v="0"/>
    <n v="0"/>
    <m/>
    <n v="20"/>
    <x v="2"/>
    <m/>
    <n v="10"/>
    <m/>
    <m/>
    <m/>
    <m/>
    <m/>
    <n v="50"/>
    <m/>
    <m/>
    <m/>
    <m/>
    <n v="50"/>
    <m/>
    <m/>
    <m/>
    <m/>
    <m/>
    <m/>
    <m/>
    <m/>
    <m/>
    <n v="1"/>
    <n v="1172"/>
    <n v="0"/>
    <n v="0"/>
    <n v="1"/>
    <n v="1172"/>
    <n v="4.6879999999999997"/>
    <n v="0"/>
    <n v="0"/>
    <n v="0.31200000000000028"/>
    <n v="5"/>
    <n v="0.10238907849829351"/>
    <n v="120"/>
    <n v="0"/>
    <n v="195"/>
    <n v="175"/>
    <n v="0.89761092150170652"/>
    <n v="50"/>
    <n v="300"/>
    <n v="50"/>
    <n v="4.2662116040955635E-2"/>
    <n v="0.9573378839590444"/>
    <n v="4.2662116040955635E-2"/>
    <n v="0"/>
    <n v="0"/>
    <n v="0"/>
    <x v="1"/>
    <s v="Village"/>
    <x v="0"/>
    <n v="0"/>
    <n v="0"/>
    <n v="0"/>
    <n v="0"/>
    <x v="0"/>
    <m/>
  </r>
  <r>
    <x v="0"/>
    <x v="9"/>
    <x v="9"/>
    <s v="GIZ"/>
    <x v="1"/>
    <x v="10"/>
    <x v="0"/>
    <x v="164"/>
    <n v="126"/>
    <n v="636"/>
    <d v="2019-08-01T00:00:00"/>
    <d v="2020-07-31T00:00:00"/>
    <n v="136"/>
    <m/>
    <m/>
    <n v="23"/>
    <n v="0"/>
    <m/>
    <m/>
    <m/>
    <m/>
    <n v="10"/>
    <x v="2"/>
    <n v="0"/>
    <n v="15"/>
    <m/>
    <m/>
    <m/>
    <m/>
    <m/>
    <n v="50"/>
    <m/>
    <m/>
    <m/>
    <m/>
    <n v="48"/>
    <m/>
    <m/>
    <m/>
    <m/>
    <m/>
    <m/>
    <m/>
    <m/>
    <m/>
    <n v="1"/>
    <n v="636"/>
    <n v="0"/>
    <n v="0"/>
    <n v="1"/>
    <n v="636"/>
    <n v="2.544"/>
    <n v="0"/>
    <n v="0"/>
    <n v="0.45599999999999996"/>
    <n v="3"/>
    <n v="9.4339622641509441E-2"/>
    <n v="60.000000000000007"/>
    <n v="0"/>
    <n v="106"/>
    <n v="96"/>
    <n v="0.90566037735849059"/>
    <n v="50"/>
    <n v="288"/>
    <n v="50"/>
    <n v="7.8616352201257858E-2"/>
    <n v="0.92138364779874216"/>
    <n v="7.8616352201257858E-2"/>
    <n v="0"/>
    <n v="0"/>
    <n v="0"/>
    <x v="1"/>
    <s v="Village"/>
    <x v="0"/>
    <n v="0"/>
    <n v="0"/>
    <n v="0"/>
    <n v="0"/>
    <x v="0"/>
    <m/>
  </r>
  <r>
    <x v="0"/>
    <x v="9"/>
    <x v="9"/>
    <s v="GIZ"/>
    <x v="1"/>
    <x v="10"/>
    <x v="0"/>
    <x v="165"/>
    <n v="240"/>
    <n v="1150"/>
    <d v="2019-08-01T00:00:00"/>
    <d v="2020-07-31T00:00:00"/>
    <n v="320"/>
    <m/>
    <n v="10"/>
    <n v="40"/>
    <n v="0"/>
    <m/>
    <n v="0"/>
    <n v="0"/>
    <m/>
    <n v="100"/>
    <x v="2"/>
    <n v="6"/>
    <n v="15"/>
    <m/>
    <m/>
    <m/>
    <m/>
    <m/>
    <n v="50"/>
    <m/>
    <m/>
    <m/>
    <m/>
    <n v="46"/>
    <m/>
    <m/>
    <m/>
    <m/>
    <m/>
    <m/>
    <m/>
    <m/>
    <m/>
    <n v="1"/>
    <n v="1150"/>
    <n v="0"/>
    <n v="0"/>
    <n v="1"/>
    <n v="1150"/>
    <n v="4.5999999999999996"/>
    <n v="0"/>
    <n v="0"/>
    <n v="0.40000000000000036"/>
    <n v="5"/>
    <n v="0.52173913043478259"/>
    <n v="600"/>
    <n v="300"/>
    <n v="192"/>
    <n v="92"/>
    <n v="0.47826086956521741"/>
    <n v="50"/>
    <n v="276"/>
    <n v="50"/>
    <n v="4.3478260869565216E-2"/>
    <n v="0.95652173913043481"/>
    <n v="4.3478260869565216E-2"/>
    <n v="0"/>
    <n v="0"/>
    <n v="0"/>
    <x v="1"/>
    <s v="Village"/>
    <x v="0"/>
    <s v="Muslim"/>
    <n v="20.212700000000002"/>
    <n v="92.820800000000006"/>
    <n v="196144"/>
    <x v="0"/>
    <m/>
  </r>
  <r>
    <x v="0"/>
    <x v="9"/>
    <x v="9"/>
    <s v="GIZ"/>
    <x v="1"/>
    <x v="10"/>
    <x v="0"/>
    <x v="166"/>
    <n v="430"/>
    <n v="1530"/>
    <d v="2019-08-01T00:00:00"/>
    <d v="2020-07-31T00:00:00"/>
    <n v="480"/>
    <m/>
    <n v="30"/>
    <n v="124"/>
    <n v="0"/>
    <m/>
    <m/>
    <n v="1"/>
    <m/>
    <n v="130"/>
    <x v="2"/>
    <n v="6"/>
    <n v="2"/>
    <m/>
    <m/>
    <m/>
    <m/>
    <m/>
    <n v="50"/>
    <m/>
    <m/>
    <m/>
    <m/>
    <n v="42"/>
    <m/>
    <m/>
    <m/>
    <m/>
    <m/>
    <m/>
    <m/>
    <m/>
    <m/>
    <n v="1"/>
    <n v="1530"/>
    <n v="0"/>
    <n v="0"/>
    <n v="1"/>
    <n v="1530"/>
    <n v="6.12"/>
    <n v="0"/>
    <n v="0"/>
    <n v="0"/>
    <n v="6"/>
    <n v="0.50980392156862742"/>
    <n v="780"/>
    <n v="300"/>
    <n v="255"/>
    <n v="125"/>
    <n v="0.49019607843137258"/>
    <n v="50"/>
    <n v="252"/>
    <n v="50"/>
    <n v="3.2679738562091505E-2"/>
    <n v="0.9673202614379085"/>
    <n v="3.2679738562091505E-2"/>
    <n v="0"/>
    <n v="0"/>
    <n v="0"/>
    <x v="1"/>
    <s v="Village"/>
    <x v="0"/>
    <s v="Muslim"/>
    <n v="20.219509120000001"/>
    <n v="92.811332699999994"/>
    <n v="196145"/>
    <x v="0"/>
    <m/>
  </r>
  <r>
    <x v="0"/>
    <x v="9"/>
    <x v="9"/>
    <s v="GIZ"/>
    <x v="1"/>
    <x v="10"/>
    <x v="0"/>
    <x v="167"/>
    <n v="150"/>
    <n v="590"/>
    <d v="2019-08-01T00:00:00"/>
    <d v="2020-07-31T00:00:00"/>
    <n v="112"/>
    <m/>
    <n v="4"/>
    <n v="20"/>
    <n v="0"/>
    <m/>
    <n v="0"/>
    <n v="1"/>
    <m/>
    <n v="10"/>
    <x v="2"/>
    <n v="2"/>
    <n v="0"/>
    <m/>
    <m/>
    <m/>
    <m/>
    <m/>
    <n v="50"/>
    <m/>
    <m/>
    <m/>
    <m/>
    <n v="43"/>
    <m/>
    <m/>
    <m/>
    <m/>
    <m/>
    <m/>
    <m/>
    <m/>
    <m/>
    <n v="1"/>
    <n v="590"/>
    <n v="0"/>
    <n v="0"/>
    <n v="1"/>
    <n v="590"/>
    <n v="2.36"/>
    <n v="0"/>
    <n v="0"/>
    <n v="0"/>
    <n v="2"/>
    <n v="0.10169491525423729"/>
    <n v="60.000000000000007"/>
    <n v="100"/>
    <n v="98"/>
    <n v="88"/>
    <n v="0.89830508474576276"/>
    <n v="50"/>
    <n v="258"/>
    <n v="50"/>
    <n v="8.4745762711864403E-2"/>
    <n v="0.9152542372881356"/>
    <n v="8.4745762711864403E-2"/>
    <n v="0"/>
    <n v="0"/>
    <n v="0"/>
    <x v="1"/>
    <s v="Village"/>
    <x v="0"/>
    <s v="Rakhine"/>
    <n v="20.2199096679688"/>
    <n v="92.7716064453125"/>
    <n v="196141"/>
    <x v="0"/>
    <m/>
  </r>
  <r>
    <x v="0"/>
    <x v="9"/>
    <x v="9"/>
    <s v="GIZ"/>
    <x v="1"/>
    <x v="10"/>
    <x v="0"/>
    <x v="168"/>
    <n v="289"/>
    <n v="3400"/>
    <d v="2019-08-01T00:00:00"/>
    <d v="2020-07-31T00:00:00"/>
    <n v="287"/>
    <m/>
    <n v="0"/>
    <n v="200"/>
    <n v="0"/>
    <m/>
    <n v="0"/>
    <n v="0"/>
    <m/>
    <n v="50"/>
    <x v="2"/>
    <n v="3"/>
    <n v="6"/>
    <m/>
    <m/>
    <m/>
    <m/>
    <m/>
    <n v="50"/>
    <m/>
    <m/>
    <m/>
    <m/>
    <n v="44"/>
    <m/>
    <m/>
    <m/>
    <m/>
    <m/>
    <m/>
    <m/>
    <m/>
    <m/>
    <n v="1"/>
    <n v="3400"/>
    <n v="0"/>
    <n v="0"/>
    <n v="1"/>
    <n v="3400"/>
    <n v="13.6"/>
    <n v="0"/>
    <n v="0"/>
    <n v="0.40000000000000036"/>
    <n v="14"/>
    <n v="8.8235294117647065E-2"/>
    <n v="300"/>
    <n v="150"/>
    <n v="567"/>
    <n v="517"/>
    <n v="0.91176470588235292"/>
    <n v="50"/>
    <n v="264"/>
    <n v="50"/>
    <n v="1.4705882352941176E-2"/>
    <n v="0.98529411764705888"/>
    <n v="1.4705882352941176E-2"/>
    <n v="0"/>
    <n v="0"/>
    <n v="0"/>
    <x v="1"/>
    <s v="Village"/>
    <x v="0"/>
    <s v="Muslim"/>
    <n v="20.208799362182599"/>
    <n v="92.794113159179702"/>
    <n v="196142"/>
    <x v="0"/>
    <m/>
  </r>
  <r>
    <x v="0"/>
    <x v="1"/>
    <x v="1"/>
    <s v="BMZ"/>
    <x v="1"/>
    <x v="8"/>
    <x v="0"/>
    <x v="169"/>
    <n v="106"/>
    <n v="469"/>
    <d v="2018-09-16T00:00:00"/>
    <d v="2020-12-31T00:00:00"/>
    <n v="189"/>
    <m/>
    <m/>
    <m/>
    <n v="0"/>
    <m/>
    <n v="469"/>
    <n v="1"/>
    <m/>
    <n v="30"/>
    <x v="1"/>
    <n v="14"/>
    <n v="9"/>
    <m/>
    <m/>
    <m/>
    <m/>
    <m/>
    <m/>
    <m/>
    <m/>
    <m/>
    <m/>
    <m/>
    <m/>
    <m/>
    <m/>
    <m/>
    <m/>
    <m/>
    <m/>
    <m/>
    <m/>
    <n v="0.53304904051172708"/>
    <n v="250"/>
    <n v="1"/>
    <n v="469"/>
    <n v="1"/>
    <n v="469"/>
    <n v="1.8759999999999999"/>
    <n v="0"/>
    <n v="0"/>
    <n v="0.12400000000000011"/>
    <n v="2"/>
    <n v="0.38379530916844351"/>
    <n v="180"/>
    <n v="700"/>
    <n v="78"/>
    <n v="48"/>
    <n v="0.61620469083155649"/>
    <n v="0"/>
    <n v="0"/>
    <n v="0"/>
    <n v="0"/>
    <n v="1"/>
    <n v="0"/>
    <n v="0"/>
    <n v="0"/>
    <n v="0"/>
    <x v="1"/>
    <s v="Village"/>
    <x v="0"/>
    <n v="0"/>
    <n v="92.994781494140597"/>
    <n v="19.9693508148193"/>
    <n v="197541"/>
    <x v="0"/>
    <m/>
  </r>
  <r>
    <x v="0"/>
    <x v="1"/>
    <x v="1"/>
    <s v="BMZ"/>
    <x v="1"/>
    <x v="8"/>
    <x v="0"/>
    <x v="170"/>
    <n v="37"/>
    <n v="207"/>
    <d v="2018-09-16T00:00:00"/>
    <d v="2020-12-31T00:00:00"/>
    <n v="33"/>
    <m/>
    <m/>
    <m/>
    <n v="1"/>
    <m/>
    <n v="207"/>
    <n v="0"/>
    <m/>
    <n v="0"/>
    <x v="1"/>
    <n v="2"/>
    <n v="3"/>
    <m/>
    <m/>
    <m/>
    <m/>
    <m/>
    <m/>
    <m/>
    <m/>
    <m/>
    <m/>
    <m/>
    <m/>
    <m/>
    <m/>
    <m/>
    <m/>
    <m/>
    <m/>
    <m/>
    <m/>
    <n v="0"/>
    <n v="0"/>
    <n v="1"/>
    <n v="207"/>
    <n v="1"/>
    <n v="207"/>
    <n v="0.82799999999999996"/>
    <n v="0"/>
    <n v="0"/>
    <n v="0.17200000000000004"/>
    <n v="1"/>
    <n v="0"/>
    <n v="0"/>
    <n v="100"/>
    <n v="35"/>
    <n v="35"/>
    <n v="1"/>
    <n v="0"/>
    <n v="0"/>
    <n v="0"/>
    <n v="0"/>
    <n v="1"/>
    <n v="0"/>
    <n v="0"/>
    <n v="0"/>
    <n v="0"/>
    <x v="1"/>
    <s v="Village"/>
    <x v="0"/>
    <n v="0"/>
    <n v="93.005447387695298"/>
    <n v="19.914190292358398"/>
    <n v="197567"/>
    <x v="0"/>
    <m/>
  </r>
  <r>
    <x v="0"/>
    <x v="1"/>
    <x v="1"/>
    <s v="BMZ"/>
    <x v="1"/>
    <x v="8"/>
    <x v="0"/>
    <x v="171"/>
    <n v="486"/>
    <n v="2042"/>
    <d v="2018-09-16T00:00:00"/>
    <d v="2020-12-31T00:00:00"/>
    <n v="531"/>
    <m/>
    <m/>
    <m/>
    <n v="5"/>
    <m/>
    <n v="2042"/>
    <n v="1"/>
    <m/>
    <n v="30"/>
    <x v="1"/>
    <n v="10"/>
    <n v="21"/>
    <m/>
    <m/>
    <m/>
    <m/>
    <m/>
    <m/>
    <m/>
    <m/>
    <m/>
    <m/>
    <m/>
    <m/>
    <m/>
    <m/>
    <m/>
    <m/>
    <m/>
    <m/>
    <m/>
    <m/>
    <n v="0.12242899118511263"/>
    <n v="250"/>
    <n v="1"/>
    <n v="2042"/>
    <n v="1"/>
    <n v="2042"/>
    <n v="8.1679999999999993"/>
    <n v="0"/>
    <n v="0"/>
    <n v="0"/>
    <n v="8"/>
    <n v="8.8148873653281098E-2"/>
    <n v="180"/>
    <n v="500"/>
    <n v="340"/>
    <n v="310"/>
    <n v="0.91185112634671894"/>
    <n v="0"/>
    <n v="0"/>
    <n v="0"/>
    <n v="0"/>
    <n v="1"/>
    <n v="0"/>
    <n v="0"/>
    <n v="0"/>
    <n v="0"/>
    <x v="1"/>
    <s v="Village"/>
    <x v="0"/>
    <m/>
    <n v="20.0305500030518"/>
    <n v="92.966842651367202"/>
    <n v="197538"/>
    <x v="0"/>
    <m/>
  </r>
  <r>
    <x v="0"/>
    <x v="1"/>
    <x v="1"/>
    <s v="BMZ"/>
    <x v="1"/>
    <x v="8"/>
    <x v="0"/>
    <x v="172"/>
    <n v="340"/>
    <n v="1408"/>
    <d v="2018-09-16T00:00:00"/>
    <d v="2020-12-31T00:00:00"/>
    <n v="223"/>
    <m/>
    <m/>
    <m/>
    <n v="0"/>
    <m/>
    <n v="1408"/>
    <n v="0"/>
    <m/>
    <n v="30"/>
    <x v="2"/>
    <n v="1"/>
    <n v="8"/>
    <m/>
    <m/>
    <m/>
    <m/>
    <m/>
    <m/>
    <m/>
    <m/>
    <m/>
    <m/>
    <m/>
    <m/>
    <m/>
    <m/>
    <m/>
    <m/>
    <m/>
    <m/>
    <m/>
    <m/>
    <n v="0"/>
    <n v="0"/>
    <n v="1"/>
    <n v="1408"/>
    <n v="1"/>
    <n v="1408"/>
    <n v="5.6319999999999997"/>
    <n v="0"/>
    <n v="0"/>
    <n v="0.36800000000000033"/>
    <n v="6"/>
    <n v="0.12784090909090909"/>
    <n v="180"/>
    <n v="50"/>
    <n v="235"/>
    <n v="205"/>
    <n v="0.87215909090909094"/>
    <n v="0"/>
    <n v="0"/>
    <n v="0"/>
    <n v="0"/>
    <n v="1"/>
    <n v="0"/>
    <n v="0"/>
    <n v="0"/>
    <n v="0"/>
    <x v="1"/>
    <s v="Village"/>
    <x v="0"/>
    <n v="0"/>
    <n v="92.925521850585895"/>
    <n v="20.091190338134801"/>
    <n v="217989"/>
    <x v="0"/>
    <m/>
  </r>
  <r>
    <x v="0"/>
    <x v="1"/>
    <x v="1"/>
    <s v="BMZ"/>
    <x v="1"/>
    <x v="8"/>
    <x v="0"/>
    <x v="173"/>
    <n v="72"/>
    <n v="308"/>
    <d v="2018-09-16T00:00:00"/>
    <d v="2020-12-31T00:00:00"/>
    <n v="65"/>
    <m/>
    <m/>
    <m/>
    <n v="1"/>
    <m/>
    <n v="308"/>
    <n v="0"/>
    <m/>
    <n v="3"/>
    <x v="2"/>
    <n v="0"/>
    <n v="3"/>
    <m/>
    <m/>
    <m/>
    <m/>
    <m/>
    <m/>
    <m/>
    <m/>
    <m/>
    <m/>
    <m/>
    <m/>
    <m/>
    <m/>
    <m/>
    <m/>
    <m/>
    <m/>
    <m/>
    <m/>
    <n v="0"/>
    <n v="0"/>
    <n v="1"/>
    <n v="308"/>
    <n v="1"/>
    <n v="308"/>
    <n v="1.232"/>
    <n v="0"/>
    <n v="0"/>
    <n v="0"/>
    <n v="1"/>
    <n v="5.844155844155844E-2"/>
    <n v="18"/>
    <n v="0"/>
    <n v="51"/>
    <n v="48"/>
    <n v="0.94155844155844159"/>
    <n v="0"/>
    <n v="0"/>
    <n v="0"/>
    <n v="0"/>
    <n v="1"/>
    <n v="0"/>
    <n v="0"/>
    <n v="0"/>
    <n v="0"/>
    <x v="1"/>
    <s v="Village"/>
    <x v="0"/>
    <n v="0"/>
    <n v="20.06903076"/>
    <n v="92.930137630000004"/>
    <n v="197562"/>
    <x v="0"/>
    <m/>
  </r>
  <r>
    <x v="0"/>
    <x v="10"/>
    <x v="10"/>
    <s v="WV' Korea"/>
    <x v="2"/>
    <x v="14"/>
    <x v="0"/>
    <x v="174"/>
    <n v="43"/>
    <n v="185"/>
    <d v="2017-12-12T00:00:00"/>
    <d v="2020-09-30T00:00:00"/>
    <m/>
    <m/>
    <n v="1"/>
    <m/>
    <m/>
    <m/>
    <m/>
    <m/>
    <m/>
    <n v="33"/>
    <x v="0"/>
    <n v="2"/>
    <m/>
    <m/>
    <m/>
    <m/>
    <m/>
    <n v="11"/>
    <n v="18"/>
    <m/>
    <m/>
    <m/>
    <m/>
    <m/>
    <m/>
    <m/>
    <m/>
    <m/>
    <m/>
    <m/>
    <m/>
    <m/>
    <m/>
    <n v="1"/>
    <n v="185"/>
    <n v="0"/>
    <n v="0"/>
    <n v="1"/>
    <n v="185"/>
    <n v="0.74"/>
    <n v="0"/>
    <n v="0"/>
    <n v="0.26"/>
    <n v="1"/>
    <n v="1"/>
    <n v="185"/>
    <n v="100"/>
    <n v="31"/>
    <n v="0"/>
    <n v="0"/>
    <n v="29"/>
    <n v="0"/>
    <n v="29"/>
    <n v="0.15675675675675677"/>
    <n v="0.84324324324324329"/>
    <n v="0.15675675675675677"/>
    <n v="0"/>
    <n v="0"/>
    <n v="0"/>
    <x v="0"/>
    <s v="Village"/>
    <x v="0"/>
    <n v="0"/>
    <n v="0"/>
    <n v="0"/>
    <n v="0"/>
    <x v="0"/>
    <m/>
  </r>
  <r>
    <x v="0"/>
    <x v="10"/>
    <x v="10"/>
    <s v="WV' Korea"/>
    <x v="2"/>
    <x v="14"/>
    <x v="0"/>
    <x v="175"/>
    <n v="33"/>
    <n v="174"/>
    <d v="2017-12-12T00:00:00"/>
    <d v="2020-09-30T00:00:00"/>
    <m/>
    <m/>
    <n v="1"/>
    <m/>
    <m/>
    <m/>
    <m/>
    <m/>
    <m/>
    <n v="26"/>
    <x v="0"/>
    <m/>
    <m/>
    <m/>
    <m/>
    <m/>
    <m/>
    <n v="5"/>
    <n v="20"/>
    <m/>
    <m/>
    <m/>
    <m/>
    <m/>
    <m/>
    <m/>
    <m/>
    <m/>
    <m/>
    <m/>
    <m/>
    <m/>
    <m/>
    <n v="1"/>
    <n v="174"/>
    <n v="0"/>
    <n v="0"/>
    <n v="1"/>
    <n v="174"/>
    <n v="0.69599999999999995"/>
    <n v="0"/>
    <n v="0"/>
    <n v="0.30400000000000005"/>
    <n v="1"/>
    <n v="0.89655172413793105"/>
    <n v="156"/>
    <n v="0"/>
    <n v="29"/>
    <n v="3"/>
    <n v="0.10344827586206895"/>
    <n v="25"/>
    <n v="0"/>
    <n v="25"/>
    <n v="0.14367816091954022"/>
    <n v="0.85632183908045978"/>
    <n v="0.14367816091954022"/>
    <n v="0"/>
    <n v="0"/>
    <n v="0"/>
    <x v="0"/>
    <s v="Village"/>
    <x v="0"/>
    <n v="0"/>
    <n v="0"/>
    <n v="0"/>
    <n v="0"/>
    <x v="0"/>
    <m/>
  </r>
  <r>
    <x v="0"/>
    <x v="10"/>
    <x v="10"/>
    <s v="WV' Korea"/>
    <x v="2"/>
    <x v="14"/>
    <x v="0"/>
    <x v="176"/>
    <n v="15"/>
    <n v="49"/>
    <d v="2017-12-12T00:00:00"/>
    <d v="2020-09-30T00:00:00"/>
    <m/>
    <m/>
    <m/>
    <m/>
    <m/>
    <m/>
    <m/>
    <m/>
    <m/>
    <n v="15"/>
    <x v="0"/>
    <m/>
    <m/>
    <m/>
    <m/>
    <m/>
    <m/>
    <n v="4"/>
    <n v="6"/>
    <m/>
    <m/>
    <m/>
    <m/>
    <m/>
    <m/>
    <m/>
    <m/>
    <m/>
    <m/>
    <m/>
    <m/>
    <m/>
    <m/>
    <n v="0"/>
    <n v="0"/>
    <n v="0"/>
    <n v="0"/>
    <n v="0"/>
    <n v="0"/>
    <n v="0"/>
    <n v="1"/>
    <n v="49"/>
    <n v="1"/>
    <n v="1"/>
    <n v="1"/>
    <n v="49"/>
    <n v="0"/>
    <n v="8"/>
    <n v="0"/>
    <n v="0"/>
    <n v="10"/>
    <n v="0"/>
    <n v="10"/>
    <n v="0.20408163265306123"/>
    <n v="0.79591836734693877"/>
    <n v="0.20408163265306123"/>
    <n v="0"/>
    <n v="0"/>
    <n v="0"/>
    <x v="0"/>
    <s v="Village"/>
    <x v="0"/>
    <n v="0"/>
    <n v="0"/>
    <n v="0"/>
    <n v="0"/>
    <x v="0"/>
    <m/>
  </r>
  <r>
    <x v="0"/>
    <x v="10"/>
    <x v="10"/>
    <s v="WV' Korea"/>
    <x v="2"/>
    <x v="14"/>
    <x v="0"/>
    <x v="177"/>
    <n v="78"/>
    <n v="302"/>
    <d v="2017-12-12T00:00:00"/>
    <d v="2020-09-30T00:00:00"/>
    <m/>
    <m/>
    <n v="2"/>
    <m/>
    <m/>
    <m/>
    <m/>
    <m/>
    <m/>
    <n v="50"/>
    <x v="0"/>
    <n v="1"/>
    <m/>
    <m/>
    <m/>
    <m/>
    <m/>
    <n v="11"/>
    <n v="18"/>
    <m/>
    <m/>
    <m/>
    <m/>
    <m/>
    <m/>
    <m/>
    <m/>
    <m/>
    <m/>
    <m/>
    <m/>
    <m/>
    <m/>
    <n v="1"/>
    <n v="302"/>
    <n v="0"/>
    <n v="0"/>
    <n v="1"/>
    <n v="302"/>
    <n v="1.208"/>
    <n v="0"/>
    <n v="0"/>
    <n v="0"/>
    <n v="1"/>
    <n v="0.99337748344370858"/>
    <n v="300"/>
    <n v="50"/>
    <n v="50"/>
    <n v="0"/>
    <n v="6.6225165562914245E-3"/>
    <n v="29"/>
    <n v="0"/>
    <n v="29"/>
    <n v="9.602649006622517E-2"/>
    <n v="0.90397350993377479"/>
    <n v="9.602649006622517E-2"/>
    <n v="0"/>
    <n v="0"/>
    <n v="0"/>
    <x v="0"/>
    <s v="Village"/>
    <x v="0"/>
    <n v="0"/>
    <n v="0"/>
    <n v="0"/>
    <n v="0"/>
    <x v="0"/>
    <m/>
  </r>
  <r>
    <x v="0"/>
    <x v="10"/>
    <x v="10"/>
    <s v="WV' Korea"/>
    <x v="2"/>
    <x v="14"/>
    <x v="0"/>
    <x v="178"/>
    <n v="62"/>
    <n v="308"/>
    <d v="2017-12-12T00:00:00"/>
    <d v="2020-09-30T00:00:00"/>
    <m/>
    <m/>
    <n v="1"/>
    <m/>
    <m/>
    <m/>
    <m/>
    <m/>
    <m/>
    <n v="59"/>
    <x v="0"/>
    <n v="2"/>
    <m/>
    <m/>
    <m/>
    <m/>
    <m/>
    <n v="10"/>
    <n v="15"/>
    <m/>
    <m/>
    <m/>
    <m/>
    <m/>
    <m/>
    <m/>
    <m/>
    <m/>
    <m/>
    <m/>
    <m/>
    <m/>
    <m/>
    <n v="1"/>
    <n v="308"/>
    <n v="0"/>
    <n v="0"/>
    <n v="1"/>
    <n v="308"/>
    <n v="1.232"/>
    <n v="0"/>
    <n v="0"/>
    <n v="0"/>
    <n v="1"/>
    <n v="1"/>
    <n v="308"/>
    <n v="100"/>
    <n v="51"/>
    <n v="0"/>
    <n v="0"/>
    <n v="25"/>
    <n v="0"/>
    <n v="25"/>
    <n v="8.1168831168831168E-2"/>
    <n v="0.91883116883116878"/>
    <n v="8.1168831168831168E-2"/>
    <n v="0"/>
    <n v="0"/>
    <n v="0"/>
    <x v="0"/>
    <s v="Village"/>
    <x v="0"/>
    <n v="0"/>
    <n v="0"/>
    <n v="0"/>
    <n v="0"/>
    <x v="0"/>
    <m/>
  </r>
  <r>
    <x v="0"/>
    <x v="10"/>
    <x v="10"/>
    <s v="WV' Korea"/>
    <x v="2"/>
    <x v="14"/>
    <x v="0"/>
    <x v="179"/>
    <n v="17"/>
    <n v="126"/>
    <d v="2017-12-12T00:00:00"/>
    <d v="2020-09-30T00:00:00"/>
    <m/>
    <m/>
    <n v="1"/>
    <m/>
    <m/>
    <m/>
    <m/>
    <m/>
    <m/>
    <n v="13"/>
    <x v="0"/>
    <m/>
    <m/>
    <m/>
    <m/>
    <m/>
    <m/>
    <n v="6"/>
    <n v="10"/>
    <m/>
    <m/>
    <m/>
    <m/>
    <m/>
    <m/>
    <m/>
    <m/>
    <m/>
    <m/>
    <m/>
    <m/>
    <m/>
    <m/>
    <n v="1"/>
    <n v="126"/>
    <n v="0"/>
    <n v="0"/>
    <n v="1"/>
    <n v="126"/>
    <n v="0.504"/>
    <n v="0"/>
    <n v="0"/>
    <n v="0.496"/>
    <n v="1"/>
    <n v="0.61904761904761907"/>
    <n v="78"/>
    <n v="0"/>
    <n v="21"/>
    <n v="8"/>
    <n v="0.38095238095238093"/>
    <n v="16"/>
    <n v="0"/>
    <n v="16"/>
    <n v="0.12698412698412698"/>
    <n v="0.87301587301587302"/>
    <n v="0.12698412698412698"/>
    <n v="0"/>
    <n v="0"/>
    <n v="0"/>
    <x v="0"/>
    <s v="Village"/>
    <x v="0"/>
    <n v="0"/>
    <n v="0"/>
    <n v="0"/>
    <n v="0"/>
    <x v="0"/>
    <m/>
  </r>
  <r>
    <x v="0"/>
    <x v="10"/>
    <x v="10"/>
    <s v="WV' Korea"/>
    <x v="2"/>
    <x v="14"/>
    <x v="0"/>
    <x v="180"/>
    <n v="31"/>
    <n v="135"/>
    <d v="2017-12-12T00:00:00"/>
    <d v="2020-09-30T00:00:00"/>
    <m/>
    <m/>
    <n v="1"/>
    <m/>
    <m/>
    <m/>
    <m/>
    <m/>
    <m/>
    <m/>
    <x v="0"/>
    <m/>
    <m/>
    <m/>
    <m/>
    <m/>
    <m/>
    <n v="9"/>
    <n v="8"/>
    <m/>
    <m/>
    <m/>
    <m/>
    <m/>
    <m/>
    <m/>
    <m/>
    <m/>
    <m/>
    <m/>
    <m/>
    <m/>
    <m/>
    <n v="1"/>
    <n v="135"/>
    <n v="0"/>
    <n v="0"/>
    <n v="1"/>
    <n v="135"/>
    <n v="0.54"/>
    <n v="0"/>
    <n v="0"/>
    <n v="0.45999999999999996"/>
    <n v="1"/>
    <n v="0"/>
    <n v="0"/>
    <n v="0"/>
    <n v="23"/>
    <n v="23"/>
    <n v="1"/>
    <n v="17"/>
    <n v="0"/>
    <n v="17"/>
    <n v="0.12592592592592591"/>
    <n v="0.87407407407407411"/>
    <n v="0.12592592592592591"/>
    <n v="0"/>
    <n v="0"/>
    <n v="0"/>
    <x v="0"/>
    <s v="Village"/>
    <x v="0"/>
    <n v="0"/>
    <n v="0"/>
    <n v="0"/>
    <n v="0"/>
    <x v="0"/>
    <m/>
  </r>
  <r>
    <x v="0"/>
    <x v="10"/>
    <x v="10"/>
    <s v="WV' Korea"/>
    <x v="2"/>
    <x v="15"/>
    <x v="0"/>
    <x v="181"/>
    <n v="97"/>
    <n v="482"/>
    <d v="2017-12-12T00:00:00"/>
    <d v="2020-09-30T00:00:00"/>
    <m/>
    <m/>
    <n v="2"/>
    <m/>
    <m/>
    <m/>
    <m/>
    <m/>
    <m/>
    <n v="50"/>
    <x v="0"/>
    <n v="2"/>
    <m/>
    <m/>
    <m/>
    <m/>
    <m/>
    <n v="15"/>
    <n v="12"/>
    <m/>
    <m/>
    <m/>
    <m/>
    <m/>
    <m/>
    <m/>
    <m/>
    <m/>
    <m/>
    <m/>
    <m/>
    <m/>
    <m/>
    <n v="1"/>
    <n v="482"/>
    <n v="0"/>
    <n v="0"/>
    <n v="1"/>
    <n v="482"/>
    <n v="1.9279999999999999"/>
    <n v="0"/>
    <n v="0"/>
    <n v="7.2000000000000064E-2"/>
    <n v="2"/>
    <n v="0.62240663900414939"/>
    <n v="300"/>
    <n v="100"/>
    <n v="80"/>
    <n v="30"/>
    <n v="0.37759336099585061"/>
    <n v="27"/>
    <n v="0"/>
    <n v="27"/>
    <n v="5.6016597510373446E-2"/>
    <n v="0.94398340248962653"/>
    <n v="5.6016597510373446E-2"/>
    <n v="0"/>
    <n v="0"/>
    <n v="0"/>
    <x v="0"/>
    <s v="Village"/>
    <x v="0"/>
    <n v="0"/>
    <n v="0"/>
    <n v="0"/>
    <n v="0"/>
    <x v="0"/>
    <m/>
  </r>
  <r>
    <x v="0"/>
    <x v="10"/>
    <x v="10"/>
    <s v="WV' Korea"/>
    <x v="2"/>
    <x v="14"/>
    <x v="0"/>
    <x v="182"/>
    <n v="59"/>
    <n v="305"/>
    <d v="2017-12-12T00:00:00"/>
    <d v="2020-09-30T00:00:00"/>
    <m/>
    <m/>
    <n v="1"/>
    <m/>
    <m/>
    <m/>
    <m/>
    <m/>
    <m/>
    <m/>
    <x v="0"/>
    <m/>
    <m/>
    <m/>
    <m/>
    <m/>
    <m/>
    <n v="3"/>
    <n v="10"/>
    <m/>
    <m/>
    <m/>
    <m/>
    <m/>
    <m/>
    <m/>
    <m/>
    <m/>
    <m/>
    <m/>
    <m/>
    <m/>
    <m/>
    <n v="1"/>
    <n v="305"/>
    <n v="0"/>
    <n v="0"/>
    <n v="1"/>
    <n v="305"/>
    <n v="1.22"/>
    <n v="0"/>
    <n v="0"/>
    <n v="0"/>
    <n v="1"/>
    <n v="0"/>
    <n v="0"/>
    <n v="0"/>
    <n v="51"/>
    <n v="51"/>
    <n v="1"/>
    <n v="13"/>
    <n v="0"/>
    <n v="13"/>
    <n v="4.2622950819672129E-2"/>
    <n v="0.95737704918032784"/>
    <n v="4.2622950819672129E-2"/>
    <n v="0"/>
    <n v="0"/>
    <n v="0"/>
    <x v="0"/>
    <s v="Village"/>
    <x v="0"/>
    <n v="0"/>
    <n v="0"/>
    <n v="0"/>
    <n v="0"/>
    <x v="0"/>
    <m/>
  </r>
  <r>
    <x v="0"/>
    <x v="10"/>
    <x v="10"/>
    <s v="WV' Korea"/>
    <x v="2"/>
    <x v="14"/>
    <x v="0"/>
    <x v="183"/>
    <n v="72"/>
    <n v="346"/>
    <d v="2017-12-12T00:00:00"/>
    <d v="2020-09-30T00:00:00"/>
    <m/>
    <m/>
    <m/>
    <m/>
    <m/>
    <m/>
    <m/>
    <m/>
    <m/>
    <n v="25"/>
    <x v="0"/>
    <m/>
    <m/>
    <m/>
    <m/>
    <m/>
    <m/>
    <n v="5"/>
    <n v="20"/>
    <m/>
    <m/>
    <m/>
    <m/>
    <m/>
    <m/>
    <m/>
    <m/>
    <m/>
    <m/>
    <m/>
    <m/>
    <m/>
    <m/>
    <n v="0"/>
    <n v="0"/>
    <n v="0"/>
    <n v="0"/>
    <n v="0"/>
    <n v="0"/>
    <n v="0"/>
    <n v="1"/>
    <n v="346"/>
    <n v="1"/>
    <n v="1"/>
    <n v="0.43352601156069365"/>
    <n v="150"/>
    <n v="0"/>
    <n v="58"/>
    <n v="33"/>
    <n v="0.56647398843930641"/>
    <n v="25"/>
    <n v="0"/>
    <n v="25"/>
    <n v="7.2254335260115612E-2"/>
    <n v="0.9277456647398844"/>
    <n v="7.2254335260115612E-2"/>
    <n v="0"/>
    <n v="0"/>
    <n v="0"/>
    <x v="0"/>
    <s v="Village"/>
    <x v="0"/>
    <n v="0"/>
    <n v="0"/>
    <n v="0"/>
    <n v="0"/>
    <x v="0"/>
    <m/>
  </r>
  <r>
    <x v="0"/>
    <x v="10"/>
    <x v="10"/>
    <s v="WV' Korea"/>
    <x v="2"/>
    <x v="14"/>
    <x v="0"/>
    <x v="184"/>
    <n v="44"/>
    <n v="241"/>
    <d v="2017-12-12T00:00:00"/>
    <d v="2020-09-30T00:00:00"/>
    <m/>
    <m/>
    <n v="1"/>
    <m/>
    <m/>
    <m/>
    <m/>
    <m/>
    <m/>
    <m/>
    <x v="0"/>
    <m/>
    <m/>
    <m/>
    <m/>
    <m/>
    <m/>
    <n v="3"/>
    <n v="10"/>
    <m/>
    <m/>
    <m/>
    <m/>
    <m/>
    <m/>
    <m/>
    <m/>
    <m/>
    <m/>
    <m/>
    <m/>
    <m/>
    <m/>
    <n v="1"/>
    <n v="241"/>
    <n v="0"/>
    <n v="0"/>
    <n v="1"/>
    <n v="241"/>
    <n v="0.96399999999999997"/>
    <n v="0"/>
    <n v="0"/>
    <n v="3.6000000000000032E-2"/>
    <n v="1"/>
    <n v="0"/>
    <n v="0"/>
    <n v="0"/>
    <n v="40"/>
    <n v="40"/>
    <n v="1"/>
    <n v="13"/>
    <n v="0"/>
    <n v="13"/>
    <n v="5.3941908713692949E-2"/>
    <n v="0.94605809128630702"/>
    <n v="5.3941908713692949E-2"/>
    <n v="0"/>
    <n v="0"/>
    <n v="0"/>
    <x v="0"/>
    <s v="Village"/>
    <x v="0"/>
    <n v="0"/>
    <n v="0"/>
    <n v="0"/>
    <n v="0"/>
    <x v="0"/>
    <m/>
  </r>
  <r>
    <x v="0"/>
    <x v="10"/>
    <x v="10"/>
    <s v="WV' Korea"/>
    <x v="2"/>
    <x v="14"/>
    <x v="0"/>
    <x v="185"/>
    <n v="30"/>
    <n v="148"/>
    <d v="2017-12-12T00:00:00"/>
    <d v="2020-09-30T00:00:00"/>
    <m/>
    <m/>
    <m/>
    <m/>
    <m/>
    <m/>
    <m/>
    <m/>
    <m/>
    <n v="24"/>
    <x v="0"/>
    <m/>
    <m/>
    <m/>
    <m/>
    <m/>
    <m/>
    <m/>
    <n v="20"/>
    <m/>
    <m/>
    <m/>
    <m/>
    <m/>
    <m/>
    <m/>
    <m/>
    <m/>
    <m/>
    <m/>
    <m/>
    <m/>
    <m/>
    <n v="0"/>
    <n v="0"/>
    <n v="0"/>
    <n v="0"/>
    <n v="0"/>
    <n v="0"/>
    <n v="0"/>
    <n v="1"/>
    <n v="148"/>
    <n v="1"/>
    <n v="1"/>
    <n v="0.97297297297297303"/>
    <n v="144"/>
    <n v="0"/>
    <n v="25"/>
    <n v="1"/>
    <n v="2.7027027027026973E-2"/>
    <n v="20"/>
    <n v="0"/>
    <n v="20"/>
    <n v="0.13513513513513514"/>
    <n v="0.86486486486486491"/>
    <n v="0.13513513513513514"/>
    <n v="0"/>
    <n v="0"/>
    <n v="0"/>
    <x v="0"/>
    <s v="Village"/>
    <x v="0"/>
    <n v="0"/>
    <n v="0"/>
    <n v="0"/>
    <n v="0"/>
    <x v="0"/>
    <m/>
  </r>
  <r>
    <x v="0"/>
    <x v="10"/>
    <x v="10"/>
    <s v="WV' Korea"/>
    <x v="2"/>
    <x v="14"/>
    <x v="0"/>
    <x v="186"/>
    <n v="47"/>
    <n v="233"/>
    <d v="2017-12-12T00:00:00"/>
    <d v="2020-09-30T00:00:00"/>
    <m/>
    <m/>
    <m/>
    <m/>
    <m/>
    <m/>
    <m/>
    <m/>
    <m/>
    <m/>
    <x v="0"/>
    <m/>
    <m/>
    <m/>
    <m/>
    <m/>
    <m/>
    <n v="1"/>
    <n v="21"/>
    <m/>
    <m/>
    <m/>
    <m/>
    <m/>
    <m/>
    <m/>
    <m/>
    <m/>
    <m/>
    <m/>
    <m/>
    <m/>
    <m/>
    <n v="0"/>
    <n v="0"/>
    <n v="0"/>
    <n v="0"/>
    <n v="0"/>
    <n v="0"/>
    <n v="0"/>
    <n v="1"/>
    <n v="233"/>
    <n v="1"/>
    <n v="1"/>
    <n v="0"/>
    <n v="0"/>
    <n v="0"/>
    <n v="39"/>
    <n v="39"/>
    <n v="1"/>
    <n v="22"/>
    <n v="0"/>
    <n v="22"/>
    <n v="9.4420600858369105E-2"/>
    <n v="0.90557939914163088"/>
    <n v="9.4420600858369105E-2"/>
    <n v="0"/>
    <n v="0"/>
    <n v="0"/>
    <x v="0"/>
    <s v="Village"/>
    <x v="0"/>
    <n v="0"/>
    <n v="0"/>
    <n v="0"/>
    <n v="0"/>
    <x v="0"/>
    <m/>
  </r>
  <r>
    <x v="0"/>
    <x v="10"/>
    <x v="10"/>
    <s v="WV' Korea"/>
    <x v="2"/>
    <x v="14"/>
    <x v="0"/>
    <x v="187"/>
    <n v="123"/>
    <n v="732"/>
    <d v="2017-12-12T00:00:00"/>
    <d v="2020-09-30T00:00:00"/>
    <m/>
    <m/>
    <m/>
    <m/>
    <m/>
    <m/>
    <m/>
    <m/>
    <m/>
    <m/>
    <x v="0"/>
    <m/>
    <m/>
    <m/>
    <m/>
    <m/>
    <m/>
    <n v="20"/>
    <n v="40"/>
    <m/>
    <m/>
    <m/>
    <m/>
    <m/>
    <m/>
    <m/>
    <m/>
    <m/>
    <m/>
    <m/>
    <m/>
    <m/>
    <m/>
    <n v="0"/>
    <n v="0"/>
    <n v="0"/>
    <n v="0"/>
    <n v="0"/>
    <n v="0"/>
    <n v="0"/>
    <n v="1"/>
    <n v="732"/>
    <n v="3"/>
    <n v="3"/>
    <n v="0"/>
    <n v="0"/>
    <n v="0"/>
    <n v="122"/>
    <n v="122"/>
    <n v="1"/>
    <n v="60"/>
    <n v="0"/>
    <n v="60"/>
    <n v="8.1967213114754092E-2"/>
    <n v="0.91803278688524592"/>
    <n v="8.1967213114754092E-2"/>
    <n v="0"/>
    <n v="0"/>
    <n v="0"/>
    <x v="0"/>
    <s v="Village"/>
    <x v="0"/>
    <n v="0"/>
    <n v="0"/>
    <n v="0"/>
    <n v="0"/>
    <x v="0"/>
    <m/>
  </r>
  <r>
    <x v="0"/>
    <x v="10"/>
    <x v="10"/>
    <s v="WV' Korea"/>
    <x v="2"/>
    <x v="14"/>
    <x v="0"/>
    <x v="188"/>
    <n v="55"/>
    <n v="332"/>
    <d v="2017-12-12T00:00:00"/>
    <d v="2020-09-30T00:00:00"/>
    <m/>
    <m/>
    <m/>
    <m/>
    <m/>
    <m/>
    <m/>
    <m/>
    <m/>
    <m/>
    <x v="0"/>
    <n v="2"/>
    <m/>
    <m/>
    <m/>
    <m/>
    <m/>
    <m/>
    <m/>
    <m/>
    <m/>
    <m/>
    <m/>
    <m/>
    <m/>
    <m/>
    <m/>
    <m/>
    <m/>
    <m/>
    <m/>
    <m/>
    <m/>
    <n v="0"/>
    <n v="0"/>
    <n v="0"/>
    <n v="0"/>
    <n v="0"/>
    <n v="0"/>
    <n v="0"/>
    <n v="1"/>
    <n v="332"/>
    <n v="1"/>
    <n v="1"/>
    <n v="0"/>
    <n v="0"/>
    <n v="100"/>
    <n v="55"/>
    <n v="55"/>
    <n v="1"/>
    <n v="0"/>
    <n v="0"/>
    <n v="0"/>
    <n v="0"/>
    <n v="1"/>
    <n v="0"/>
    <n v="0"/>
    <n v="0"/>
    <n v="0"/>
    <x v="0"/>
    <s v="Village"/>
    <x v="0"/>
    <n v="0"/>
    <n v="0"/>
    <n v="0"/>
    <n v="0"/>
    <x v="0"/>
    <m/>
  </r>
  <r>
    <x v="0"/>
    <x v="10"/>
    <x v="10"/>
    <s v="WV' Korea"/>
    <x v="2"/>
    <x v="14"/>
    <x v="0"/>
    <x v="189"/>
    <n v="114"/>
    <n v="350"/>
    <d v="2019-01-11T00:00:00"/>
    <d v="2020-09-30T00:00:00"/>
    <m/>
    <m/>
    <m/>
    <m/>
    <m/>
    <m/>
    <m/>
    <m/>
    <m/>
    <m/>
    <x v="0"/>
    <m/>
    <m/>
    <m/>
    <m/>
    <m/>
    <m/>
    <m/>
    <m/>
    <m/>
    <m/>
    <m/>
    <m/>
    <m/>
    <m/>
    <m/>
    <m/>
    <m/>
    <m/>
    <m/>
    <m/>
    <m/>
    <m/>
    <n v="0"/>
    <n v="0"/>
    <n v="0"/>
    <n v="0"/>
    <n v="0"/>
    <n v="0"/>
    <n v="0"/>
    <n v="1"/>
    <n v="350"/>
    <n v="1"/>
    <n v="1"/>
    <n v="0"/>
    <n v="0"/>
    <n v="0"/>
    <n v="58"/>
    <n v="58"/>
    <n v="1"/>
    <n v="0"/>
    <n v="0"/>
    <n v="0"/>
    <n v="0"/>
    <n v="1"/>
    <n v="0"/>
    <n v="0"/>
    <n v="0"/>
    <n v="0"/>
    <x v="0"/>
    <s v="Village"/>
    <x v="0"/>
    <n v="0"/>
    <n v="0"/>
    <n v="0"/>
    <n v="0"/>
    <x v="0"/>
    <m/>
  </r>
  <r>
    <x v="0"/>
    <x v="10"/>
    <x v="10"/>
    <s v="WV' Korea"/>
    <x v="2"/>
    <x v="14"/>
    <x v="0"/>
    <x v="190"/>
    <n v="47"/>
    <n v="137"/>
    <d v="2019-01-11T00:00:00"/>
    <d v="2020-09-30T00:00:00"/>
    <m/>
    <m/>
    <m/>
    <m/>
    <m/>
    <m/>
    <m/>
    <m/>
    <m/>
    <m/>
    <x v="0"/>
    <m/>
    <m/>
    <m/>
    <m/>
    <m/>
    <m/>
    <m/>
    <m/>
    <m/>
    <m/>
    <m/>
    <m/>
    <m/>
    <m/>
    <m/>
    <m/>
    <m/>
    <m/>
    <m/>
    <m/>
    <m/>
    <m/>
    <n v="0"/>
    <n v="0"/>
    <n v="0"/>
    <n v="0"/>
    <n v="0"/>
    <n v="0"/>
    <n v="0"/>
    <n v="1"/>
    <n v="137"/>
    <n v="1"/>
    <n v="1"/>
    <n v="0"/>
    <n v="0"/>
    <n v="0"/>
    <n v="23"/>
    <n v="23"/>
    <n v="1"/>
    <n v="0"/>
    <n v="0"/>
    <n v="0"/>
    <n v="0"/>
    <n v="1"/>
    <n v="0"/>
    <n v="0"/>
    <n v="0"/>
    <n v="0"/>
    <x v="0"/>
    <s v="Village"/>
    <x v="0"/>
    <n v="0"/>
    <n v="0"/>
    <n v="0"/>
    <n v="0"/>
    <x v="0"/>
    <m/>
  </r>
  <r>
    <x v="0"/>
    <x v="10"/>
    <x v="10"/>
    <s v="WV' Korea"/>
    <x v="2"/>
    <x v="14"/>
    <x v="0"/>
    <x v="191"/>
    <n v="138"/>
    <n v="578"/>
    <d v="2019-01-11T00:00:00"/>
    <d v="2020-09-30T00:00:00"/>
    <m/>
    <m/>
    <n v="1"/>
    <m/>
    <m/>
    <m/>
    <m/>
    <m/>
    <m/>
    <m/>
    <x v="0"/>
    <m/>
    <m/>
    <m/>
    <m/>
    <m/>
    <m/>
    <m/>
    <m/>
    <m/>
    <m/>
    <m/>
    <m/>
    <m/>
    <m/>
    <m/>
    <m/>
    <m/>
    <m/>
    <m/>
    <m/>
    <m/>
    <m/>
    <n v="1"/>
    <n v="578"/>
    <n v="0"/>
    <n v="0"/>
    <n v="1"/>
    <n v="578"/>
    <n v="2.3119999999999998"/>
    <n v="0"/>
    <n v="0"/>
    <n v="0"/>
    <n v="2"/>
    <n v="0"/>
    <n v="0"/>
    <n v="0"/>
    <n v="96"/>
    <n v="96"/>
    <n v="1"/>
    <n v="0"/>
    <n v="0"/>
    <n v="0"/>
    <n v="0"/>
    <n v="1"/>
    <n v="0"/>
    <n v="0"/>
    <n v="0"/>
    <n v="0"/>
    <x v="0"/>
    <s v="Village"/>
    <x v="0"/>
    <n v="0"/>
    <n v="0"/>
    <n v="0"/>
    <n v="0"/>
    <x v="0"/>
    <m/>
  </r>
  <r>
    <x v="0"/>
    <x v="10"/>
    <x v="10"/>
    <s v="WV' Korea"/>
    <x v="2"/>
    <x v="14"/>
    <x v="0"/>
    <x v="192"/>
    <n v="37"/>
    <n v="68"/>
    <d v="2019-01-11T00:00:00"/>
    <d v="2020-09-30T00:00:00"/>
    <m/>
    <m/>
    <n v="1"/>
    <m/>
    <m/>
    <m/>
    <m/>
    <m/>
    <m/>
    <m/>
    <x v="0"/>
    <m/>
    <m/>
    <m/>
    <m/>
    <m/>
    <m/>
    <m/>
    <m/>
    <m/>
    <m/>
    <m/>
    <m/>
    <m/>
    <m/>
    <m/>
    <m/>
    <m/>
    <m/>
    <m/>
    <m/>
    <m/>
    <m/>
    <n v="1"/>
    <n v="68"/>
    <n v="0"/>
    <n v="0"/>
    <n v="1"/>
    <n v="68"/>
    <n v="0.27200000000000002"/>
    <n v="0"/>
    <n v="0"/>
    <n v="0.72799999999999998"/>
    <n v="1"/>
    <n v="0"/>
    <n v="0"/>
    <n v="0"/>
    <n v="11"/>
    <n v="11"/>
    <n v="1"/>
    <n v="0"/>
    <n v="0"/>
    <n v="0"/>
    <n v="0"/>
    <n v="1"/>
    <n v="0"/>
    <n v="0"/>
    <n v="0"/>
    <n v="0"/>
    <x v="0"/>
    <s v="Village"/>
    <x v="0"/>
    <n v="0"/>
    <n v="0"/>
    <n v="0"/>
    <n v="0"/>
    <x v="0"/>
    <m/>
  </r>
  <r>
    <x v="0"/>
    <x v="10"/>
    <x v="10"/>
    <s v="WV' Korea"/>
    <x v="2"/>
    <x v="14"/>
    <x v="0"/>
    <x v="193"/>
    <n v="55"/>
    <n v="167"/>
    <d v="2019-01-11T00:00:00"/>
    <d v="2020-09-30T00:00:00"/>
    <m/>
    <m/>
    <m/>
    <m/>
    <m/>
    <m/>
    <m/>
    <m/>
    <m/>
    <m/>
    <x v="0"/>
    <m/>
    <m/>
    <m/>
    <m/>
    <m/>
    <m/>
    <m/>
    <m/>
    <m/>
    <m/>
    <m/>
    <m/>
    <m/>
    <m/>
    <m/>
    <m/>
    <m/>
    <m/>
    <m/>
    <m/>
    <m/>
    <m/>
    <n v="0"/>
    <n v="0"/>
    <n v="0"/>
    <n v="0"/>
    <n v="0"/>
    <n v="0"/>
    <n v="0"/>
    <n v="1"/>
    <n v="167"/>
    <n v="1"/>
    <n v="1"/>
    <n v="0"/>
    <n v="0"/>
    <n v="0"/>
    <n v="28"/>
    <n v="28"/>
    <n v="1"/>
    <n v="0"/>
    <n v="0"/>
    <n v="0"/>
    <n v="0"/>
    <n v="1"/>
    <n v="0"/>
    <n v="0"/>
    <n v="0"/>
    <n v="0"/>
    <x v="0"/>
    <s v="Village"/>
    <x v="0"/>
    <n v="0"/>
    <n v="0"/>
    <n v="0"/>
    <n v="0"/>
    <x v="0"/>
    <m/>
  </r>
  <r>
    <x v="0"/>
    <x v="10"/>
    <x v="10"/>
    <s v="WV' Korea"/>
    <x v="2"/>
    <x v="14"/>
    <x v="0"/>
    <x v="194"/>
    <n v="46"/>
    <n v="126"/>
    <d v="2019-01-11T00:00:00"/>
    <d v="2020-09-30T00:00:00"/>
    <m/>
    <m/>
    <m/>
    <m/>
    <m/>
    <m/>
    <m/>
    <m/>
    <m/>
    <m/>
    <x v="0"/>
    <m/>
    <m/>
    <m/>
    <m/>
    <m/>
    <m/>
    <m/>
    <m/>
    <m/>
    <m/>
    <m/>
    <m/>
    <m/>
    <m/>
    <m/>
    <m/>
    <m/>
    <m/>
    <m/>
    <m/>
    <m/>
    <m/>
    <n v="0"/>
    <n v="0"/>
    <n v="0"/>
    <n v="0"/>
    <n v="0"/>
    <n v="0"/>
    <n v="0"/>
    <n v="1"/>
    <n v="126"/>
    <n v="1"/>
    <n v="1"/>
    <n v="0"/>
    <n v="0"/>
    <n v="0"/>
    <n v="21"/>
    <n v="21"/>
    <n v="1"/>
    <n v="0"/>
    <n v="0"/>
    <n v="0"/>
    <n v="0"/>
    <n v="1"/>
    <n v="0"/>
    <n v="0"/>
    <n v="0"/>
    <n v="0"/>
    <x v="0"/>
    <s v="Village"/>
    <x v="0"/>
    <n v="0"/>
    <n v="0"/>
    <n v="0"/>
    <n v="0"/>
    <x v="0"/>
    <m/>
  </r>
  <r>
    <x v="1"/>
    <x v="11"/>
    <x v="11"/>
    <s v="LIFT"/>
    <x v="2"/>
    <x v="16"/>
    <x v="0"/>
    <x v="195"/>
    <n v="54"/>
    <n v="300"/>
    <d v="2020-01-01T00:00:00"/>
    <d v="2022-12-31T00:00:00"/>
    <m/>
    <m/>
    <m/>
    <m/>
    <m/>
    <m/>
    <m/>
    <m/>
    <m/>
    <m/>
    <x v="0"/>
    <m/>
    <n v="3"/>
    <m/>
    <m/>
    <m/>
    <m/>
    <m/>
    <m/>
    <m/>
    <m/>
    <m/>
    <m/>
    <m/>
    <m/>
    <m/>
    <m/>
    <m/>
    <m/>
    <m/>
    <m/>
    <m/>
    <m/>
    <n v="0"/>
    <n v="0"/>
    <n v="0"/>
    <n v="0"/>
    <n v="0"/>
    <n v="0"/>
    <n v="0"/>
    <n v="1"/>
    <n v="300"/>
    <n v="1"/>
    <n v="1"/>
    <n v="0"/>
    <n v="0"/>
    <n v="0"/>
    <n v="50"/>
    <n v="50"/>
    <n v="1"/>
    <n v="0"/>
    <n v="0"/>
    <n v="0"/>
    <n v="0"/>
    <n v="1"/>
    <n v="0"/>
    <n v="0"/>
    <n v="0"/>
    <n v="0"/>
    <x v="0"/>
    <s v="Village"/>
    <x v="0"/>
    <n v="0"/>
    <n v="0"/>
    <n v="0"/>
    <n v="0"/>
    <x v="0"/>
    <m/>
  </r>
  <r>
    <x v="1"/>
    <x v="11"/>
    <x v="11"/>
    <s v="LIFT"/>
    <x v="2"/>
    <x v="16"/>
    <x v="0"/>
    <x v="196"/>
    <n v="17"/>
    <n v="95"/>
    <d v="2020-01-01T00:00:00"/>
    <d v="2022-12-31T00:00:00"/>
    <m/>
    <m/>
    <m/>
    <m/>
    <m/>
    <m/>
    <m/>
    <m/>
    <m/>
    <m/>
    <x v="0"/>
    <m/>
    <n v="3"/>
    <m/>
    <m/>
    <m/>
    <m/>
    <m/>
    <m/>
    <m/>
    <m/>
    <m/>
    <m/>
    <m/>
    <m/>
    <m/>
    <m/>
    <m/>
    <m/>
    <m/>
    <m/>
    <m/>
    <m/>
    <n v="0"/>
    <n v="0"/>
    <n v="0"/>
    <n v="0"/>
    <n v="0"/>
    <n v="0"/>
    <n v="0"/>
    <n v="1"/>
    <n v="95"/>
    <n v="1"/>
    <n v="1"/>
    <n v="0"/>
    <n v="0"/>
    <n v="0"/>
    <n v="16"/>
    <n v="16"/>
    <n v="1"/>
    <n v="0"/>
    <n v="0"/>
    <n v="0"/>
    <n v="0"/>
    <n v="1"/>
    <n v="0"/>
    <n v="0"/>
    <n v="0"/>
    <n v="0"/>
    <x v="0"/>
    <s v="Village"/>
    <x v="0"/>
    <n v="0"/>
    <n v="0"/>
    <n v="0"/>
    <n v="0"/>
    <x v="0"/>
    <m/>
  </r>
  <r>
    <x v="1"/>
    <x v="11"/>
    <x v="11"/>
    <s v="LIFT"/>
    <x v="2"/>
    <x v="16"/>
    <x v="0"/>
    <x v="197"/>
    <n v="71"/>
    <n v="485"/>
    <d v="2020-01-01T00:00:00"/>
    <d v="2022-12-31T00:00:00"/>
    <m/>
    <m/>
    <m/>
    <m/>
    <m/>
    <m/>
    <m/>
    <m/>
    <m/>
    <m/>
    <x v="0"/>
    <m/>
    <n v="16"/>
    <m/>
    <m/>
    <m/>
    <m/>
    <m/>
    <m/>
    <m/>
    <m/>
    <m/>
    <m/>
    <m/>
    <m/>
    <m/>
    <m/>
    <m/>
    <m/>
    <m/>
    <m/>
    <m/>
    <m/>
    <n v="0"/>
    <n v="0"/>
    <n v="0"/>
    <n v="0"/>
    <n v="0"/>
    <n v="0"/>
    <n v="0"/>
    <n v="1"/>
    <n v="485"/>
    <n v="2"/>
    <n v="2"/>
    <n v="0"/>
    <n v="0"/>
    <n v="0"/>
    <n v="81"/>
    <n v="81"/>
    <n v="1"/>
    <n v="0"/>
    <n v="0"/>
    <n v="0"/>
    <n v="0"/>
    <n v="1"/>
    <n v="0"/>
    <n v="0"/>
    <n v="0"/>
    <n v="0"/>
    <x v="0"/>
    <s v="Village"/>
    <x v="0"/>
    <n v="0"/>
    <n v="0"/>
    <n v="0"/>
    <n v="0"/>
    <x v="0"/>
    <m/>
  </r>
  <r>
    <x v="1"/>
    <x v="11"/>
    <x v="11"/>
    <s v="LIFT"/>
    <x v="2"/>
    <x v="16"/>
    <x v="0"/>
    <x v="198"/>
    <n v="64"/>
    <n v="318"/>
    <d v="2020-01-01T00:00:00"/>
    <d v="2022-12-31T00:00:00"/>
    <m/>
    <m/>
    <m/>
    <m/>
    <m/>
    <m/>
    <m/>
    <m/>
    <m/>
    <m/>
    <x v="0"/>
    <m/>
    <n v="2"/>
    <m/>
    <m/>
    <m/>
    <m/>
    <m/>
    <m/>
    <m/>
    <m/>
    <m/>
    <m/>
    <m/>
    <m/>
    <m/>
    <m/>
    <m/>
    <m/>
    <m/>
    <m/>
    <m/>
    <m/>
    <n v="0"/>
    <n v="0"/>
    <n v="0"/>
    <n v="0"/>
    <n v="0"/>
    <n v="0"/>
    <n v="0"/>
    <n v="1"/>
    <n v="318"/>
    <n v="1"/>
    <n v="1"/>
    <n v="0"/>
    <n v="0"/>
    <n v="0"/>
    <n v="53"/>
    <n v="53"/>
    <n v="1"/>
    <n v="0"/>
    <n v="0"/>
    <n v="0"/>
    <n v="0"/>
    <n v="1"/>
    <n v="0"/>
    <n v="0"/>
    <n v="0"/>
    <n v="0"/>
    <x v="0"/>
    <s v="Village"/>
    <x v="0"/>
    <n v="0"/>
    <n v="0"/>
    <n v="0"/>
    <n v="0"/>
    <x v="0"/>
    <m/>
  </r>
  <r>
    <x v="1"/>
    <x v="11"/>
    <x v="11"/>
    <s v="LIFT"/>
    <x v="2"/>
    <x v="16"/>
    <x v="0"/>
    <x v="199"/>
    <n v="27"/>
    <n v="208"/>
    <d v="2020-01-01T00:00:00"/>
    <d v="2022-12-31T00:00:00"/>
    <m/>
    <m/>
    <m/>
    <m/>
    <m/>
    <m/>
    <m/>
    <m/>
    <m/>
    <m/>
    <x v="0"/>
    <m/>
    <n v="4"/>
    <m/>
    <m/>
    <m/>
    <m/>
    <m/>
    <m/>
    <m/>
    <m/>
    <m/>
    <m/>
    <m/>
    <m/>
    <m/>
    <m/>
    <m/>
    <m/>
    <m/>
    <m/>
    <m/>
    <m/>
    <n v="0"/>
    <n v="0"/>
    <n v="0"/>
    <n v="0"/>
    <n v="0"/>
    <n v="0"/>
    <n v="0"/>
    <n v="1"/>
    <n v="208"/>
    <n v="1"/>
    <n v="1"/>
    <n v="0"/>
    <n v="0"/>
    <n v="0"/>
    <n v="35"/>
    <n v="35"/>
    <n v="1"/>
    <n v="0"/>
    <n v="0"/>
    <n v="0"/>
    <n v="0"/>
    <n v="1"/>
    <n v="0"/>
    <n v="0"/>
    <n v="0"/>
    <n v="0"/>
    <x v="0"/>
    <s v="Village"/>
    <x v="0"/>
    <n v="0"/>
    <n v="0"/>
    <n v="0"/>
    <n v="0"/>
    <x v="0"/>
    <m/>
  </r>
  <r>
    <x v="1"/>
    <x v="11"/>
    <x v="11"/>
    <s v="LIFT"/>
    <x v="2"/>
    <x v="16"/>
    <x v="0"/>
    <x v="200"/>
    <n v="43"/>
    <n v="240"/>
    <d v="2020-01-01T00:00:00"/>
    <d v="2022-12-31T00:00:00"/>
    <m/>
    <m/>
    <m/>
    <m/>
    <m/>
    <m/>
    <m/>
    <m/>
    <m/>
    <m/>
    <x v="0"/>
    <m/>
    <n v="1"/>
    <m/>
    <m/>
    <m/>
    <m/>
    <m/>
    <m/>
    <m/>
    <m/>
    <m/>
    <m/>
    <m/>
    <m/>
    <m/>
    <m/>
    <m/>
    <m/>
    <m/>
    <m/>
    <m/>
    <m/>
    <n v="0"/>
    <n v="0"/>
    <n v="0"/>
    <n v="0"/>
    <n v="0"/>
    <n v="0"/>
    <n v="0"/>
    <n v="1"/>
    <n v="240"/>
    <n v="1"/>
    <n v="1"/>
    <n v="0"/>
    <n v="0"/>
    <n v="0"/>
    <n v="40"/>
    <n v="40"/>
    <n v="1"/>
    <n v="0"/>
    <n v="0"/>
    <n v="0"/>
    <n v="0"/>
    <n v="1"/>
    <n v="0"/>
    <n v="0"/>
    <n v="0"/>
    <n v="0"/>
    <x v="0"/>
    <s v="Village"/>
    <x v="0"/>
    <n v="0"/>
    <n v="0"/>
    <n v="0"/>
    <n v="0"/>
    <x v="0"/>
    <m/>
  </r>
  <r>
    <x v="1"/>
    <x v="11"/>
    <x v="11"/>
    <s v="LIFT"/>
    <x v="2"/>
    <x v="16"/>
    <x v="0"/>
    <x v="201"/>
    <n v="70"/>
    <n v="332"/>
    <d v="2020-01-01T00:00:00"/>
    <d v="2022-12-31T00:00:00"/>
    <m/>
    <m/>
    <m/>
    <m/>
    <m/>
    <m/>
    <m/>
    <m/>
    <m/>
    <m/>
    <x v="0"/>
    <m/>
    <n v="1"/>
    <m/>
    <m/>
    <m/>
    <m/>
    <m/>
    <m/>
    <m/>
    <m/>
    <m/>
    <m/>
    <m/>
    <m/>
    <m/>
    <m/>
    <m/>
    <m/>
    <m/>
    <m/>
    <m/>
    <m/>
    <n v="0"/>
    <n v="0"/>
    <n v="0"/>
    <n v="0"/>
    <n v="0"/>
    <n v="0"/>
    <n v="0"/>
    <n v="1"/>
    <n v="332"/>
    <n v="1"/>
    <n v="1"/>
    <n v="0"/>
    <n v="0"/>
    <n v="0"/>
    <n v="55"/>
    <n v="55"/>
    <n v="1"/>
    <n v="0"/>
    <n v="0"/>
    <n v="0"/>
    <n v="0"/>
    <n v="1"/>
    <n v="0"/>
    <n v="0"/>
    <n v="0"/>
    <n v="0"/>
    <x v="0"/>
    <s v="Village"/>
    <x v="0"/>
    <n v="0"/>
    <n v="0"/>
    <n v="0"/>
    <n v="0"/>
    <x v="0"/>
    <m/>
  </r>
  <r>
    <x v="1"/>
    <x v="11"/>
    <x v="11"/>
    <s v="LIFT"/>
    <x v="2"/>
    <x v="16"/>
    <x v="0"/>
    <x v="202"/>
    <n v="104"/>
    <n v="597"/>
    <d v="2020-01-01T00:00:00"/>
    <d v="2022-12-31T00:00:00"/>
    <m/>
    <m/>
    <m/>
    <m/>
    <m/>
    <m/>
    <m/>
    <m/>
    <m/>
    <m/>
    <x v="0"/>
    <m/>
    <n v="4"/>
    <m/>
    <m/>
    <m/>
    <m/>
    <m/>
    <m/>
    <m/>
    <m/>
    <m/>
    <m/>
    <m/>
    <m/>
    <m/>
    <m/>
    <m/>
    <m/>
    <m/>
    <m/>
    <m/>
    <m/>
    <n v="0"/>
    <n v="0"/>
    <n v="0"/>
    <n v="0"/>
    <n v="0"/>
    <n v="0"/>
    <n v="0"/>
    <n v="1"/>
    <n v="597"/>
    <n v="2"/>
    <n v="2"/>
    <n v="0"/>
    <n v="0"/>
    <n v="0"/>
    <n v="100"/>
    <n v="100"/>
    <n v="1"/>
    <n v="0"/>
    <n v="0"/>
    <n v="0"/>
    <n v="0"/>
    <n v="1"/>
    <n v="0"/>
    <n v="0"/>
    <n v="0"/>
    <n v="0"/>
    <x v="0"/>
    <s v="Village"/>
    <x v="0"/>
    <n v="0"/>
    <n v="0"/>
    <n v="0"/>
    <n v="0"/>
    <x v="0"/>
    <m/>
  </r>
  <r>
    <x v="1"/>
    <x v="11"/>
    <x v="11"/>
    <s v="LIFT"/>
    <x v="2"/>
    <x v="16"/>
    <x v="0"/>
    <x v="203"/>
    <n v="23"/>
    <n v="156"/>
    <d v="2020-01-01T00:00:00"/>
    <d v="2022-12-31T00:00:00"/>
    <m/>
    <m/>
    <m/>
    <m/>
    <m/>
    <m/>
    <m/>
    <m/>
    <m/>
    <m/>
    <x v="0"/>
    <m/>
    <n v="6"/>
    <m/>
    <m/>
    <m/>
    <m/>
    <m/>
    <m/>
    <m/>
    <m/>
    <m/>
    <m/>
    <m/>
    <m/>
    <m/>
    <m/>
    <m/>
    <m/>
    <m/>
    <m/>
    <m/>
    <m/>
    <n v="0"/>
    <n v="0"/>
    <n v="0"/>
    <n v="0"/>
    <n v="0"/>
    <n v="0"/>
    <n v="0"/>
    <n v="1"/>
    <n v="156"/>
    <n v="1"/>
    <n v="1"/>
    <n v="0"/>
    <n v="0"/>
    <n v="0"/>
    <n v="26"/>
    <n v="26"/>
    <n v="1"/>
    <n v="0"/>
    <n v="0"/>
    <n v="0"/>
    <n v="0"/>
    <n v="1"/>
    <n v="0"/>
    <n v="0"/>
    <n v="0"/>
    <n v="0"/>
    <x v="0"/>
    <s v="Village"/>
    <x v="0"/>
    <n v="0"/>
    <n v="0"/>
    <n v="0"/>
    <n v="0"/>
    <x v="0"/>
    <m/>
  </r>
  <r>
    <x v="1"/>
    <x v="11"/>
    <x v="11"/>
    <s v="LIFT"/>
    <x v="2"/>
    <x v="16"/>
    <x v="0"/>
    <x v="204"/>
    <n v="36"/>
    <n v="220"/>
    <d v="2020-01-01T00:00:00"/>
    <d v="2022-12-31T00:00:00"/>
    <m/>
    <m/>
    <m/>
    <m/>
    <m/>
    <m/>
    <m/>
    <m/>
    <m/>
    <m/>
    <x v="0"/>
    <m/>
    <n v="2"/>
    <m/>
    <m/>
    <m/>
    <m/>
    <m/>
    <m/>
    <m/>
    <m/>
    <m/>
    <m/>
    <m/>
    <m/>
    <m/>
    <m/>
    <m/>
    <m/>
    <m/>
    <m/>
    <m/>
    <m/>
    <n v="0"/>
    <n v="0"/>
    <n v="0"/>
    <n v="0"/>
    <n v="0"/>
    <n v="0"/>
    <n v="0"/>
    <n v="1"/>
    <n v="220"/>
    <n v="1"/>
    <n v="1"/>
    <n v="0"/>
    <n v="0"/>
    <n v="0"/>
    <n v="37"/>
    <n v="37"/>
    <n v="1"/>
    <n v="0"/>
    <n v="0"/>
    <n v="0"/>
    <n v="0"/>
    <n v="1"/>
    <n v="0"/>
    <n v="0"/>
    <n v="0"/>
    <n v="0"/>
    <x v="0"/>
    <s v="Village"/>
    <x v="0"/>
    <n v="0"/>
    <n v="0"/>
    <n v="0"/>
    <n v="0"/>
    <x v="0"/>
    <m/>
  </r>
  <r>
    <x v="1"/>
    <x v="11"/>
    <x v="11"/>
    <s v="LIFT"/>
    <x v="2"/>
    <x v="16"/>
    <x v="0"/>
    <x v="205"/>
    <n v="36"/>
    <n v="145"/>
    <d v="2020-01-01T00:00:00"/>
    <d v="2022-12-31T00:00:00"/>
    <m/>
    <m/>
    <m/>
    <m/>
    <m/>
    <m/>
    <m/>
    <m/>
    <m/>
    <m/>
    <x v="0"/>
    <m/>
    <n v="1"/>
    <m/>
    <m/>
    <m/>
    <m/>
    <m/>
    <m/>
    <m/>
    <m/>
    <m/>
    <m/>
    <m/>
    <m/>
    <m/>
    <m/>
    <m/>
    <m/>
    <m/>
    <m/>
    <m/>
    <m/>
    <n v="0"/>
    <n v="0"/>
    <n v="0"/>
    <n v="0"/>
    <n v="0"/>
    <n v="0"/>
    <n v="0"/>
    <n v="1"/>
    <n v="145"/>
    <n v="1"/>
    <n v="1"/>
    <n v="0"/>
    <n v="0"/>
    <n v="0"/>
    <n v="24"/>
    <n v="24"/>
    <n v="1"/>
    <n v="0"/>
    <n v="0"/>
    <n v="0"/>
    <n v="0"/>
    <n v="1"/>
    <n v="0"/>
    <n v="0"/>
    <n v="0"/>
    <n v="0"/>
    <x v="0"/>
    <s v="Village"/>
    <x v="0"/>
    <n v="0"/>
    <n v="0"/>
    <n v="0"/>
    <n v="0"/>
    <x v="0"/>
    <m/>
  </r>
  <r>
    <x v="1"/>
    <x v="11"/>
    <x v="11"/>
    <s v="LIFT"/>
    <x v="2"/>
    <x v="16"/>
    <x v="0"/>
    <x v="206"/>
    <n v="28"/>
    <n v="223"/>
    <d v="2020-01-01T00:00:00"/>
    <d v="2022-12-31T00:00:00"/>
    <m/>
    <m/>
    <m/>
    <m/>
    <m/>
    <m/>
    <m/>
    <m/>
    <m/>
    <m/>
    <x v="0"/>
    <m/>
    <n v="7"/>
    <m/>
    <m/>
    <m/>
    <m/>
    <m/>
    <m/>
    <m/>
    <m/>
    <m/>
    <m/>
    <m/>
    <m/>
    <m/>
    <m/>
    <m/>
    <m/>
    <m/>
    <m/>
    <m/>
    <m/>
    <n v="0"/>
    <n v="0"/>
    <n v="0"/>
    <n v="0"/>
    <n v="0"/>
    <n v="0"/>
    <n v="0"/>
    <n v="1"/>
    <n v="223"/>
    <n v="1"/>
    <n v="1"/>
    <n v="0"/>
    <n v="0"/>
    <n v="0"/>
    <n v="37"/>
    <n v="37"/>
    <n v="1"/>
    <n v="0"/>
    <n v="0"/>
    <n v="0"/>
    <n v="0"/>
    <n v="1"/>
    <n v="0"/>
    <n v="0"/>
    <n v="0"/>
    <n v="0"/>
    <x v="0"/>
    <s v="Village"/>
    <x v="0"/>
    <n v="0"/>
    <n v="0"/>
    <n v="0"/>
    <n v="0"/>
    <x v="0"/>
    <m/>
  </r>
  <r>
    <x v="1"/>
    <x v="11"/>
    <x v="11"/>
    <s v="LIFT"/>
    <x v="2"/>
    <x v="16"/>
    <x v="0"/>
    <x v="207"/>
    <n v="17"/>
    <n v="183"/>
    <d v="2020-01-01T00:00:00"/>
    <d v="2022-12-31T00:00:00"/>
    <m/>
    <m/>
    <m/>
    <m/>
    <m/>
    <m/>
    <m/>
    <m/>
    <m/>
    <m/>
    <x v="0"/>
    <m/>
    <n v="1"/>
    <m/>
    <m/>
    <m/>
    <m/>
    <m/>
    <m/>
    <m/>
    <m/>
    <m/>
    <m/>
    <m/>
    <m/>
    <m/>
    <m/>
    <m/>
    <m/>
    <m/>
    <m/>
    <m/>
    <m/>
    <n v="0"/>
    <n v="0"/>
    <n v="0"/>
    <n v="0"/>
    <n v="0"/>
    <n v="0"/>
    <n v="0"/>
    <n v="1"/>
    <n v="183"/>
    <n v="1"/>
    <n v="1"/>
    <n v="0"/>
    <n v="0"/>
    <n v="0"/>
    <n v="31"/>
    <n v="31"/>
    <n v="1"/>
    <n v="0"/>
    <n v="0"/>
    <n v="0"/>
    <n v="0"/>
    <n v="1"/>
    <n v="0"/>
    <n v="0"/>
    <n v="0"/>
    <n v="0"/>
    <x v="0"/>
    <s v="Village"/>
    <x v="0"/>
    <n v="0"/>
    <n v="0"/>
    <n v="0"/>
    <n v="0"/>
    <x v="0"/>
    <m/>
  </r>
  <r>
    <x v="1"/>
    <x v="11"/>
    <x v="11"/>
    <s v="LIFT"/>
    <x v="2"/>
    <x v="16"/>
    <x v="0"/>
    <x v="208"/>
    <n v="34"/>
    <n v="239"/>
    <d v="2020-01-01T00:00:00"/>
    <d v="2022-12-31T00:00:00"/>
    <m/>
    <m/>
    <m/>
    <m/>
    <m/>
    <m/>
    <m/>
    <m/>
    <m/>
    <m/>
    <x v="0"/>
    <m/>
    <n v="8"/>
    <m/>
    <m/>
    <m/>
    <m/>
    <m/>
    <m/>
    <m/>
    <m/>
    <m/>
    <m/>
    <m/>
    <m/>
    <m/>
    <m/>
    <m/>
    <m/>
    <m/>
    <m/>
    <m/>
    <m/>
    <n v="0"/>
    <n v="0"/>
    <n v="0"/>
    <n v="0"/>
    <n v="0"/>
    <n v="0"/>
    <n v="0"/>
    <n v="1"/>
    <n v="239"/>
    <n v="1"/>
    <n v="1"/>
    <n v="0"/>
    <n v="0"/>
    <n v="0"/>
    <n v="40"/>
    <n v="40"/>
    <n v="1"/>
    <n v="0"/>
    <n v="0"/>
    <n v="0"/>
    <n v="0"/>
    <n v="1"/>
    <n v="0"/>
    <n v="0"/>
    <n v="0"/>
    <n v="0"/>
    <x v="0"/>
    <s v="Village"/>
    <x v="0"/>
    <n v="0"/>
    <n v="0"/>
    <n v="0"/>
    <n v="0"/>
    <x v="0"/>
    <m/>
  </r>
  <r>
    <x v="1"/>
    <x v="11"/>
    <x v="11"/>
    <s v="LIFT"/>
    <x v="2"/>
    <x v="17"/>
    <x v="0"/>
    <x v="209"/>
    <n v="15"/>
    <n v="78"/>
    <d v="2020-01-01T00:00:00"/>
    <d v="2022-12-31T00:00:00"/>
    <m/>
    <m/>
    <m/>
    <m/>
    <m/>
    <m/>
    <m/>
    <m/>
    <m/>
    <m/>
    <x v="0"/>
    <m/>
    <n v="2"/>
    <m/>
    <m/>
    <m/>
    <m/>
    <m/>
    <m/>
    <m/>
    <m/>
    <m/>
    <m/>
    <m/>
    <m/>
    <m/>
    <m/>
    <m/>
    <m/>
    <m/>
    <m/>
    <m/>
    <m/>
    <n v="0"/>
    <n v="0"/>
    <n v="0"/>
    <n v="0"/>
    <n v="0"/>
    <n v="0"/>
    <n v="0"/>
    <n v="1"/>
    <n v="78"/>
    <n v="1"/>
    <n v="1"/>
    <n v="0"/>
    <n v="0"/>
    <n v="0"/>
    <n v="13"/>
    <n v="13"/>
    <n v="1"/>
    <n v="0"/>
    <n v="0"/>
    <n v="0"/>
    <n v="0"/>
    <n v="1"/>
    <n v="0"/>
    <n v="0"/>
    <n v="0"/>
    <n v="0"/>
    <x v="0"/>
    <s v="Village"/>
    <x v="0"/>
    <n v="0"/>
    <n v="0"/>
    <n v="0"/>
    <n v="0"/>
    <x v="0"/>
    <m/>
  </r>
  <r>
    <x v="1"/>
    <x v="11"/>
    <x v="11"/>
    <s v="LIFT"/>
    <x v="2"/>
    <x v="17"/>
    <x v="0"/>
    <x v="210"/>
    <n v="16"/>
    <n v="95"/>
    <d v="2020-01-01T00:00:00"/>
    <d v="2022-12-31T00:00:00"/>
    <m/>
    <m/>
    <m/>
    <m/>
    <m/>
    <m/>
    <m/>
    <m/>
    <m/>
    <m/>
    <x v="0"/>
    <m/>
    <n v="3"/>
    <m/>
    <m/>
    <m/>
    <m/>
    <m/>
    <m/>
    <m/>
    <m/>
    <m/>
    <m/>
    <m/>
    <m/>
    <m/>
    <m/>
    <m/>
    <m/>
    <m/>
    <m/>
    <m/>
    <m/>
    <n v="0"/>
    <n v="0"/>
    <n v="0"/>
    <n v="0"/>
    <n v="0"/>
    <n v="0"/>
    <n v="0"/>
    <n v="1"/>
    <n v="95"/>
    <n v="1"/>
    <n v="1"/>
    <n v="0"/>
    <n v="0"/>
    <n v="0"/>
    <n v="16"/>
    <n v="16"/>
    <n v="1"/>
    <n v="0"/>
    <n v="0"/>
    <n v="0"/>
    <n v="0"/>
    <n v="1"/>
    <n v="0"/>
    <n v="0"/>
    <n v="0"/>
    <n v="0"/>
    <x v="0"/>
    <s v="Village"/>
    <x v="0"/>
    <n v="0"/>
    <n v="0"/>
    <n v="0"/>
    <n v="0"/>
    <x v="0"/>
    <m/>
  </r>
  <r>
    <x v="1"/>
    <x v="11"/>
    <x v="11"/>
    <s v="LIFT"/>
    <x v="2"/>
    <x v="17"/>
    <x v="0"/>
    <x v="211"/>
    <n v="32"/>
    <n v="189"/>
    <d v="2020-01-01T00:00:00"/>
    <d v="2022-12-31T00:00:00"/>
    <m/>
    <m/>
    <m/>
    <m/>
    <m/>
    <m/>
    <m/>
    <m/>
    <m/>
    <m/>
    <x v="0"/>
    <m/>
    <n v="2"/>
    <m/>
    <m/>
    <m/>
    <m/>
    <m/>
    <m/>
    <m/>
    <m/>
    <m/>
    <m/>
    <m/>
    <m/>
    <m/>
    <m/>
    <m/>
    <m/>
    <m/>
    <m/>
    <m/>
    <m/>
    <n v="0"/>
    <n v="0"/>
    <n v="0"/>
    <n v="0"/>
    <n v="0"/>
    <n v="0"/>
    <n v="0"/>
    <n v="1"/>
    <n v="189"/>
    <n v="1"/>
    <n v="1"/>
    <n v="0"/>
    <n v="0"/>
    <n v="0"/>
    <n v="32"/>
    <n v="32"/>
    <n v="1"/>
    <n v="0"/>
    <n v="0"/>
    <n v="0"/>
    <n v="0"/>
    <n v="1"/>
    <n v="0"/>
    <n v="0"/>
    <n v="0"/>
    <n v="0"/>
    <x v="0"/>
    <s v="Village"/>
    <x v="0"/>
    <n v="0"/>
    <n v="0"/>
    <n v="0"/>
    <n v="0"/>
    <x v="0"/>
    <m/>
  </r>
  <r>
    <x v="1"/>
    <x v="11"/>
    <x v="11"/>
    <s v="LIFT"/>
    <x v="2"/>
    <x v="17"/>
    <x v="0"/>
    <x v="212"/>
    <n v="54"/>
    <n v="361"/>
    <d v="2020-01-01T00:00:00"/>
    <d v="2022-12-31T00:00:00"/>
    <m/>
    <m/>
    <m/>
    <m/>
    <m/>
    <m/>
    <m/>
    <m/>
    <m/>
    <m/>
    <x v="0"/>
    <m/>
    <n v="5"/>
    <m/>
    <m/>
    <m/>
    <m/>
    <m/>
    <m/>
    <m/>
    <m/>
    <m/>
    <m/>
    <m/>
    <m/>
    <m/>
    <m/>
    <m/>
    <m/>
    <m/>
    <m/>
    <m/>
    <m/>
    <n v="0"/>
    <n v="0"/>
    <n v="0"/>
    <n v="0"/>
    <n v="0"/>
    <n v="0"/>
    <n v="0"/>
    <n v="1"/>
    <n v="361"/>
    <n v="1"/>
    <n v="1"/>
    <n v="0"/>
    <n v="0"/>
    <n v="0"/>
    <n v="60"/>
    <n v="60"/>
    <n v="1"/>
    <n v="0"/>
    <n v="0"/>
    <n v="0"/>
    <n v="0"/>
    <n v="1"/>
    <n v="0"/>
    <n v="0"/>
    <n v="0"/>
    <n v="0"/>
    <x v="0"/>
    <s v="Village"/>
    <x v="0"/>
    <n v="0"/>
    <n v="0"/>
    <n v="0"/>
    <n v="0"/>
    <x v="0"/>
    <m/>
  </r>
  <r>
    <x v="1"/>
    <x v="11"/>
    <x v="11"/>
    <s v="LIFT"/>
    <x v="2"/>
    <x v="17"/>
    <x v="0"/>
    <x v="213"/>
    <n v="33"/>
    <n v="136"/>
    <d v="2020-01-01T00:00:00"/>
    <d v="2022-12-31T00:00:00"/>
    <m/>
    <m/>
    <m/>
    <m/>
    <m/>
    <m/>
    <m/>
    <m/>
    <m/>
    <m/>
    <x v="0"/>
    <m/>
    <n v="3"/>
    <m/>
    <m/>
    <m/>
    <m/>
    <m/>
    <m/>
    <m/>
    <m/>
    <m/>
    <m/>
    <m/>
    <m/>
    <m/>
    <m/>
    <m/>
    <m/>
    <m/>
    <m/>
    <m/>
    <m/>
    <n v="0"/>
    <n v="0"/>
    <n v="0"/>
    <n v="0"/>
    <n v="0"/>
    <n v="0"/>
    <n v="0"/>
    <n v="1"/>
    <n v="136"/>
    <n v="1"/>
    <n v="1"/>
    <n v="0"/>
    <n v="0"/>
    <n v="0"/>
    <n v="23"/>
    <n v="23"/>
    <n v="1"/>
    <n v="0"/>
    <n v="0"/>
    <n v="0"/>
    <n v="0"/>
    <n v="1"/>
    <n v="0"/>
    <n v="0"/>
    <n v="0"/>
    <n v="0"/>
    <x v="0"/>
    <s v="Village"/>
    <x v="0"/>
    <n v="0"/>
    <n v="0"/>
    <n v="0"/>
    <n v="0"/>
    <x v="0"/>
    <m/>
  </r>
  <r>
    <x v="1"/>
    <x v="11"/>
    <x v="11"/>
    <s v="LIFT"/>
    <x v="2"/>
    <x v="17"/>
    <x v="0"/>
    <x v="214"/>
    <n v="33"/>
    <n v="182"/>
    <d v="2020-01-01T00:00:00"/>
    <d v="2022-12-31T00:00:00"/>
    <m/>
    <m/>
    <m/>
    <m/>
    <m/>
    <m/>
    <m/>
    <m/>
    <m/>
    <m/>
    <x v="0"/>
    <m/>
    <n v="11"/>
    <m/>
    <m/>
    <m/>
    <m/>
    <m/>
    <m/>
    <m/>
    <m/>
    <m/>
    <m/>
    <m/>
    <m/>
    <m/>
    <m/>
    <m/>
    <m/>
    <m/>
    <m/>
    <m/>
    <m/>
    <n v="0"/>
    <n v="0"/>
    <n v="0"/>
    <n v="0"/>
    <n v="0"/>
    <n v="0"/>
    <n v="0"/>
    <n v="1"/>
    <n v="182"/>
    <n v="1"/>
    <n v="1"/>
    <n v="0"/>
    <n v="0"/>
    <n v="0"/>
    <n v="30"/>
    <n v="30"/>
    <n v="1"/>
    <n v="0"/>
    <n v="0"/>
    <n v="0"/>
    <n v="0"/>
    <n v="1"/>
    <n v="0"/>
    <n v="0"/>
    <n v="0"/>
    <n v="0"/>
    <x v="0"/>
    <s v="Village"/>
    <x v="0"/>
    <n v="0"/>
    <n v="0"/>
    <n v="0"/>
    <n v="0"/>
    <x v="0"/>
    <m/>
  </r>
  <r>
    <x v="1"/>
    <x v="11"/>
    <x v="11"/>
    <s v="LIFT"/>
    <x v="2"/>
    <x v="17"/>
    <x v="0"/>
    <x v="215"/>
    <n v="20"/>
    <n v="124"/>
    <d v="2020-01-01T00:00:00"/>
    <d v="2022-12-31T00:00:00"/>
    <m/>
    <m/>
    <m/>
    <m/>
    <m/>
    <m/>
    <m/>
    <m/>
    <m/>
    <m/>
    <x v="0"/>
    <m/>
    <n v="4"/>
    <m/>
    <m/>
    <m/>
    <m/>
    <m/>
    <m/>
    <m/>
    <m/>
    <m/>
    <m/>
    <m/>
    <m/>
    <m/>
    <m/>
    <m/>
    <m/>
    <m/>
    <m/>
    <m/>
    <m/>
    <n v="0"/>
    <n v="0"/>
    <n v="0"/>
    <n v="0"/>
    <n v="0"/>
    <n v="0"/>
    <n v="0"/>
    <n v="1"/>
    <n v="124"/>
    <n v="1"/>
    <n v="1"/>
    <n v="0"/>
    <n v="0"/>
    <n v="0"/>
    <n v="21"/>
    <n v="21"/>
    <n v="1"/>
    <n v="0"/>
    <n v="0"/>
    <n v="0"/>
    <n v="0"/>
    <n v="1"/>
    <n v="0"/>
    <n v="0"/>
    <n v="0"/>
    <n v="0"/>
    <x v="0"/>
    <s v="Village"/>
    <x v="0"/>
    <n v="0"/>
    <n v="0"/>
    <n v="0"/>
    <n v="0"/>
    <x v="0"/>
    <m/>
  </r>
  <r>
    <x v="1"/>
    <x v="11"/>
    <x v="11"/>
    <s v="LIFT"/>
    <x v="2"/>
    <x v="17"/>
    <x v="0"/>
    <x v="216"/>
    <n v="20"/>
    <n v="136"/>
    <d v="2020-01-01T00:00:00"/>
    <d v="2022-12-31T00:00:00"/>
    <m/>
    <m/>
    <m/>
    <m/>
    <m/>
    <m/>
    <m/>
    <m/>
    <m/>
    <m/>
    <x v="0"/>
    <m/>
    <n v="2"/>
    <m/>
    <m/>
    <m/>
    <m/>
    <m/>
    <m/>
    <m/>
    <m/>
    <m/>
    <m/>
    <m/>
    <m/>
    <m/>
    <m/>
    <m/>
    <m/>
    <m/>
    <m/>
    <m/>
    <m/>
    <n v="0"/>
    <n v="0"/>
    <n v="0"/>
    <n v="0"/>
    <n v="0"/>
    <n v="0"/>
    <n v="0"/>
    <n v="1"/>
    <n v="136"/>
    <n v="1"/>
    <n v="1"/>
    <n v="0"/>
    <n v="0"/>
    <n v="0"/>
    <n v="23"/>
    <n v="23"/>
    <n v="1"/>
    <n v="0"/>
    <n v="0"/>
    <n v="0"/>
    <n v="0"/>
    <n v="1"/>
    <n v="0"/>
    <n v="0"/>
    <n v="0"/>
    <n v="0"/>
    <x v="0"/>
    <s v="Village"/>
    <x v="0"/>
    <n v="0"/>
    <n v="0"/>
    <n v="0"/>
    <n v="0"/>
    <x v="0"/>
    <m/>
  </r>
  <r>
    <x v="1"/>
    <x v="11"/>
    <x v="11"/>
    <s v="LIFT"/>
    <x v="2"/>
    <x v="17"/>
    <x v="0"/>
    <x v="217"/>
    <n v="38"/>
    <n v="219"/>
    <d v="2020-01-01T00:00:00"/>
    <d v="2022-12-31T00:00:00"/>
    <m/>
    <m/>
    <m/>
    <m/>
    <m/>
    <m/>
    <m/>
    <m/>
    <m/>
    <m/>
    <x v="0"/>
    <m/>
    <n v="3"/>
    <m/>
    <m/>
    <m/>
    <m/>
    <m/>
    <m/>
    <m/>
    <m/>
    <m/>
    <m/>
    <m/>
    <m/>
    <m/>
    <m/>
    <m/>
    <m/>
    <m/>
    <m/>
    <m/>
    <m/>
    <n v="0"/>
    <n v="0"/>
    <n v="0"/>
    <n v="0"/>
    <n v="0"/>
    <n v="0"/>
    <n v="0"/>
    <n v="1"/>
    <n v="219"/>
    <n v="1"/>
    <n v="1"/>
    <n v="0"/>
    <n v="0"/>
    <n v="0"/>
    <n v="37"/>
    <n v="37"/>
    <n v="1"/>
    <n v="0"/>
    <n v="0"/>
    <n v="0"/>
    <n v="0"/>
    <n v="1"/>
    <n v="0"/>
    <n v="0"/>
    <n v="0"/>
    <n v="0"/>
    <x v="0"/>
    <s v="Village"/>
    <x v="0"/>
    <n v="0"/>
    <n v="0"/>
    <n v="0"/>
    <n v="0"/>
    <x v="0"/>
    <m/>
  </r>
  <r>
    <x v="1"/>
    <x v="11"/>
    <x v="11"/>
    <s v="LIFT"/>
    <x v="2"/>
    <x v="17"/>
    <x v="0"/>
    <x v="218"/>
    <n v="17"/>
    <n v="93"/>
    <d v="2020-01-01T00:00:00"/>
    <d v="2022-12-31T00:00:00"/>
    <m/>
    <m/>
    <m/>
    <m/>
    <m/>
    <m/>
    <m/>
    <m/>
    <m/>
    <m/>
    <x v="0"/>
    <m/>
    <n v="0"/>
    <m/>
    <m/>
    <m/>
    <m/>
    <m/>
    <m/>
    <m/>
    <m/>
    <m/>
    <m/>
    <m/>
    <m/>
    <m/>
    <m/>
    <m/>
    <m/>
    <m/>
    <m/>
    <m/>
    <m/>
    <n v="0"/>
    <n v="0"/>
    <n v="0"/>
    <n v="0"/>
    <n v="0"/>
    <n v="0"/>
    <n v="0"/>
    <n v="1"/>
    <n v="93"/>
    <n v="1"/>
    <n v="1"/>
    <n v="0"/>
    <n v="0"/>
    <n v="0"/>
    <n v="16"/>
    <n v="16"/>
    <n v="1"/>
    <n v="0"/>
    <n v="0"/>
    <n v="0"/>
    <n v="0"/>
    <n v="1"/>
    <n v="0"/>
    <n v="0"/>
    <n v="0"/>
    <n v="0"/>
    <x v="0"/>
    <s v="Village"/>
    <x v="0"/>
    <n v="0"/>
    <n v="0"/>
    <n v="0"/>
    <n v="0"/>
    <x v="0"/>
    <m/>
  </r>
  <r>
    <x v="1"/>
    <x v="11"/>
    <x v="11"/>
    <s v="LIFT"/>
    <x v="2"/>
    <x v="17"/>
    <x v="0"/>
    <x v="219"/>
    <n v="23"/>
    <n v="205"/>
    <d v="2020-01-01T00:00:00"/>
    <d v="2022-12-31T00:00:00"/>
    <m/>
    <m/>
    <m/>
    <m/>
    <m/>
    <m/>
    <m/>
    <m/>
    <m/>
    <m/>
    <x v="0"/>
    <m/>
    <n v="3"/>
    <m/>
    <m/>
    <m/>
    <m/>
    <m/>
    <m/>
    <m/>
    <m/>
    <m/>
    <m/>
    <m/>
    <m/>
    <m/>
    <m/>
    <m/>
    <m/>
    <m/>
    <m/>
    <m/>
    <m/>
    <n v="0"/>
    <n v="0"/>
    <n v="0"/>
    <n v="0"/>
    <n v="0"/>
    <n v="0"/>
    <n v="0"/>
    <n v="1"/>
    <n v="205"/>
    <n v="1"/>
    <n v="1"/>
    <n v="0"/>
    <n v="0"/>
    <n v="0"/>
    <n v="34"/>
    <n v="34"/>
    <n v="1"/>
    <n v="0"/>
    <n v="0"/>
    <n v="0"/>
    <n v="0"/>
    <n v="1"/>
    <n v="0"/>
    <n v="0"/>
    <n v="0"/>
    <n v="0"/>
    <x v="0"/>
    <s v="Village"/>
    <x v="0"/>
    <n v="0"/>
    <n v="0"/>
    <n v="0"/>
    <n v="0"/>
    <x v="0"/>
    <m/>
  </r>
  <r>
    <x v="1"/>
    <x v="11"/>
    <x v="11"/>
    <s v="LIFT"/>
    <x v="2"/>
    <x v="17"/>
    <x v="0"/>
    <x v="220"/>
    <n v="28"/>
    <n v="181"/>
    <d v="2020-01-01T00:00:00"/>
    <d v="2022-12-31T00:00:00"/>
    <m/>
    <m/>
    <m/>
    <m/>
    <m/>
    <m/>
    <m/>
    <m/>
    <m/>
    <m/>
    <x v="0"/>
    <m/>
    <n v="1"/>
    <m/>
    <m/>
    <m/>
    <m/>
    <m/>
    <m/>
    <m/>
    <m/>
    <m/>
    <m/>
    <m/>
    <m/>
    <m/>
    <m/>
    <m/>
    <m/>
    <m/>
    <m/>
    <m/>
    <m/>
    <n v="0"/>
    <n v="0"/>
    <n v="0"/>
    <n v="0"/>
    <n v="0"/>
    <n v="0"/>
    <n v="0"/>
    <n v="1"/>
    <n v="181"/>
    <n v="1"/>
    <n v="1"/>
    <n v="0"/>
    <n v="0"/>
    <n v="0"/>
    <n v="30"/>
    <n v="30"/>
    <n v="1"/>
    <n v="0"/>
    <n v="0"/>
    <n v="0"/>
    <n v="0"/>
    <n v="1"/>
    <n v="0"/>
    <n v="0"/>
    <n v="0"/>
    <n v="0"/>
    <x v="0"/>
    <s v="Village"/>
    <x v="0"/>
    <n v="0"/>
    <n v="0"/>
    <n v="0"/>
    <n v="0"/>
    <x v="0"/>
    <m/>
  </r>
  <r>
    <x v="1"/>
    <x v="11"/>
    <x v="11"/>
    <s v="LIFT"/>
    <x v="2"/>
    <x v="17"/>
    <x v="0"/>
    <x v="221"/>
    <n v="37"/>
    <n v="227"/>
    <d v="2020-01-01T00:00:00"/>
    <d v="2022-12-31T00:00:00"/>
    <m/>
    <m/>
    <m/>
    <m/>
    <m/>
    <m/>
    <m/>
    <m/>
    <m/>
    <m/>
    <x v="0"/>
    <m/>
    <n v="2"/>
    <m/>
    <m/>
    <m/>
    <m/>
    <m/>
    <m/>
    <m/>
    <m/>
    <m/>
    <m/>
    <m/>
    <m/>
    <m/>
    <m/>
    <m/>
    <m/>
    <m/>
    <m/>
    <m/>
    <m/>
    <n v="0"/>
    <n v="0"/>
    <n v="0"/>
    <n v="0"/>
    <n v="0"/>
    <n v="0"/>
    <n v="0"/>
    <n v="1"/>
    <n v="227"/>
    <n v="1"/>
    <n v="1"/>
    <n v="0"/>
    <n v="0"/>
    <n v="0"/>
    <n v="38"/>
    <n v="38"/>
    <n v="1"/>
    <n v="0"/>
    <n v="0"/>
    <n v="0"/>
    <n v="0"/>
    <n v="1"/>
    <n v="0"/>
    <n v="0"/>
    <n v="0"/>
    <n v="0"/>
    <x v="0"/>
    <s v="Village"/>
    <x v="0"/>
    <n v="0"/>
    <n v="0"/>
    <n v="0"/>
    <n v="0"/>
    <x v="0"/>
    <m/>
  </r>
  <r>
    <x v="1"/>
    <x v="11"/>
    <x v="11"/>
    <s v="LIFT"/>
    <x v="2"/>
    <x v="17"/>
    <x v="0"/>
    <x v="222"/>
    <n v="14"/>
    <n v="80"/>
    <d v="2020-01-01T00:00:00"/>
    <d v="2022-12-31T00:00:00"/>
    <m/>
    <m/>
    <m/>
    <m/>
    <m/>
    <m/>
    <m/>
    <m/>
    <m/>
    <m/>
    <x v="0"/>
    <m/>
    <n v="1"/>
    <m/>
    <m/>
    <m/>
    <m/>
    <m/>
    <m/>
    <m/>
    <m/>
    <m/>
    <m/>
    <m/>
    <m/>
    <m/>
    <m/>
    <m/>
    <m/>
    <m/>
    <m/>
    <m/>
    <m/>
    <n v="0"/>
    <n v="0"/>
    <n v="0"/>
    <n v="0"/>
    <n v="0"/>
    <n v="0"/>
    <n v="0"/>
    <n v="1"/>
    <n v="80"/>
    <n v="1"/>
    <n v="1"/>
    <n v="0"/>
    <n v="0"/>
    <n v="0"/>
    <n v="13"/>
    <n v="13"/>
    <n v="1"/>
    <n v="0"/>
    <n v="0"/>
    <n v="0"/>
    <n v="0"/>
    <n v="1"/>
    <n v="0"/>
    <n v="0"/>
    <n v="0"/>
    <n v="0"/>
    <x v="0"/>
    <s v="Village"/>
    <x v="0"/>
    <n v="0"/>
    <n v="0"/>
    <n v="0"/>
    <n v="0"/>
    <x v="0"/>
    <m/>
  </r>
  <r>
    <x v="1"/>
    <x v="11"/>
    <x v="11"/>
    <s v="World Concern"/>
    <x v="0"/>
    <x v="18"/>
    <x v="0"/>
    <x v="223"/>
    <n v="22"/>
    <n v="170"/>
    <d v="2018-07-01T00:00:00"/>
    <d v="2020-06-30T00:00:00"/>
    <n v="0"/>
    <n v="0"/>
    <n v="1"/>
    <m/>
    <m/>
    <m/>
    <m/>
    <m/>
    <m/>
    <n v="15"/>
    <x v="0"/>
    <m/>
    <n v="0"/>
    <n v="0"/>
    <m/>
    <m/>
    <m/>
    <n v="0"/>
    <n v="0"/>
    <n v="0"/>
    <n v="0"/>
    <m/>
    <m/>
    <n v="10"/>
    <m/>
    <n v="11"/>
    <m/>
    <m/>
    <m/>
    <m/>
    <m/>
    <m/>
    <m/>
    <n v="1"/>
    <n v="170"/>
    <n v="0"/>
    <n v="0"/>
    <n v="1"/>
    <n v="170"/>
    <n v="0.68"/>
    <n v="0"/>
    <n v="0"/>
    <n v="0.31999999999999995"/>
    <n v="1"/>
    <n v="0.52941176470588236"/>
    <n v="90"/>
    <n v="0"/>
    <n v="28"/>
    <n v="13"/>
    <n v="0.47058823529411764"/>
    <n v="0"/>
    <n v="60"/>
    <n v="66"/>
    <n v="0.38823529411764707"/>
    <n v="0.61176470588235299"/>
    <n v="0"/>
    <n v="66"/>
    <n v="0"/>
    <n v="66"/>
    <x v="0"/>
    <s v="Village"/>
    <x v="0"/>
    <n v="0"/>
    <n v="0"/>
    <n v="0"/>
    <n v="0"/>
    <x v="0"/>
    <m/>
  </r>
  <r>
    <x v="1"/>
    <x v="11"/>
    <x v="11"/>
    <s v="World Concern"/>
    <x v="0"/>
    <x v="18"/>
    <x v="0"/>
    <x v="224"/>
    <n v="8"/>
    <n v="31"/>
    <d v="2018-07-01T00:00:00"/>
    <d v="2020-06-30T00:00:00"/>
    <n v="0"/>
    <n v="0"/>
    <m/>
    <m/>
    <m/>
    <m/>
    <m/>
    <m/>
    <m/>
    <n v="3"/>
    <x v="0"/>
    <m/>
    <n v="0"/>
    <n v="0"/>
    <m/>
    <m/>
    <m/>
    <n v="0"/>
    <n v="0"/>
    <n v="0"/>
    <n v="0"/>
    <m/>
    <m/>
    <n v="2"/>
    <m/>
    <n v="3"/>
    <m/>
    <m/>
    <m/>
    <m/>
    <m/>
    <m/>
    <m/>
    <n v="0"/>
    <n v="0"/>
    <n v="0"/>
    <n v="0"/>
    <n v="0"/>
    <n v="0"/>
    <n v="0"/>
    <n v="1"/>
    <n v="31"/>
    <n v="1"/>
    <n v="1"/>
    <n v="0.58064516129032262"/>
    <n v="18"/>
    <n v="0"/>
    <n v="5"/>
    <n v="2"/>
    <n v="0.41935483870967738"/>
    <n v="0"/>
    <n v="12"/>
    <n v="18"/>
    <n v="0.58064516129032262"/>
    <n v="0.41935483870967738"/>
    <n v="0"/>
    <n v="18"/>
    <n v="0"/>
    <n v="18"/>
    <x v="0"/>
    <s v="Village"/>
    <x v="0"/>
    <n v="0"/>
    <n v="0"/>
    <n v="0"/>
    <n v="0"/>
    <x v="0"/>
    <m/>
  </r>
  <r>
    <x v="1"/>
    <x v="11"/>
    <x v="11"/>
    <s v="World Concern"/>
    <x v="0"/>
    <x v="18"/>
    <x v="0"/>
    <x v="225"/>
    <n v="38"/>
    <n v="212"/>
    <d v="2018-07-01T00:00:00"/>
    <d v="2020-06-30T00:00:00"/>
    <n v="0"/>
    <n v="0"/>
    <m/>
    <m/>
    <m/>
    <m/>
    <m/>
    <m/>
    <m/>
    <n v="38"/>
    <x v="0"/>
    <m/>
    <n v="1"/>
    <n v="0"/>
    <m/>
    <m/>
    <m/>
    <n v="0"/>
    <n v="0"/>
    <n v="0"/>
    <n v="0"/>
    <m/>
    <m/>
    <n v="20"/>
    <m/>
    <n v="24"/>
    <m/>
    <m/>
    <m/>
    <m/>
    <m/>
    <m/>
    <m/>
    <n v="0"/>
    <n v="0"/>
    <n v="0"/>
    <n v="0"/>
    <n v="0"/>
    <n v="0"/>
    <n v="0"/>
    <n v="1"/>
    <n v="212"/>
    <n v="1"/>
    <n v="1"/>
    <n v="1"/>
    <n v="212"/>
    <n v="0"/>
    <n v="35"/>
    <n v="0"/>
    <n v="0"/>
    <n v="0"/>
    <n v="120"/>
    <n v="144"/>
    <n v="0.67924528301886788"/>
    <n v="0.32075471698113212"/>
    <n v="0"/>
    <n v="144"/>
    <n v="0"/>
    <n v="144"/>
    <x v="0"/>
    <s v="Village"/>
    <x v="0"/>
    <n v="0"/>
    <n v="0"/>
    <n v="0"/>
    <n v="0"/>
    <x v="0"/>
    <m/>
  </r>
  <r>
    <x v="1"/>
    <x v="11"/>
    <x v="11"/>
    <s v="World Concern"/>
    <x v="0"/>
    <x v="19"/>
    <x v="0"/>
    <x v="226"/>
    <n v="61"/>
    <n v="311"/>
    <d v="2018-07-01T00:00:00"/>
    <d v="2020-06-30T00:00:00"/>
    <n v="0"/>
    <n v="0"/>
    <m/>
    <m/>
    <m/>
    <m/>
    <m/>
    <m/>
    <m/>
    <n v="61"/>
    <x v="0"/>
    <m/>
    <n v="0"/>
    <n v="0"/>
    <m/>
    <m/>
    <m/>
    <n v="0"/>
    <n v="0"/>
    <n v="0"/>
    <n v="0"/>
    <m/>
    <m/>
    <n v="35"/>
    <m/>
    <n v="31"/>
    <m/>
    <m/>
    <m/>
    <m/>
    <m/>
    <m/>
    <m/>
    <n v="0"/>
    <n v="0"/>
    <n v="0"/>
    <n v="0"/>
    <n v="0"/>
    <n v="0"/>
    <n v="0"/>
    <n v="1"/>
    <n v="311"/>
    <n v="1"/>
    <n v="1"/>
    <n v="1"/>
    <n v="311"/>
    <n v="0"/>
    <n v="52"/>
    <n v="0"/>
    <n v="0"/>
    <n v="0"/>
    <n v="210"/>
    <n v="186"/>
    <n v="0.59807073954983925"/>
    <n v="0.40192926045016075"/>
    <n v="0"/>
    <n v="186"/>
    <n v="0"/>
    <n v="186"/>
    <x v="0"/>
    <s v="Village"/>
    <x v="0"/>
    <n v="0"/>
    <n v="0"/>
    <n v="0"/>
    <n v="0"/>
    <x v="0"/>
    <m/>
  </r>
  <r>
    <x v="1"/>
    <x v="11"/>
    <x v="11"/>
    <s v="World Concern"/>
    <x v="0"/>
    <x v="19"/>
    <x v="0"/>
    <x v="227"/>
    <n v="23"/>
    <n v="115"/>
    <d v="2018-07-01T00:00:00"/>
    <d v="2020-06-30T00:00:00"/>
    <n v="0"/>
    <n v="0"/>
    <m/>
    <m/>
    <m/>
    <m/>
    <m/>
    <m/>
    <m/>
    <n v="23"/>
    <x v="0"/>
    <m/>
    <n v="0"/>
    <n v="0"/>
    <m/>
    <m/>
    <m/>
    <n v="0"/>
    <n v="0"/>
    <n v="0"/>
    <n v="0"/>
    <m/>
    <m/>
    <n v="15"/>
    <m/>
    <n v="17"/>
    <m/>
    <m/>
    <m/>
    <m/>
    <m/>
    <m/>
    <m/>
    <n v="0"/>
    <n v="0"/>
    <n v="0"/>
    <n v="0"/>
    <n v="0"/>
    <n v="0"/>
    <n v="0"/>
    <n v="1"/>
    <n v="115"/>
    <n v="1"/>
    <n v="1"/>
    <n v="1"/>
    <n v="115"/>
    <n v="0"/>
    <n v="19"/>
    <n v="0"/>
    <n v="0"/>
    <n v="0"/>
    <n v="90"/>
    <n v="102"/>
    <n v="0.88695652173913042"/>
    <n v="0.11304347826086958"/>
    <n v="0"/>
    <n v="102"/>
    <n v="0"/>
    <n v="102"/>
    <x v="0"/>
    <s v="Village"/>
    <x v="0"/>
    <n v="0"/>
    <n v="0"/>
    <n v="0"/>
    <n v="0"/>
    <x v="0"/>
    <m/>
  </r>
  <r>
    <x v="1"/>
    <x v="11"/>
    <x v="11"/>
    <s v="World Concern"/>
    <x v="0"/>
    <x v="19"/>
    <x v="0"/>
    <x v="228"/>
    <n v="47"/>
    <n v="260"/>
    <d v="2018-07-01T00:00:00"/>
    <d v="2020-06-30T00:00:00"/>
    <n v="0"/>
    <n v="0"/>
    <n v="1"/>
    <m/>
    <m/>
    <m/>
    <m/>
    <m/>
    <m/>
    <n v="30"/>
    <x v="0"/>
    <m/>
    <n v="0"/>
    <n v="0"/>
    <m/>
    <m/>
    <m/>
    <n v="0"/>
    <n v="0"/>
    <n v="0"/>
    <n v="0"/>
    <m/>
    <m/>
    <n v="20"/>
    <m/>
    <n v="19"/>
    <m/>
    <m/>
    <m/>
    <m/>
    <m/>
    <m/>
    <m/>
    <n v="1"/>
    <n v="260"/>
    <n v="0"/>
    <n v="0"/>
    <n v="1"/>
    <n v="260"/>
    <n v="1.04"/>
    <n v="0"/>
    <n v="0"/>
    <n v="0"/>
    <n v="1"/>
    <n v="0.69230769230769229"/>
    <n v="180"/>
    <n v="0"/>
    <n v="43"/>
    <n v="13"/>
    <n v="0.30769230769230771"/>
    <n v="0"/>
    <n v="120"/>
    <n v="114"/>
    <n v="0.43846153846153846"/>
    <n v="0.56153846153846154"/>
    <n v="0"/>
    <n v="114"/>
    <n v="0"/>
    <n v="114"/>
    <x v="0"/>
    <s v="Village"/>
    <x v="0"/>
    <n v="0"/>
    <n v="0"/>
    <n v="0"/>
    <n v="0"/>
    <x v="0"/>
    <m/>
  </r>
  <r>
    <x v="1"/>
    <x v="11"/>
    <x v="11"/>
    <s v="World Concern"/>
    <x v="0"/>
    <x v="19"/>
    <x v="0"/>
    <x v="229"/>
    <n v="60"/>
    <n v="330"/>
    <d v="2018-07-01T00:00:00"/>
    <d v="2020-06-30T00:00:00"/>
    <n v="0"/>
    <n v="0"/>
    <m/>
    <m/>
    <m/>
    <m/>
    <m/>
    <m/>
    <m/>
    <n v="60"/>
    <x v="0"/>
    <m/>
    <n v="0"/>
    <n v="0"/>
    <m/>
    <m/>
    <m/>
    <n v="0"/>
    <n v="0"/>
    <n v="0"/>
    <n v="0"/>
    <m/>
    <m/>
    <n v="32"/>
    <m/>
    <n v="31"/>
    <m/>
    <m/>
    <m/>
    <m/>
    <m/>
    <m/>
    <m/>
    <n v="0"/>
    <n v="0"/>
    <n v="0"/>
    <n v="0"/>
    <n v="0"/>
    <n v="0"/>
    <n v="0"/>
    <n v="1"/>
    <n v="330"/>
    <n v="1"/>
    <n v="1"/>
    <n v="1"/>
    <n v="330"/>
    <n v="0"/>
    <n v="55"/>
    <n v="0"/>
    <n v="0"/>
    <n v="0"/>
    <n v="192"/>
    <n v="186"/>
    <n v="0.5636363636363636"/>
    <n v="0.4363636363636364"/>
    <n v="0"/>
    <n v="186"/>
    <n v="0"/>
    <n v="186"/>
    <x v="0"/>
    <s v="Village"/>
    <x v="0"/>
    <n v="0"/>
    <n v="0"/>
    <n v="0"/>
    <n v="0"/>
    <x v="0"/>
    <m/>
  </r>
  <r>
    <x v="1"/>
    <x v="11"/>
    <x v="11"/>
    <s v="World Concern"/>
    <x v="0"/>
    <x v="19"/>
    <x v="0"/>
    <x v="230"/>
    <n v="40"/>
    <n v="170"/>
    <d v="2018-07-01T00:00:00"/>
    <d v="2020-06-30T00:00:00"/>
    <n v="0"/>
    <n v="0"/>
    <m/>
    <m/>
    <m/>
    <m/>
    <m/>
    <m/>
    <m/>
    <n v="40"/>
    <x v="0"/>
    <m/>
    <n v="2"/>
    <n v="0"/>
    <m/>
    <m/>
    <m/>
    <n v="0"/>
    <n v="0"/>
    <n v="0"/>
    <n v="0"/>
    <m/>
    <m/>
    <n v="21"/>
    <m/>
    <n v="23"/>
    <m/>
    <m/>
    <m/>
    <m/>
    <m/>
    <m/>
    <m/>
    <n v="0"/>
    <n v="0"/>
    <n v="0"/>
    <n v="0"/>
    <n v="0"/>
    <n v="0"/>
    <n v="0"/>
    <n v="1"/>
    <n v="170"/>
    <n v="1"/>
    <n v="1"/>
    <n v="1"/>
    <n v="170"/>
    <n v="0"/>
    <n v="28"/>
    <n v="0"/>
    <n v="0"/>
    <n v="0"/>
    <n v="126"/>
    <n v="138"/>
    <n v="0.81176470588235294"/>
    <n v="0.18823529411764706"/>
    <n v="0"/>
    <n v="138"/>
    <n v="0"/>
    <n v="138"/>
    <x v="0"/>
    <s v="Village"/>
    <x v="0"/>
    <n v="0"/>
    <n v="0"/>
    <n v="0"/>
    <n v="0"/>
    <x v="0"/>
    <m/>
  </r>
  <r>
    <x v="1"/>
    <x v="11"/>
    <x v="11"/>
    <s v="World Concern"/>
    <x v="0"/>
    <x v="19"/>
    <x v="0"/>
    <x v="231"/>
    <n v="31"/>
    <n v="156"/>
    <d v="2018-07-01T00:00:00"/>
    <d v="2020-06-30T00:00:00"/>
    <n v="0"/>
    <n v="0"/>
    <m/>
    <m/>
    <m/>
    <m/>
    <m/>
    <m/>
    <m/>
    <n v="31"/>
    <x v="0"/>
    <m/>
    <n v="0"/>
    <n v="0"/>
    <m/>
    <m/>
    <m/>
    <n v="0"/>
    <n v="0"/>
    <n v="0"/>
    <n v="0"/>
    <m/>
    <m/>
    <n v="14"/>
    <m/>
    <n v="15"/>
    <m/>
    <m/>
    <m/>
    <m/>
    <m/>
    <m/>
    <m/>
    <n v="0"/>
    <n v="0"/>
    <n v="0"/>
    <n v="0"/>
    <n v="0"/>
    <n v="0"/>
    <n v="0"/>
    <n v="1"/>
    <n v="156"/>
    <n v="1"/>
    <n v="1"/>
    <n v="1"/>
    <n v="156"/>
    <n v="0"/>
    <n v="26"/>
    <n v="0"/>
    <n v="0"/>
    <n v="0"/>
    <n v="84"/>
    <n v="90"/>
    <n v="0.57692307692307687"/>
    <n v="0.42307692307692313"/>
    <n v="0"/>
    <n v="90"/>
    <n v="0"/>
    <n v="90"/>
    <x v="0"/>
    <s v="Village"/>
    <x v="0"/>
    <n v="0"/>
    <n v="0"/>
    <n v="0"/>
    <n v="0"/>
    <x v="0"/>
    <m/>
  </r>
  <r>
    <x v="1"/>
    <x v="0"/>
    <x v="12"/>
    <s v="HARP"/>
    <x v="0"/>
    <x v="20"/>
    <x v="0"/>
    <x v="232"/>
    <n v="472"/>
    <n v="2624"/>
    <s v="5-1-2019"/>
    <s v="12-31-2020"/>
    <n v="327"/>
    <m/>
    <m/>
    <n v="50"/>
    <m/>
    <m/>
    <m/>
    <m/>
    <m/>
    <n v="93"/>
    <x v="0"/>
    <m/>
    <m/>
    <n v="93"/>
    <m/>
    <m/>
    <m/>
    <m/>
    <m/>
    <m/>
    <m/>
    <m/>
    <m/>
    <m/>
    <m/>
    <m/>
    <m/>
    <m/>
    <m/>
    <m/>
    <m/>
    <m/>
    <m/>
    <n v="1"/>
    <n v="2624"/>
    <n v="0"/>
    <n v="0"/>
    <n v="1"/>
    <n v="2624"/>
    <n v="10.496"/>
    <n v="0"/>
    <n v="0"/>
    <n v="0"/>
    <n v="10"/>
    <n v="0.24809451219512196"/>
    <n v="651"/>
    <n v="0"/>
    <n v="437"/>
    <n v="344"/>
    <n v="0.75190548780487809"/>
    <n v="0"/>
    <n v="0"/>
    <n v="0"/>
    <n v="0"/>
    <n v="1"/>
    <n v="0"/>
    <n v="0"/>
    <n v="0"/>
    <n v="0"/>
    <x v="1"/>
    <s v="Village"/>
    <x v="0"/>
    <n v="0"/>
    <n v="0"/>
    <n v="0"/>
    <n v="0"/>
    <x v="0"/>
    <m/>
  </r>
  <r>
    <x v="1"/>
    <x v="0"/>
    <x v="12"/>
    <s v="HARP"/>
    <x v="0"/>
    <x v="20"/>
    <x v="0"/>
    <x v="233"/>
    <n v="147"/>
    <n v="719"/>
    <s v="5-1-2019"/>
    <s v="12-31-2020"/>
    <n v="98"/>
    <m/>
    <m/>
    <m/>
    <m/>
    <m/>
    <m/>
    <m/>
    <m/>
    <m/>
    <x v="0"/>
    <m/>
    <m/>
    <m/>
    <m/>
    <m/>
    <m/>
    <m/>
    <m/>
    <m/>
    <m/>
    <m/>
    <m/>
    <m/>
    <m/>
    <m/>
    <m/>
    <m/>
    <m/>
    <m/>
    <m/>
    <m/>
    <m/>
    <n v="0"/>
    <n v="0"/>
    <n v="0"/>
    <n v="0"/>
    <n v="0"/>
    <n v="0"/>
    <n v="0"/>
    <n v="1"/>
    <n v="719"/>
    <n v="3"/>
    <n v="3"/>
    <n v="0"/>
    <n v="0"/>
    <n v="0"/>
    <n v="120"/>
    <n v="120"/>
    <n v="1"/>
    <n v="0"/>
    <n v="0"/>
    <n v="0"/>
    <n v="0"/>
    <n v="1"/>
    <n v="0"/>
    <n v="0"/>
    <n v="0"/>
    <n v="0"/>
    <x v="1"/>
    <s v="Village"/>
    <x v="0"/>
    <n v="0"/>
    <n v="0"/>
    <n v="0"/>
    <n v="0"/>
    <x v="0"/>
    <m/>
  </r>
  <r>
    <x v="1"/>
    <x v="0"/>
    <x v="12"/>
    <s v="HARP"/>
    <x v="0"/>
    <x v="20"/>
    <x v="0"/>
    <x v="234"/>
    <n v="104"/>
    <n v="569"/>
    <s v="5-1-2019"/>
    <s v="12-31-2020"/>
    <n v="64"/>
    <m/>
    <m/>
    <m/>
    <m/>
    <m/>
    <m/>
    <m/>
    <m/>
    <n v="23"/>
    <x v="0"/>
    <m/>
    <m/>
    <n v="23"/>
    <m/>
    <m/>
    <m/>
    <m/>
    <m/>
    <m/>
    <m/>
    <m/>
    <m/>
    <m/>
    <m/>
    <m/>
    <m/>
    <m/>
    <m/>
    <m/>
    <m/>
    <m/>
    <m/>
    <n v="0"/>
    <n v="0"/>
    <n v="0"/>
    <n v="0"/>
    <n v="0"/>
    <n v="0"/>
    <n v="0"/>
    <n v="1"/>
    <n v="569"/>
    <n v="2"/>
    <n v="2"/>
    <n v="0.28295254833040423"/>
    <n v="161"/>
    <n v="0"/>
    <n v="95"/>
    <n v="72"/>
    <n v="0.71704745166959571"/>
    <n v="0"/>
    <n v="0"/>
    <n v="0"/>
    <n v="0"/>
    <n v="1"/>
    <n v="0"/>
    <n v="0"/>
    <n v="0"/>
    <n v="0"/>
    <x v="1"/>
    <s v="Village"/>
    <x v="0"/>
    <n v="0"/>
    <n v="0"/>
    <n v="0"/>
    <n v="0"/>
    <x v="0"/>
    <m/>
  </r>
  <r>
    <x v="1"/>
    <x v="0"/>
    <x v="12"/>
    <s v="HARP"/>
    <x v="0"/>
    <x v="20"/>
    <x v="0"/>
    <x v="235"/>
    <n v="54"/>
    <n v="259"/>
    <s v="5-1-2019"/>
    <s v="12-31-2020"/>
    <n v="23"/>
    <n v="0"/>
    <n v="0"/>
    <m/>
    <m/>
    <m/>
    <m/>
    <m/>
    <m/>
    <m/>
    <x v="4"/>
    <m/>
    <m/>
    <m/>
    <m/>
    <m/>
    <m/>
    <m/>
    <m/>
    <m/>
    <m/>
    <m/>
    <m/>
    <m/>
    <m/>
    <m/>
    <m/>
    <m/>
    <m/>
    <m/>
    <m/>
    <m/>
    <m/>
    <n v="0"/>
    <n v="0"/>
    <n v="0"/>
    <n v="0"/>
    <n v="0"/>
    <n v="0"/>
    <n v="0"/>
    <n v="1"/>
    <n v="259"/>
    <n v="1"/>
    <n v="1"/>
    <n v="0"/>
    <n v="0"/>
    <n v="0"/>
    <n v="43"/>
    <n v="43"/>
    <n v="1"/>
    <n v="0"/>
    <n v="0"/>
    <n v="0"/>
    <n v="0"/>
    <n v="1"/>
    <n v="0"/>
    <n v="0"/>
    <n v="0"/>
    <n v="0"/>
    <x v="1"/>
    <s v="Village"/>
    <x v="0"/>
    <n v="0"/>
    <n v="0"/>
    <n v="0"/>
    <n v="0"/>
    <x v="0"/>
    <m/>
  </r>
  <r>
    <x v="1"/>
    <x v="1"/>
    <x v="1"/>
    <s v="OFDA"/>
    <x v="1"/>
    <x v="8"/>
    <x v="0"/>
    <x v="55"/>
    <n v="204"/>
    <n v="1055"/>
    <d v="2019-04-01T00:00:00"/>
    <d v="2020-06-30T00:00:00"/>
    <n v="241"/>
    <m/>
    <n v="1"/>
    <n v="1"/>
    <n v="3"/>
    <m/>
    <n v="527"/>
    <m/>
    <m/>
    <n v="35"/>
    <x v="1"/>
    <n v="2"/>
    <m/>
    <m/>
    <m/>
    <m/>
    <m/>
    <n v="87"/>
    <n v="102"/>
    <n v="46"/>
    <n v="56"/>
    <m/>
    <m/>
    <m/>
    <n v="1"/>
    <m/>
    <m/>
    <m/>
    <m/>
    <m/>
    <m/>
    <m/>
    <m/>
    <n v="1"/>
    <n v="1055"/>
    <n v="1"/>
    <n v="1055"/>
    <n v="1"/>
    <n v="1055"/>
    <n v="4.22"/>
    <n v="0"/>
    <n v="0"/>
    <n v="0"/>
    <n v="4"/>
    <n v="0.1990521327014218"/>
    <n v="210"/>
    <n v="100"/>
    <n v="176"/>
    <n v="141"/>
    <n v="0.80094786729857814"/>
    <n v="291"/>
    <n v="0"/>
    <n v="291"/>
    <n v="0.27582938388625594"/>
    <n v="0.724170616113744"/>
    <n v="0.27582938388625594"/>
    <n v="0"/>
    <n v="0"/>
    <n v="0"/>
    <x v="1"/>
    <s v="Village"/>
    <x v="0"/>
    <s v="Rakhine"/>
    <n v="20.0839"/>
    <n v="92.993799999999993"/>
    <n v="197557"/>
    <x v="0"/>
    <m/>
  </r>
  <r>
    <x v="1"/>
    <x v="1"/>
    <x v="1"/>
    <s v="OFDA"/>
    <x v="1"/>
    <x v="8"/>
    <x v="0"/>
    <x v="56"/>
    <n v="948"/>
    <n v="3946"/>
    <d v="2019-04-01T00:00:00"/>
    <d v="2020-06-30T00:00:00"/>
    <n v="342"/>
    <m/>
    <n v="65"/>
    <n v="110"/>
    <n v="3"/>
    <m/>
    <n v="1973"/>
    <n v="2"/>
    <m/>
    <n v="85"/>
    <x v="1"/>
    <n v="4"/>
    <m/>
    <m/>
    <m/>
    <m/>
    <m/>
    <n v="532"/>
    <n v="538"/>
    <n v="192"/>
    <n v="193"/>
    <m/>
    <m/>
    <m/>
    <n v="2"/>
    <m/>
    <m/>
    <m/>
    <m/>
    <m/>
    <m/>
    <m/>
    <m/>
    <n v="1"/>
    <n v="3946"/>
    <n v="1"/>
    <n v="3946"/>
    <n v="1"/>
    <n v="3946"/>
    <n v="15.784000000000001"/>
    <n v="0"/>
    <n v="0"/>
    <n v="0.2159999999999993"/>
    <n v="16"/>
    <n v="0.12924480486568676"/>
    <n v="509.99999999999994"/>
    <n v="200"/>
    <n v="658"/>
    <n v="573"/>
    <n v="0.87075519513431321"/>
    <n v="1455"/>
    <n v="0"/>
    <n v="1455"/>
    <n v="0.36872782564622403"/>
    <n v="0.63127217435377592"/>
    <n v="0.36872782564622403"/>
    <n v="0"/>
    <n v="0"/>
    <n v="0"/>
    <x v="1"/>
    <s v="Village"/>
    <x v="0"/>
    <s v="Muslim"/>
    <n v="20.0641"/>
    <n v="92.994600000000005"/>
    <n v="197548"/>
    <x v="0"/>
    <m/>
  </r>
  <r>
    <x v="1"/>
    <x v="1"/>
    <x v="1"/>
    <s v="OFDA"/>
    <x v="1"/>
    <x v="8"/>
    <x v="0"/>
    <x v="57"/>
    <n v="477"/>
    <n v="2034"/>
    <d v="2019-04-01T00:00:00"/>
    <d v="2020-06-30T00:00:00"/>
    <n v="462"/>
    <m/>
    <n v="35"/>
    <n v="50"/>
    <n v="1"/>
    <m/>
    <n v="1017"/>
    <n v="2"/>
    <m/>
    <n v="90"/>
    <x v="1"/>
    <n v="8"/>
    <m/>
    <m/>
    <m/>
    <m/>
    <m/>
    <n v="31"/>
    <n v="220"/>
    <n v="36"/>
    <n v="35"/>
    <m/>
    <m/>
    <m/>
    <n v="4"/>
    <m/>
    <m/>
    <m/>
    <m/>
    <m/>
    <m/>
    <m/>
    <m/>
    <n v="1"/>
    <n v="2034"/>
    <n v="1"/>
    <n v="2034"/>
    <n v="1"/>
    <n v="2034"/>
    <n v="8.1359999999999992"/>
    <n v="0"/>
    <n v="0"/>
    <n v="0"/>
    <n v="8"/>
    <n v="0.26548672566371684"/>
    <n v="540"/>
    <n v="400"/>
    <n v="339"/>
    <n v="249"/>
    <n v="0.73451327433628322"/>
    <n v="322"/>
    <n v="0"/>
    <n v="322"/>
    <n v="0.1583087512291052"/>
    <n v="0.84169124877089474"/>
    <n v="0.1583087512291052"/>
    <n v="0"/>
    <n v="0"/>
    <n v="0"/>
    <x v="1"/>
    <s v="Village"/>
    <x v="0"/>
    <s v="Rakhine"/>
    <n v="20.057860999999999"/>
    <n v="92.995181000000002"/>
    <n v="197550"/>
    <x v="0"/>
    <m/>
  </r>
  <r>
    <x v="1"/>
    <x v="1"/>
    <x v="1"/>
    <s v="BMZ"/>
    <x v="1"/>
    <x v="8"/>
    <x v="0"/>
    <x v="58"/>
    <n v="79"/>
    <n v="341"/>
    <d v="2018-09-16T00:00:00"/>
    <d v="2020-12-31T00:00:00"/>
    <n v="40"/>
    <m/>
    <m/>
    <m/>
    <n v="1"/>
    <m/>
    <n v="341"/>
    <n v="1"/>
    <m/>
    <n v="5"/>
    <x v="2"/>
    <n v="3"/>
    <n v="14"/>
    <m/>
    <m/>
    <m/>
    <m/>
    <m/>
    <m/>
    <m/>
    <m/>
    <m/>
    <m/>
    <m/>
    <m/>
    <m/>
    <m/>
    <m/>
    <m/>
    <m/>
    <m/>
    <m/>
    <m/>
    <n v="0.73313782991202348"/>
    <n v="250"/>
    <n v="1"/>
    <n v="341"/>
    <n v="1"/>
    <n v="341"/>
    <n v="1.3640000000000001"/>
    <n v="0"/>
    <n v="0"/>
    <n v="0"/>
    <n v="1"/>
    <n v="8.797653958944282E-2"/>
    <n v="30"/>
    <n v="150"/>
    <n v="57"/>
    <n v="52"/>
    <n v="0.91202346041055715"/>
    <n v="0"/>
    <n v="0"/>
    <n v="0"/>
    <n v="0"/>
    <n v="1"/>
    <n v="0"/>
    <n v="0"/>
    <n v="0"/>
    <n v="0"/>
    <x v="1"/>
    <s v="Village"/>
    <x v="0"/>
    <n v="0"/>
    <n v="92.969009399414105"/>
    <n v="20.014240264892599"/>
    <n v="197542"/>
    <x v="0"/>
    <m/>
  </r>
  <r>
    <x v="1"/>
    <x v="1"/>
    <x v="1"/>
    <s v="BMZ"/>
    <x v="1"/>
    <x v="8"/>
    <x v="0"/>
    <x v="59"/>
    <n v="84"/>
    <n v="359"/>
    <d v="2018-09-16T00:00:00"/>
    <d v="2020-12-31T00:00:00"/>
    <n v="78"/>
    <m/>
    <m/>
    <m/>
    <n v="0"/>
    <m/>
    <n v="359"/>
    <n v="0"/>
    <m/>
    <n v="2"/>
    <x v="2"/>
    <n v="1"/>
    <n v="8"/>
    <m/>
    <m/>
    <m/>
    <m/>
    <m/>
    <m/>
    <m/>
    <m/>
    <m/>
    <m/>
    <m/>
    <m/>
    <m/>
    <m/>
    <m/>
    <m/>
    <m/>
    <m/>
    <m/>
    <m/>
    <n v="0"/>
    <n v="0"/>
    <n v="1"/>
    <n v="359"/>
    <n v="1"/>
    <n v="359"/>
    <n v="1.4359999999999999"/>
    <n v="0"/>
    <n v="0"/>
    <n v="0"/>
    <n v="1"/>
    <n v="3.3426183844011144E-2"/>
    <n v="12"/>
    <n v="50"/>
    <n v="60"/>
    <n v="58"/>
    <n v="0.96657381615598881"/>
    <n v="0"/>
    <n v="0"/>
    <n v="0"/>
    <n v="0"/>
    <n v="1"/>
    <n v="0"/>
    <n v="0"/>
    <n v="0"/>
    <n v="0"/>
    <x v="1"/>
    <s v="Village"/>
    <x v="0"/>
    <n v="0"/>
    <n v="92.967132568359403"/>
    <n v="19.9705104827881"/>
    <n v="197568"/>
    <x v="0"/>
    <m/>
  </r>
  <r>
    <x v="1"/>
    <x v="1"/>
    <x v="1"/>
    <s v="BMZ"/>
    <x v="1"/>
    <x v="8"/>
    <x v="0"/>
    <x v="60"/>
    <n v="21"/>
    <n v="83"/>
    <d v="2018-09-16T00:00:00"/>
    <d v="2020-12-31T00:00:00"/>
    <n v="9"/>
    <m/>
    <m/>
    <m/>
    <n v="1"/>
    <m/>
    <n v="83"/>
    <n v="0"/>
    <m/>
    <n v="0"/>
    <x v="2"/>
    <n v="0"/>
    <n v="0"/>
    <m/>
    <m/>
    <m/>
    <m/>
    <m/>
    <m/>
    <m/>
    <m/>
    <m/>
    <m/>
    <m/>
    <m/>
    <m/>
    <m/>
    <m/>
    <m/>
    <m/>
    <m/>
    <m/>
    <m/>
    <n v="0"/>
    <n v="0"/>
    <n v="1"/>
    <n v="83"/>
    <n v="1"/>
    <n v="83"/>
    <n v="0.33200000000000002"/>
    <n v="0"/>
    <n v="0"/>
    <n v="0.66799999999999993"/>
    <n v="1"/>
    <n v="0"/>
    <n v="0"/>
    <n v="0"/>
    <n v="14"/>
    <n v="14"/>
    <n v="1"/>
    <n v="0"/>
    <n v="0"/>
    <n v="0"/>
    <n v="0"/>
    <n v="1"/>
    <n v="0"/>
    <n v="0"/>
    <n v="0"/>
    <n v="0"/>
    <x v="1"/>
    <s v="Village"/>
    <x v="0"/>
    <n v="0"/>
    <n v="92.943733215332003"/>
    <n v="20.0130805969238"/>
    <n v="217987"/>
    <x v="0"/>
    <m/>
  </r>
  <r>
    <x v="1"/>
    <x v="1"/>
    <x v="1"/>
    <s v="BMZ"/>
    <x v="1"/>
    <x v="8"/>
    <x v="0"/>
    <x v="61"/>
    <n v="160"/>
    <n v="728"/>
    <d v="2018-09-16T00:00:00"/>
    <d v="2020-12-31T00:00:00"/>
    <n v="177"/>
    <m/>
    <m/>
    <m/>
    <n v="0"/>
    <m/>
    <n v="728"/>
    <n v="0"/>
    <m/>
    <n v="10"/>
    <x v="2"/>
    <n v="2"/>
    <n v="11"/>
    <m/>
    <m/>
    <m/>
    <m/>
    <m/>
    <m/>
    <m/>
    <m/>
    <m/>
    <m/>
    <m/>
    <m/>
    <m/>
    <m/>
    <m/>
    <m/>
    <m/>
    <m/>
    <m/>
    <m/>
    <n v="0"/>
    <n v="0"/>
    <n v="1"/>
    <n v="728"/>
    <n v="1"/>
    <n v="728"/>
    <n v="2.9119999999999999"/>
    <n v="0"/>
    <n v="0"/>
    <n v="8.8000000000000078E-2"/>
    <n v="3"/>
    <n v="8.2417582417582416E-2"/>
    <n v="60"/>
    <n v="100"/>
    <n v="121"/>
    <n v="111"/>
    <n v="0.91758241758241754"/>
    <n v="0"/>
    <n v="0"/>
    <n v="0"/>
    <n v="0"/>
    <n v="1"/>
    <n v="0"/>
    <n v="0"/>
    <n v="0"/>
    <n v="0"/>
    <x v="1"/>
    <s v="Village"/>
    <x v="0"/>
    <n v="0"/>
    <n v="19.94882965"/>
    <n v="92.978782649999999"/>
    <n v="197566"/>
    <x v="0"/>
    <m/>
  </r>
  <r>
    <x v="1"/>
    <x v="3"/>
    <x v="3"/>
    <s v="BMZ"/>
    <x v="1"/>
    <x v="10"/>
    <x v="0"/>
    <x v="67"/>
    <n v="192"/>
    <n v="1083"/>
    <d v="2017-01-01T00:00:00"/>
    <d v="2021-12-21T00:00:00"/>
    <m/>
    <m/>
    <n v="2"/>
    <n v="52"/>
    <n v="3"/>
    <n v="53"/>
    <m/>
    <m/>
    <m/>
    <n v="112"/>
    <x v="3"/>
    <m/>
    <m/>
    <m/>
    <m/>
    <m/>
    <m/>
    <m/>
    <m/>
    <m/>
    <m/>
    <m/>
    <m/>
    <m/>
    <m/>
    <m/>
    <m/>
    <m/>
    <m/>
    <m/>
    <m/>
    <m/>
    <m/>
    <n v="1"/>
    <n v="1083"/>
    <n v="1"/>
    <n v="1083"/>
    <n v="1"/>
    <n v="1083"/>
    <n v="4.3319999999999999"/>
    <n v="0"/>
    <n v="0"/>
    <n v="0"/>
    <n v="4"/>
    <n v="0.62049861495844871"/>
    <n v="672"/>
    <n v="0"/>
    <n v="181"/>
    <n v="69"/>
    <n v="0.37950138504155129"/>
    <n v="0"/>
    <n v="0"/>
    <n v="0"/>
    <n v="0"/>
    <n v="1"/>
    <n v="0"/>
    <n v="0"/>
    <n v="0"/>
    <n v="0"/>
    <x v="0"/>
    <s v="Village"/>
    <x v="0"/>
    <n v="0"/>
    <n v="20.2034397125244"/>
    <n v="92.909606933593807"/>
    <n v="196132"/>
    <x v="0"/>
    <m/>
  </r>
  <r>
    <x v="1"/>
    <x v="3"/>
    <x v="3"/>
    <s v="BMZ"/>
    <x v="1"/>
    <x v="10"/>
    <x v="0"/>
    <x v="68"/>
    <n v="65"/>
    <n v="373"/>
    <d v="2017-01-01T00:00:00"/>
    <d v="2021-12-21T00:00:00"/>
    <m/>
    <m/>
    <n v="4"/>
    <n v="31"/>
    <n v="1"/>
    <m/>
    <m/>
    <m/>
    <m/>
    <n v="44"/>
    <x v="3"/>
    <m/>
    <m/>
    <m/>
    <m/>
    <m/>
    <m/>
    <m/>
    <m/>
    <m/>
    <m/>
    <m/>
    <m/>
    <m/>
    <m/>
    <m/>
    <m/>
    <m/>
    <m/>
    <m/>
    <m/>
    <m/>
    <m/>
    <n v="1"/>
    <n v="373"/>
    <n v="1"/>
    <n v="373"/>
    <n v="1"/>
    <n v="373"/>
    <n v="1.492"/>
    <n v="0"/>
    <n v="0"/>
    <n v="0"/>
    <n v="1"/>
    <n v="0.70777479892761397"/>
    <n v="264"/>
    <n v="0"/>
    <n v="62"/>
    <n v="18"/>
    <n v="0.29222520107238603"/>
    <n v="0"/>
    <n v="0"/>
    <n v="0"/>
    <n v="0"/>
    <n v="1"/>
    <n v="0"/>
    <n v="0"/>
    <n v="0"/>
    <n v="0"/>
    <x v="0"/>
    <s v="Village"/>
    <x v="0"/>
    <n v="0"/>
    <n v="20.191799163818398"/>
    <n v="92.9066162109375"/>
    <n v="196135"/>
    <x v="0"/>
    <m/>
  </r>
  <r>
    <x v="1"/>
    <x v="3"/>
    <x v="3"/>
    <s v="BMZ"/>
    <x v="1"/>
    <x v="10"/>
    <x v="0"/>
    <x v="69"/>
    <n v="86"/>
    <n v="481"/>
    <d v="2017-01-01T00:00:00"/>
    <d v="2021-12-21T00:00:00"/>
    <m/>
    <m/>
    <n v="8"/>
    <n v="34"/>
    <n v="2"/>
    <m/>
    <m/>
    <m/>
    <m/>
    <n v="67"/>
    <x v="3"/>
    <m/>
    <m/>
    <m/>
    <m/>
    <m/>
    <m/>
    <m/>
    <m/>
    <m/>
    <m/>
    <m/>
    <m/>
    <m/>
    <m/>
    <m/>
    <m/>
    <m/>
    <m/>
    <m/>
    <m/>
    <m/>
    <m/>
    <n v="1"/>
    <n v="481"/>
    <n v="1"/>
    <n v="481"/>
    <n v="1"/>
    <n v="481"/>
    <n v="1.9239999999999999"/>
    <n v="0"/>
    <n v="0"/>
    <n v="7.6000000000000068E-2"/>
    <n v="2"/>
    <n v="0.83575883575883581"/>
    <n v="402"/>
    <n v="0"/>
    <n v="80"/>
    <n v="13"/>
    <n v="0.16424116424116419"/>
    <n v="0"/>
    <n v="0"/>
    <n v="0"/>
    <n v="0"/>
    <n v="1"/>
    <n v="0"/>
    <n v="0"/>
    <n v="0"/>
    <n v="0"/>
    <x v="0"/>
    <s v="Village"/>
    <x v="0"/>
    <n v="0"/>
    <n v="20.187860488891602"/>
    <n v="92.903419494628906"/>
    <n v="196134"/>
    <x v="0"/>
    <m/>
  </r>
  <r>
    <x v="1"/>
    <x v="3"/>
    <x v="3"/>
    <s v="BMZ"/>
    <x v="1"/>
    <x v="10"/>
    <x v="0"/>
    <x v="70"/>
    <n v="88"/>
    <n v="454"/>
    <d v="2017-01-01T00:00:00"/>
    <d v="2021-12-21T00:00:00"/>
    <m/>
    <m/>
    <n v="6"/>
    <n v="41"/>
    <n v="1"/>
    <m/>
    <m/>
    <m/>
    <m/>
    <n v="76"/>
    <x v="3"/>
    <m/>
    <m/>
    <m/>
    <m/>
    <m/>
    <m/>
    <m/>
    <m/>
    <m/>
    <m/>
    <m/>
    <m/>
    <m/>
    <m/>
    <m/>
    <m/>
    <m/>
    <m/>
    <m/>
    <m/>
    <m/>
    <m/>
    <n v="1"/>
    <n v="454"/>
    <n v="1"/>
    <n v="454"/>
    <n v="1"/>
    <n v="454"/>
    <n v="1.8160000000000001"/>
    <n v="0"/>
    <n v="0"/>
    <n v="0.18399999999999994"/>
    <n v="2"/>
    <n v="1"/>
    <n v="454"/>
    <n v="0"/>
    <n v="76"/>
    <n v="0"/>
    <n v="0"/>
    <n v="0"/>
    <n v="0"/>
    <n v="0"/>
    <n v="0"/>
    <n v="1"/>
    <n v="0"/>
    <n v="0"/>
    <n v="0"/>
    <n v="0"/>
    <x v="0"/>
    <s v="Village"/>
    <x v="0"/>
    <n v="0"/>
    <n v="20.1899604797363"/>
    <n v="92.895767211914105"/>
    <n v="196136"/>
    <x v="0"/>
    <m/>
  </r>
  <r>
    <x v="1"/>
    <x v="3"/>
    <x v="3"/>
    <s v="EU"/>
    <x v="1"/>
    <x v="10"/>
    <x v="0"/>
    <x v="71"/>
    <n v="218"/>
    <n v="978"/>
    <d v="2017-01-01T00:00:00"/>
    <d v="2021-12-21T00:00:00"/>
    <m/>
    <m/>
    <n v="9"/>
    <n v="76"/>
    <n v="3"/>
    <m/>
    <m/>
    <m/>
    <m/>
    <n v="118"/>
    <x v="3"/>
    <m/>
    <m/>
    <m/>
    <m/>
    <m/>
    <m/>
    <m/>
    <m/>
    <m/>
    <m/>
    <m/>
    <m/>
    <m/>
    <m/>
    <m/>
    <m/>
    <m/>
    <m/>
    <m/>
    <m/>
    <m/>
    <m/>
    <n v="1"/>
    <n v="978"/>
    <n v="1"/>
    <n v="978"/>
    <n v="1"/>
    <n v="978"/>
    <n v="3.9119999999999999"/>
    <n v="0"/>
    <n v="0"/>
    <n v="8.8000000000000078E-2"/>
    <n v="4"/>
    <n v="0.7239263803680982"/>
    <n v="708"/>
    <n v="0"/>
    <n v="163"/>
    <n v="45"/>
    <n v="0.2760736196319018"/>
    <n v="0"/>
    <n v="0"/>
    <n v="0"/>
    <n v="0"/>
    <n v="1"/>
    <n v="0"/>
    <n v="0"/>
    <n v="0"/>
    <n v="0"/>
    <x v="0"/>
    <s v="Village"/>
    <x v="0"/>
    <n v="0"/>
    <n v="20.2630290985107"/>
    <n v="92.858856201171903"/>
    <n v="196166"/>
    <x v="0"/>
    <m/>
  </r>
  <r>
    <x v="1"/>
    <x v="3"/>
    <x v="3"/>
    <s v="EU"/>
    <x v="1"/>
    <x v="10"/>
    <x v="0"/>
    <x v="72"/>
    <n v="147"/>
    <n v="741"/>
    <d v="2017-01-01T00:00:00"/>
    <d v="2021-12-21T00:00:00"/>
    <m/>
    <m/>
    <n v="4"/>
    <n v="42"/>
    <n v="2"/>
    <m/>
    <m/>
    <m/>
    <m/>
    <n v="123"/>
    <x v="3"/>
    <m/>
    <m/>
    <m/>
    <m/>
    <m/>
    <m/>
    <m/>
    <m/>
    <m/>
    <m/>
    <m/>
    <m/>
    <m/>
    <m/>
    <m/>
    <m/>
    <m/>
    <m/>
    <m/>
    <m/>
    <m/>
    <m/>
    <n v="1"/>
    <n v="741"/>
    <n v="1"/>
    <n v="741"/>
    <n v="1"/>
    <n v="741"/>
    <n v="2.964"/>
    <n v="0"/>
    <n v="0"/>
    <n v="3.6000000000000032E-2"/>
    <n v="3"/>
    <n v="0.99595141700404854"/>
    <n v="738"/>
    <n v="0"/>
    <n v="124"/>
    <n v="1"/>
    <n v="4.0485829959514552E-3"/>
    <n v="0"/>
    <n v="0"/>
    <n v="0"/>
    <n v="0"/>
    <n v="1"/>
    <n v="0"/>
    <n v="0"/>
    <n v="0"/>
    <n v="0"/>
    <x v="0"/>
    <s v="Village"/>
    <x v="0"/>
    <n v="0"/>
    <n v="20.248519897460898"/>
    <n v="92.8621826171875"/>
    <n v="196170"/>
    <x v="0"/>
    <m/>
  </r>
  <r>
    <x v="1"/>
    <x v="3"/>
    <x v="3"/>
    <s v="EU"/>
    <x v="1"/>
    <x v="10"/>
    <x v="0"/>
    <x v="73"/>
    <n v="235"/>
    <n v="1117"/>
    <d v="2017-01-01T00:00:00"/>
    <d v="2021-12-21T00:00:00"/>
    <m/>
    <m/>
    <n v="2"/>
    <n v="132"/>
    <n v="3"/>
    <m/>
    <m/>
    <m/>
    <m/>
    <n v="216"/>
    <x v="3"/>
    <m/>
    <m/>
    <m/>
    <m/>
    <m/>
    <m/>
    <m/>
    <m/>
    <m/>
    <m/>
    <m/>
    <m/>
    <m/>
    <m/>
    <m/>
    <m/>
    <m/>
    <m/>
    <m/>
    <m/>
    <m/>
    <m/>
    <n v="1"/>
    <n v="1117"/>
    <n v="1"/>
    <n v="1117"/>
    <n v="1"/>
    <n v="1117"/>
    <n v="4.468"/>
    <n v="0"/>
    <n v="0"/>
    <n v="0"/>
    <n v="4"/>
    <n v="1"/>
    <n v="1117"/>
    <n v="0"/>
    <n v="186"/>
    <n v="0"/>
    <n v="0"/>
    <n v="0"/>
    <n v="0"/>
    <n v="0"/>
    <n v="0"/>
    <n v="1"/>
    <n v="0"/>
    <n v="0"/>
    <n v="0"/>
    <n v="0"/>
    <x v="0"/>
    <s v="Village"/>
    <x v="0"/>
    <n v="0"/>
    <n v="20.2375602722168"/>
    <n v="92.861152648925795"/>
    <n v="196169"/>
    <x v="0"/>
    <m/>
  </r>
  <r>
    <x v="1"/>
    <x v="3"/>
    <x v="3"/>
    <s v="EU"/>
    <x v="1"/>
    <x v="10"/>
    <x v="0"/>
    <x v="74"/>
    <n v="156"/>
    <n v="658"/>
    <d v="2017-01-01T00:00:00"/>
    <d v="2021-12-21T00:00:00"/>
    <m/>
    <m/>
    <m/>
    <n v="88"/>
    <n v="2"/>
    <m/>
    <m/>
    <m/>
    <m/>
    <n v="98"/>
    <x v="3"/>
    <m/>
    <m/>
    <m/>
    <m/>
    <m/>
    <m/>
    <m/>
    <m/>
    <m/>
    <m/>
    <m/>
    <m/>
    <m/>
    <m/>
    <m/>
    <m/>
    <m/>
    <m/>
    <m/>
    <m/>
    <m/>
    <m/>
    <n v="1"/>
    <n v="658"/>
    <n v="1"/>
    <n v="658"/>
    <n v="1"/>
    <n v="658"/>
    <n v="2.6320000000000001"/>
    <n v="0"/>
    <n v="0"/>
    <n v="0.36799999999999988"/>
    <n v="3"/>
    <n v="0.8936170212765957"/>
    <n v="588"/>
    <n v="0"/>
    <n v="110"/>
    <n v="12"/>
    <n v="0.1063829787234043"/>
    <n v="0"/>
    <n v="0"/>
    <n v="0"/>
    <n v="0"/>
    <n v="1"/>
    <n v="0"/>
    <n v="0"/>
    <n v="0"/>
    <n v="0"/>
    <x v="0"/>
    <s v="Village"/>
    <x v="0"/>
    <s v="Rakhine"/>
    <n v="20.22929001"/>
    <n v="92.864669800000001"/>
    <n v="196167"/>
    <x v="0"/>
    <m/>
  </r>
  <r>
    <x v="1"/>
    <x v="3"/>
    <x v="3"/>
    <s v="EU"/>
    <x v="1"/>
    <x v="10"/>
    <x v="0"/>
    <x v="75"/>
    <n v="113"/>
    <n v="656"/>
    <d v="2017-01-01T00:00:00"/>
    <d v="2021-12-21T00:00:00"/>
    <m/>
    <m/>
    <n v="9"/>
    <n v="41"/>
    <n v="3"/>
    <m/>
    <m/>
    <m/>
    <m/>
    <n v="78"/>
    <x v="3"/>
    <m/>
    <m/>
    <m/>
    <m/>
    <m/>
    <m/>
    <m/>
    <m/>
    <m/>
    <m/>
    <m/>
    <m/>
    <m/>
    <m/>
    <m/>
    <m/>
    <m/>
    <m/>
    <m/>
    <m/>
    <m/>
    <m/>
    <n v="1"/>
    <n v="656"/>
    <n v="1"/>
    <n v="656"/>
    <n v="1"/>
    <n v="656"/>
    <n v="2.6240000000000001"/>
    <n v="0"/>
    <n v="0"/>
    <n v="0.37599999999999989"/>
    <n v="3"/>
    <n v="0.71341463414634143"/>
    <n v="468"/>
    <n v="0"/>
    <n v="109"/>
    <n v="31"/>
    <n v="0.28658536585365857"/>
    <n v="0"/>
    <n v="0"/>
    <n v="0"/>
    <n v="0"/>
    <n v="1"/>
    <n v="0"/>
    <n v="0"/>
    <n v="0"/>
    <n v="0"/>
    <x v="0"/>
    <s v="Village"/>
    <x v="0"/>
    <s v="Rakhine"/>
    <n v="20.2315197"/>
    <n v="92.876129149999997"/>
    <n v="196180"/>
    <x v="0"/>
    <m/>
  </r>
  <r>
    <x v="1"/>
    <x v="3"/>
    <x v="3"/>
    <s v="EU"/>
    <x v="1"/>
    <x v="10"/>
    <x v="0"/>
    <x v="76"/>
    <n v="172"/>
    <n v="1435"/>
    <d v="2017-01-01T00:00:00"/>
    <d v="2021-12-21T00:00:00"/>
    <m/>
    <m/>
    <n v="8"/>
    <n v="97"/>
    <n v="3"/>
    <m/>
    <m/>
    <m/>
    <m/>
    <n v="132"/>
    <x v="3"/>
    <m/>
    <m/>
    <m/>
    <m/>
    <m/>
    <m/>
    <m/>
    <m/>
    <m/>
    <m/>
    <m/>
    <m/>
    <m/>
    <m/>
    <m/>
    <m/>
    <m/>
    <m/>
    <m/>
    <m/>
    <m/>
    <m/>
    <n v="1"/>
    <n v="1435"/>
    <n v="1"/>
    <n v="1435"/>
    <n v="1"/>
    <n v="1435"/>
    <n v="5.74"/>
    <n v="0"/>
    <n v="0"/>
    <n v="0.25999999999999979"/>
    <n v="6"/>
    <n v="0.55191637630662016"/>
    <n v="791.99999999999989"/>
    <n v="0"/>
    <n v="239"/>
    <n v="107"/>
    <n v="0.44808362369337984"/>
    <n v="0"/>
    <n v="0"/>
    <n v="0"/>
    <n v="0"/>
    <n v="1"/>
    <n v="0"/>
    <n v="0"/>
    <n v="0"/>
    <n v="0"/>
    <x v="0"/>
    <s v="Village"/>
    <x v="0"/>
    <s v="Muslim"/>
    <n v="0"/>
    <n v="0"/>
    <n v="0"/>
    <x v="0"/>
    <m/>
  </r>
  <r>
    <x v="1"/>
    <x v="3"/>
    <x v="3"/>
    <s v="EU"/>
    <x v="1"/>
    <x v="10"/>
    <x v="0"/>
    <x v="77"/>
    <n v="241"/>
    <n v="1027"/>
    <d v="2017-01-01T00:00:00"/>
    <d v="2021-12-21T00:00:00"/>
    <m/>
    <m/>
    <n v="26"/>
    <n v="33"/>
    <n v="2"/>
    <m/>
    <m/>
    <m/>
    <m/>
    <n v="66"/>
    <x v="3"/>
    <m/>
    <m/>
    <m/>
    <m/>
    <m/>
    <m/>
    <m/>
    <m/>
    <m/>
    <m/>
    <m/>
    <m/>
    <m/>
    <m/>
    <m/>
    <m/>
    <m/>
    <m/>
    <m/>
    <m/>
    <m/>
    <m/>
    <n v="1"/>
    <n v="1027"/>
    <n v="1"/>
    <n v="1027"/>
    <n v="1"/>
    <n v="1027"/>
    <n v="4.1079999999999997"/>
    <n v="0"/>
    <n v="0"/>
    <n v="0"/>
    <n v="4"/>
    <n v="0.38558909444985395"/>
    <n v="396"/>
    <n v="0"/>
    <n v="171"/>
    <n v="105"/>
    <n v="0.6144109055501461"/>
    <n v="0"/>
    <n v="0"/>
    <n v="0"/>
    <n v="0"/>
    <n v="1"/>
    <n v="0"/>
    <n v="0"/>
    <n v="0"/>
    <n v="0"/>
    <x v="0"/>
    <s v="Village"/>
    <x v="0"/>
    <n v="0"/>
    <n v="20.2105598449707"/>
    <n v="92.836456298828097"/>
    <n v="196125"/>
    <x v="0"/>
    <m/>
  </r>
  <r>
    <x v="1"/>
    <x v="3"/>
    <x v="3"/>
    <s v="EU"/>
    <x v="1"/>
    <x v="10"/>
    <x v="0"/>
    <x v="78"/>
    <n v="77"/>
    <n v="370"/>
    <d v="2017-01-01T00:00:00"/>
    <d v="2021-12-21T00:00:00"/>
    <m/>
    <m/>
    <n v="14"/>
    <n v="208"/>
    <n v="4"/>
    <m/>
    <m/>
    <m/>
    <m/>
    <n v="201"/>
    <x v="3"/>
    <m/>
    <m/>
    <m/>
    <m/>
    <m/>
    <m/>
    <m/>
    <m/>
    <m/>
    <m/>
    <m/>
    <m/>
    <m/>
    <m/>
    <m/>
    <m/>
    <m/>
    <m/>
    <m/>
    <m/>
    <m/>
    <m/>
    <n v="1"/>
    <n v="370"/>
    <n v="1"/>
    <n v="370"/>
    <n v="1"/>
    <n v="370"/>
    <n v="1.48"/>
    <n v="0"/>
    <n v="0"/>
    <n v="0"/>
    <n v="1"/>
    <n v="1"/>
    <n v="370"/>
    <n v="0"/>
    <n v="62"/>
    <n v="0"/>
    <n v="0"/>
    <n v="0"/>
    <n v="0"/>
    <n v="0"/>
    <n v="0"/>
    <n v="1"/>
    <n v="0"/>
    <n v="0"/>
    <n v="0"/>
    <n v="0"/>
    <x v="0"/>
    <s v="Village"/>
    <x v="0"/>
    <s v="Rakhine"/>
    <n v="20.236940383911101"/>
    <n v="92.833259582519503"/>
    <n v="196130"/>
    <x v="0"/>
    <m/>
  </r>
  <r>
    <x v="1"/>
    <x v="3"/>
    <x v="3"/>
    <s v="EU"/>
    <x v="1"/>
    <x v="10"/>
    <x v="0"/>
    <x v="79"/>
    <n v="509"/>
    <n v="1574"/>
    <d v="2017-01-01T00:00:00"/>
    <d v="2021-12-21T00:00:00"/>
    <m/>
    <m/>
    <n v="9"/>
    <n v="94"/>
    <n v="2"/>
    <m/>
    <m/>
    <m/>
    <m/>
    <n v="136"/>
    <x v="3"/>
    <m/>
    <m/>
    <m/>
    <m/>
    <m/>
    <m/>
    <m/>
    <m/>
    <m/>
    <m/>
    <m/>
    <m/>
    <m/>
    <m/>
    <m/>
    <m/>
    <m/>
    <m/>
    <m/>
    <m/>
    <m/>
    <m/>
    <n v="1"/>
    <n v="1574"/>
    <n v="1"/>
    <n v="1574"/>
    <n v="1"/>
    <n v="1574"/>
    <n v="6.2960000000000003"/>
    <n v="0"/>
    <n v="0"/>
    <n v="0"/>
    <n v="6"/>
    <n v="0.51842439644218552"/>
    <n v="816"/>
    <n v="0"/>
    <n v="262"/>
    <n v="126"/>
    <n v="0.48157560355781448"/>
    <n v="0"/>
    <n v="0"/>
    <n v="0"/>
    <n v="0"/>
    <n v="1"/>
    <n v="0"/>
    <n v="0"/>
    <n v="0"/>
    <n v="0"/>
    <x v="0"/>
    <s v="Village"/>
    <x v="0"/>
    <s v="Rakhine"/>
    <n v="20.226730346679702"/>
    <n v="92.836929321289105"/>
    <n v="196129"/>
    <x v="0"/>
    <m/>
  </r>
  <r>
    <x v="1"/>
    <x v="3"/>
    <x v="3"/>
    <s v="EU"/>
    <x v="1"/>
    <x v="10"/>
    <x v="0"/>
    <x v="80"/>
    <n v="301"/>
    <n v="1529"/>
    <d v="2017-01-01T00:00:00"/>
    <d v="2021-12-21T00:00:00"/>
    <m/>
    <m/>
    <n v="7"/>
    <n v="117"/>
    <n v="3"/>
    <m/>
    <m/>
    <m/>
    <m/>
    <n v="186"/>
    <x v="3"/>
    <m/>
    <m/>
    <m/>
    <m/>
    <m/>
    <m/>
    <m/>
    <m/>
    <m/>
    <m/>
    <m/>
    <m/>
    <m/>
    <m/>
    <m/>
    <m/>
    <m/>
    <m/>
    <m/>
    <m/>
    <m/>
    <m/>
    <n v="1"/>
    <n v="1529"/>
    <n v="1"/>
    <n v="1529"/>
    <n v="1"/>
    <n v="1529"/>
    <n v="6.1159999999999997"/>
    <n v="0"/>
    <n v="0"/>
    <n v="0"/>
    <n v="6"/>
    <n v="0.72988881621975144"/>
    <n v="1116"/>
    <n v="0"/>
    <n v="255"/>
    <n v="69"/>
    <n v="0.27011118378024856"/>
    <n v="0"/>
    <n v="0"/>
    <n v="0"/>
    <n v="0"/>
    <n v="1"/>
    <n v="0"/>
    <n v="0"/>
    <n v="0"/>
    <n v="0"/>
    <x v="0"/>
    <s v="Village"/>
    <x v="0"/>
    <s v="Rakhine"/>
    <n v="20.257850650000002"/>
    <n v="92.811126709999996"/>
    <n v="196161"/>
    <x v="0"/>
    <m/>
  </r>
  <r>
    <x v="1"/>
    <x v="3"/>
    <x v="3"/>
    <s v="EU"/>
    <x v="1"/>
    <x v="10"/>
    <x v="0"/>
    <x v="81"/>
    <n v="85"/>
    <n v="369"/>
    <d v="2017-01-01T00:00:00"/>
    <d v="2021-12-21T00:00:00"/>
    <m/>
    <m/>
    <n v="2"/>
    <n v="56"/>
    <n v="2"/>
    <m/>
    <m/>
    <m/>
    <m/>
    <n v="58"/>
    <x v="3"/>
    <m/>
    <m/>
    <m/>
    <m/>
    <m/>
    <m/>
    <m/>
    <m/>
    <m/>
    <m/>
    <m/>
    <m/>
    <m/>
    <m/>
    <m/>
    <m/>
    <m/>
    <m/>
    <m/>
    <m/>
    <m/>
    <m/>
    <n v="1"/>
    <n v="369"/>
    <n v="1"/>
    <n v="369"/>
    <n v="1"/>
    <n v="369"/>
    <n v="1.476"/>
    <n v="0"/>
    <n v="0"/>
    <n v="0"/>
    <n v="1"/>
    <n v="0.94308943089430897"/>
    <n v="348"/>
    <n v="0"/>
    <n v="62"/>
    <n v="4"/>
    <n v="5.6910569105691033E-2"/>
    <n v="0"/>
    <n v="0"/>
    <n v="0"/>
    <n v="0"/>
    <n v="1"/>
    <n v="0"/>
    <n v="0"/>
    <n v="0"/>
    <n v="0"/>
    <x v="0"/>
    <s v="Village"/>
    <x v="0"/>
    <n v="0"/>
    <n v="20.261358000000001"/>
    <n v="92.805672999999999"/>
    <n v="220593"/>
    <x v="0"/>
    <m/>
  </r>
  <r>
    <x v="1"/>
    <x v="3"/>
    <x v="3"/>
    <s v="EU"/>
    <x v="1"/>
    <x v="10"/>
    <x v="0"/>
    <x v="82"/>
    <n v="355"/>
    <n v="2168"/>
    <d v="2017-01-01T00:00:00"/>
    <d v="2021-12-21T00:00:00"/>
    <m/>
    <m/>
    <n v="23"/>
    <n v="374"/>
    <n v="2"/>
    <m/>
    <m/>
    <m/>
    <m/>
    <n v="216"/>
    <x v="3"/>
    <m/>
    <m/>
    <m/>
    <m/>
    <m/>
    <m/>
    <m/>
    <m/>
    <m/>
    <m/>
    <m/>
    <m/>
    <m/>
    <m/>
    <m/>
    <m/>
    <m/>
    <m/>
    <m/>
    <m/>
    <m/>
    <m/>
    <n v="1"/>
    <n v="2168"/>
    <n v="1"/>
    <n v="2168"/>
    <n v="1"/>
    <n v="2168"/>
    <n v="8.6720000000000006"/>
    <n v="0"/>
    <n v="0"/>
    <n v="0.3279999999999994"/>
    <n v="9"/>
    <n v="0.59778597785977861"/>
    <n v="1296"/>
    <n v="0"/>
    <n v="361"/>
    <n v="145"/>
    <n v="0.40221402214022139"/>
    <n v="0"/>
    <n v="0"/>
    <n v="0"/>
    <n v="0"/>
    <n v="1"/>
    <n v="0"/>
    <n v="0"/>
    <n v="0"/>
    <n v="0"/>
    <x v="0"/>
    <s v="Village"/>
    <x v="0"/>
    <n v="0"/>
    <n v="20.246250152587901"/>
    <n v="92.822059631347699"/>
    <n v="196160"/>
    <x v="0"/>
    <m/>
  </r>
  <r>
    <x v="1"/>
    <x v="3"/>
    <x v="3"/>
    <s v="EU"/>
    <x v="1"/>
    <x v="10"/>
    <x v="0"/>
    <x v="83"/>
    <n v="300"/>
    <n v="1369"/>
    <d v="2017-01-01T00:00:00"/>
    <d v="2021-12-21T00:00:00"/>
    <m/>
    <m/>
    <n v="8"/>
    <n v="191"/>
    <n v="4"/>
    <m/>
    <m/>
    <m/>
    <m/>
    <n v="219"/>
    <x v="3"/>
    <m/>
    <m/>
    <m/>
    <m/>
    <m/>
    <m/>
    <m/>
    <m/>
    <m/>
    <m/>
    <m/>
    <m/>
    <m/>
    <m/>
    <m/>
    <m/>
    <m/>
    <m/>
    <m/>
    <m/>
    <m/>
    <m/>
    <n v="1"/>
    <n v="1369"/>
    <n v="1"/>
    <n v="1369"/>
    <n v="1"/>
    <n v="1369"/>
    <n v="5.476"/>
    <n v="0"/>
    <n v="0"/>
    <n v="0"/>
    <n v="5"/>
    <n v="0.95982468955441924"/>
    <n v="1314"/>
    <n v="0"/>
    <n v="228"/>
    <n v="9"/>
    <n v="4.0175310445580759E-2"/>
    <n v="0"/>
    <n v="0"/>
    <n v="0"/>
    <n v="0"/>
    <n v="1"/>
    <n v="0"/>
    <n v="0"/>
    <n v="0"/>
    <n v="0"/>
    <x v="0"/>
    <s v="Village"/>
    <x v="0"/>
    <n v="0"/>
    <n v="20.239799499511701"/>
    <n v="92.825088500976605"/>
    <n v="196131"/>
    <x v="0"/>
    <m/>
  </r>
  <r>
    <x v="1"/>
    <x v="3"/>
    <x v="3"/>
    <s v="BMZ"/>
    <x v="1"/>
    <x v="10"/>
    <x v="0"/>
    <x v="84"/>
    <n v="331"/>
    <n v="1473"/>
    <d v="2017-01-01T00:00:00"/>
    <d v="2021-12-21T00:00:00"/>
    <m/>
    <m/>
    <n v="2"/>
    <n v="68"/>
    <n v="2"/>
    <m/>
    <m/>
    <m/>
    <m/>
    <n v="79"/>
    <x v="3"/>
    <m/>
    <m/>
    <m/>
    <m/>
    <m/>
    <m/>
    <m/>
    <m/>
    <m/>
    <m/>
    <m/>
    <m/>
    <m/>
    <m/>
    <m/>
    <m/>
    <m/>
    <m/>
    <m/>
    <m/>
    <m/>
    <m/>
    <n v="1"/>
    <n v="1473"/>
    <n v="1"/>
    <n v="1473"/>
    <n v="1"/>
    <n v="1473"/>
    <n v="5.8920000000000003"/>
    <n v="0"/>
    <n v="0"/>
    <n v="0.10799999999999965"/>
    <n v="6"/>
    <n v="0.32179226069246436"/>
    <n v="474"/>
    <n v="0"/>
    <n v="246"/>
    <n v="167"/>
    <n v="0.67820773930753564"/>
    <n v="0"/>
    <n v="0"/>
    <n v="0"/>
    <n v="0"/>
    <n v="1"/>
    <n v="0"/>
    <n v="0"/>
    <n v="0"/>
    <n v="0"/>
    <x v="0"/>
    <s v="Village"/>
    <x v="0"/>
    <n v="0"/>
    <n v="20.128850936889599"/>
    <n v="92.872497558593807"/>
    <n v="196208"/>
    <x v="0"/>
    <m/>
  </r>
  <r>
    <x v="1"/>
    <x v="4"/>
    <x v="4"/>
    <s v="DFID/HARP"/>
    <x v="1"/>
    <x v="10"/>
    <x v="0"/>
    <x v="85"/>
    <n v="200"/>
    <n v="1065"/>
    <d v="2017-10-01T00:00:00"/>
    <d v="2020-09-30T00:00:00"/>
    <m/>
    <n v="0"/>
    <m/>
    <m/>
    <m/>
    <m/>
    <m/>
    <m/>
    <m/>
    <m/>
    <x v="3"/>
    <m/>
    <m/>
    <m/>
    <m/>
    <m/>
    <m/>
    <n v="174"/>
    <n v="166"/>
    <m/>
    <m/>
    <m/>
    <n v="213"/>
    <m/>
    <m/>
    <m/>
    <m/>
    <m/>
    <m/>
    <m/>
    <m/>
    <m/>
    <m/>
    <n v="0"/>
    <n v="0"/>
    <n v="0"/>
    <n v="0"/>
    <n v="0"/>
    <n v="0"/>
    <n v="0"/>
    <n v="1"/>
    <n v="1065"/>
    <n v="4"/>
    <n v="4"/>
    <n v="0"/>
    <n v="0"/>
    <n v="0"/>
    <n v="178"/>
    <n v="178"/>
    <n v="1"/>
    <n v="553"/>
    <n v="0"/>
    <n v="553"/>
    <n v="0.51924882629107982"/>
    <n v="0.48075117370892018"/>
    <n v="0.51924882629107982"/>
    <n v="0"/>
    <n v="0"/>
    <n v="0"/>
    <x v="0"/>
    <s v="Village"/>
    <x v="0"/>
    <s v="Muslim"/>
    <n v="20.197549819999999"/>
    <n v="92.785682679999994"/>
    <n v="196156"/>
    <x v="0"/>
    <m/>
  </r>
  <r>
    <x v="1"/>
    <x v="3"/>
    <x v="3"/>
    <s v="EU"/>
    <x v="1"/>
    <x v="10"/>
    <x v="0"/>
    <x v="86"/>
    <n v="326"/>
    <n v="4476"/>
    <d v="2017-01-01T00:00:00"/>
    <d v="2021-12-21T00:00:00"/>
    <m/>
    <m/>
    <n v="5"/>
    <n v="153"/>
    <n v="5"/>
    <m/>
    <m/>
    <m/>
    <m/>
    <n v="217"/>
    <x v="3"/>
    <m/>
    <m/>
    <m/>
    <m/>
    <m/>
    <m/>
    <m/>
    <m/>
    <m/>
    <m/>
    <m/>
    <m/>
    <m/>
    <m/>
    <m/>
    <m/>
    <m/>
    <m/>
    <m/>
    <m/>
    <m/>
    <m/>
    <n v="1"/>
    <n v="4476"/>
    <n v="1"/>
    <n v="4476"/>
    <n v="1"/>
    <n v="4476"/>
    <n v="17.904"/>
    <n v="0"/>
    <n v="0"/>
    <n v="9.6000000000000085E-2"/>
    <n v="18"/>
    <n v="0.29088471849865954"/>
    <n v="1302.0000000000002"/>
    <n v="0"/>
    <n v="746"/>
    <n v="529"/>
    <n v="0.7091152815013404"/>
    <n v="0"/>
    <n v="0"/>
    <n v="0"/>
    <n v="0"/>
    <n v="1"/>
    <n v="0"/>
    <n v="0"/>
    <n v="0"/>
    <n v="0"/>
    <x v="0"/>
    <s v="Village"/>
    <x v="0"/>
    <n v="0"/>
    <n v="20.142469406127901"/>
    <n v="92.863967895507798"/>
    <n v="196203"/>
    <x v="0"/>
    <m/>
  </r>
  <r>
    <x v="1"/>
    <x v="3"/>
    <x v="3"/>
    <s v="EU"/>
    <x v="1"/>
    <x v="10"/>
    <x v="0"/>
    <x v="87"/>
    <n v="335"/>
    <n v="1867"/>
    <d v="2017-01-01T00:00:00"/>
    <d v="2021-12-21T00:00:00"/>
    <m/>
    <m/>
    <n v="14"/>
    <n v="113"/>
    <n v="4"/>
    <m/>
    <m/>
    <m/>
    <m/>
    <n v="210"/>
    <x v="3"/>
    <m/>
    <m/>
    <m/>
    <m/>
    <m/>
    <m/>
    <m/>
    <m/>
    <m/>
    <m/>
    <m/>
    <m/>
    <m/>
    <m/>
    <m/>
    <m/>
    <m/>
    <m/>
    <m/>
    <m/>
    <m/>
    <m/>
    <n v="1"/>
    <n v="1867"/>
    <n v="1"/>
    <n v="1867"/>
    <n v="1"/>
    <n v="1867"/>
    <n v="7.468"/>
    <n v="0"/>
    <n v="0"/>
    <n v="0"/>
    <n v="7"/>
    <n v="0.67487948580610602"/>
    <n v="1260"/>
    <n v="0"/>
    <n v="311"/>
    <n v="101"/>
    <n v="0.32512051419389398"/>
    <n v="0"/>
    <n v="0"/>
    <n v="0"/>
    <n v="0"/>
    <n v="1"/>
    <n v="0"/>
    <n v="0"/>
    <n v="0"/>
    <n v="0"/>
    <x v="0"/>
    <s v="Village"/>
    <x v="0"/>
    <n v="0"/>
    <n v="20.170469284057599"/>
    <n v="92.8343505859375"/>
    <n v="196202"/>
    <x v="0"/>
    <m/>
  </r>
  <r>
    <x v="1"/>
    <x v="3"/>
    <x v="3"/>
    <s v="EU"/>
    <x v="1"/>
    <x v="10"/>
    <x v="0"/>
    <x v="88"/>
    <n v="863"/>
    <n v="3768"/>
    <d v="2017-01-01T00:00:00"/>
    <d v="2021-12-21T00:00:00"/>
    <m/>
    <m/>
    <n v="19"/>
    <n v="128"/>
    <n v="6"/>
    <m/>
    <m/>
    <m/>
    <m/>
    <n v="199"/>
    <x v="3"/>
    <m/>
    <m/>
    <m/>
    <m/>
    <m/>
    <m/>
    <m/>
    <m/>
    <m/>
    <m/>
    <m/>
    <m/>
    <m/>
    <m/>
    <m/>
    <m/>
    <m/>
    <m/>
    <m/>
    <m/>
    <m/>
    <m/>
    <n v="1"/>
    <n v="3768"/>
    <n v="1"/>
    <n v="3768"/>
    <n v="1"/>
    <n v="3768"/>
    <n v="15.071999999999999"/>
    <n v="0"/>
    <n v="0"/>
    <n v="0"/>
    <n v="15"/>
    <n v="0.31687898089171973"/>
    <n v="1194"/>
    <n v="0"/>
    <n v="628"/>
    <n v="429"/>
    <n v="0.68312101910828027"/>
    <n v="0"/>
    <n v="0"/>
    <n v="0"/>
    <n v="0"/>
    <n v="1"/>
    <n v="0"/>
    <n v="0"/>
    <n v="0"/>
    <n v="0"/>
    <x v="0"/>
    <s v="Village"/>
    <x v="0"/>
    <n v="0"/>
    <n v="20.168970108032202"/>
    <n v="92.826896667480497"/>
    <n v="196206"/>
    <x v="0"/>
    <m/>
  </r>
  <r>
    <x v="1"/>
    <x v="3"/>
    <x v="3"/>
    <s v="EU"/>
    <x v="1"/>
    <x v="10"/>
    <x v="0"/>
    <x v="89"/>
    <n v="310"/>
    <n v="1750"/>
    <d v="2017-01-01T00:00:00"/>
    <d v="2021-12-21T00:00:00"/>
    <m/>
    <m/>
    <n v="193"/>
    <n v="89"/>
    <n v="5"/>
    <m/>
    <m/>
    <m/>
    <m/>
    <n v="198"/>
    <x v="3"/>
    <m/>
    <m/>
    <m/>
    <m/>
    <m/>
    <m/>
    <m/>
    <m/>
    <m/>
    <m/>
    <m/>
    <m/>
    <m/>
    <m/>
    <m/>
    <m/>
    <m/>
    <m/>
    <m/>
    <m/>
    <m/>
    <m/>
    <n v="1"/>
    <n v="1750"/>
    <n v="1"/>
    <n v="1750"/>
    <n v="1"/>
    <n v="1750"/>
    <n v="7"/>
    <n v="0"/>
    <n v="0"/>
    <n v="0"/>
    <n v="7"/>
    <n v="0.67885714285714283"/>
    <n v="1188"/>
    <n v="0"/>
    <n v="292"/>
    <n v="94"/>
    <n v="0.32114285714285717"/>
    <n v="0"/>
    <n v="0"/>
    <n v="0"/>
    <n v="0"/>
    <n v="1"/>
    <n v="0"/>
    <n v="0"/>
    <n v="0"/>
    <n v="0"/>
    <x v="0"/>
    <s v="Village"/>
    <x v="0"/>
    <n v="0"/>
    <n v="0"/>
    <n v="0"/>
    <n v="0"/>
    <x v="0"/>
    <m/>
  </r>
  <r>
    <x v="1"/>
    <x v="3"/>
    <x v="3"/>
    <s v="EU"/>
    <x v="1"/>
    <x v="11"/>
    <x v="0"/>
    <x v="90"/>
    <n v="125"/>
    <n v="513"/>
    <d v="2017-01-01T00:00:00"/>
    <d v="2021-12-21T00:00:00"/>
    <m/>
    <m/>
    <n v="16"/>
    <n v="96"/>
    <n v="4"/>
    <m/>
    <m/>
    <m/>
    <m/>
    <n v="300"/>
    <x v="3"/>
    <m/>
    <m/>
    <m/>
    <m/>
    <m/>
    <m/>
    <m/>
    <m/>
    <m/>
    <m/>
    <m/>
    <m/>
    <m/>
    <m/>
    <m/>
    <m/>
    <m/>
    <m/>
    <m/>
    <m/>
    <m/>
    <m/>
    <n v="1"/>
    <n v="513"/>
    <n v="1"/>
    <n v="513"/>
    <n v="1"/>
    <n v="513"/>
    <n v="2.052"/>
    <n v="0"/>
    <n v="0"/>
    <n v="0"/>
    <n v="2"/>
    <n v="1"/>
    <n v="513"/>
    <n v="0"/>
    <n v="86"/>
    <n v="0"/>
    <n v="0"/>
    <n v="0"/>
    <n v="0"/>
    <n v="0"/>
    <n v="0"/>
    <n v="1"/>
    <n v="0"/>
    <n v="0"/>
    <n v="0"/>
    <n v="0"/>
    <x v="0"/>
    <s v="Village"/>
    <x v="1"/>
    <s v="Muslim"/>
    <n v="20.39902"/>
    <n v="93.249669999999995"/>
    <s v="MMR012CMP003"/>
    <x v="0"/>
    <m/>
  </r>
  <r>
    <x v="1"/>
    <x v="3"/>
    <x v="3"/>
    <s v="BMZ"/>
    <x v="1"/>
    <x v="10"/>
    <x v="0"/>
    <x v="91"/>
    <n v="92"/>
    <n v="715"/>
    <d v="2017-01-01T00:00:00"/>
    <d v="2021-12-21T00:00:00"/>
    <m/>
    <m/>
    <n v="114"/>
    <n v="348"/>
    <n v="4"/>
    <m/>
    <m/>
    <m/>
    <m/>
    <n v="514"/>
    <x v="3"/>
    <m/>
    <m/>
    <m/>
    <m/>
    <m/>
    <m/>
    <m/>
    <m/>
    <m/>
    <m/>
    <m/>
    <m/>
    <m/>
    <m/>
    <m/>
    <m/>
    <m/>
    <m/>
    <m/>
    <m/>
    <m/>
    <m/>
    <n v="1"/>
    <n v="715"/>
    <n v="1"/>
    <n v="715"/>
    <n v="1"/>
    <n v="715"/>
    <n v="2.86"/>
    <n v="0"/>
    <n v="0"/>
    <n v="0.14000000000000012"/>
    <n v="3"/>
    <n v="1"/>
    <n v="715"/>
    <n v="0"/>
    <n v="119"/>
    <n v="0"/>
    <n v="0"/>
    <n v="0"/>
    <n v="0"/>
    <n v="0"/>
    <n v="0"/>
    <n v="1"/>
    <n v="0"/>
    <n v="0"/>
    <n v="0"/>
    <n v="0"/>
    <x v="0"/>
    <s v="Village"/>
    <x v="0"/>
    <n v="0"/>
    <n v="20.172649383544901"/>
    <n v="92.874351501464801"/>
    <n v="196195"/>
    <x v="0"/>
    <m/>
  </r>
  <r>
    <x v="1"/>
    <x v="3"/>
    <x v="3"/>
    <s v="BMZ"/>
    <x v="1"/>
    <x v="10"/>
    <x v="0"/>
    <x v="92"/>
    <n v="2100"/>
    <n v="12993"/>
    <d v="2017-01-01T00:00:00"/>
    <d v="2021-12-21T00:00:00"/>
    <m/>
    <m/>
    <n v="12"/>
    <n v="97"/>
    <n v="2"/>
    <m/>
    <m/>
    <m/>
    <m/>
    <n v="218"/>
    <x v="3"/>
    <m/>
    <m/>
    <m/>
    <m/>
    <m/>
    <m/>
    <m/>
    <m/>
    <m/>
    <m/>
    <m/>
    <m/>
    <m/>
    <m/>
    <m/>
    <m/>
    <m/>
    <m/>
    <m/>
    <m/>
    <m/>
    <m/>
    <n v="1"/>
    <n v="12993"/>
    <n v="1"/>
    <n v="12993"/>
    <n v="1"/>
    <n v="12993"/>
    <n v="51.972000000000001"/>
    <n v="0"/>
    <n v="0"/>
    <n v="2.7999999999998693E-2"/>
    <n v="52"/>
    <n v="0.10066959131840221"/>
    <n v="1308"/>
    <n v="0"/>
    <n v="2166"/>
    <n v="1948"/>
    <n v="0.89933040868159775"/>
    <n v="0"/>
    <n v="0"/>
    <n v="0"/>
    <n v="0"/>
    <n v="1"/>
    <n v="0"/>
    <n v="0"/>
    <n v="0"/>
    <n v="0"/>
    <x v="0"/>
    <s v="Village"/>
    <x v="0"/>
    <s v="Muslim"/>
    <n v="0"/>
    <n v="0"/>
    <n v="0"/>
    <x v="0"/>
    <m/>
  </r>
  <r>
    <x v="1"/>
    <x v="3"/>
    <x v="3"/>
    <s v="EU"/>
    <x v="1"/>
    <x v="11"/>
    <x v="0"/>
    <x v="93"/>
    <n v="325"/>
    <n v="1923"/>
    <d v="2017-01-01T00:00:00"/>
    <d v="2021-12-21T00:00:00"/>
    <m/>
    <m/>
    <n v="14"/>
    <n v="48"/>
    <n v="3"/>
    <m/>
    <m/>
    <m/>
    <m/>
    <n v="112"/>
    <x v="3"/>
    <m/>
    <m/>
    <m/>
    <m/>
    <m/>
    <m/>
    <m/>
    <m/>
    <m/>
    <m/>
    <m/>
    <m/>
    <m/>
    <m/>
    <m/>
    <m/>
    <m/>
    <m/>
    <m/>
    <m/>
    <m/>
    <m/>
    <n v="1"/>
    <n v="1923"/>
    <n v="1"/>
    <n v="1923"/>
    <n v="1"/>
    <n v="1923"/>
    <n v="7.6920000000000002"/>
    <n v="0"/>
    <n v="0"/>
    <n v="0.30799999999999983"/>
    <n v="8"/>
    <n v="0.34945397815912638"/>
    <n v="672"/>
    <n v="0"/>
    <n v="321"/>
    <n v="209"/>
    <n v="0.65054602184087362"/>
    <n v="0"/>
    <n v="0"/>
    <n v="0"/>
    <n v="0"/>
    <n v="1"/>
    <n v="0"/>
    <n v="0"/>
    <n v="0"/>
    <n v="0"/>
    <x v="0"/>
    <s v="Village"/>
    <x v="0"/>
    <s v="Muslim"/>
    <n v="0"/>
    <n v="0"/>
    <n v="196999"/>
    <x v="0"/>
    <m/>
  </r>
  <r>
    <x v="1"/>
    <x v="3"/>
    <x v="3"/>
    <s v="EU"/>
    <x v="1"/>
    <x v="11"/>
    <x v="0"/>
    <x v="94"/>
    <n v="146"/>
    <n v="801"/>
    <d v="2017-01-01T00:00:00"/>
    <d v="2021-12-21T00:00:00"/>
    <m/>
    <m/>
    <n v="17"/>
    <n v="43"/>
    <n v="2"/>
    <m/>
    <m/>
    <m/>
    <m/>
    <n v="78"/>
    <x v="3"/>
    <m/>
    <m/>
    <m/>
    <m/>
    <m/>
    <m/>
    <m/>
    <m/>
    <m/>
    <m/>
    <m/>
    <m/>
    <m/>
    <m/>
    <m/>
    <m/>
    <m/>
    <m/>
    <m/>
    <m/>
    <m/>
    <m/>
    <n v="1"/>
    <n v="801"/>
    <n v="1"/>
    <n v="801"/>
    <n v="1"/>
    <n v="801"/>
    <n v="3.2040000000000002"/>
    <n v="0"/>
    <n v="0"/>
    <n v="0"/>
    <n v="3"/>
    <n v="0.5842696629213483"/>
    <n v="468"/>
    <n v="0"/>
    <n v="134"/>
    <n v="56"/>
    <n v="0.4157303370786517"/>
    <n v="0"/>
    <n v="0"/>
    <n v="0"/>
    <n v="0"/>
    <n v="1"/>
    <n v="0"/>
    <n v="0"/>
    <n v="0"/>
    <n v="0"/>
    <x v="0"/>
    <s v="Village"/>
    <x v="0"/>
    <n v="0"/>
    <n v="20.3927307128906"/>
    <n v="93.304817199707003"/>
    <n v="197017"/>
    <x v="0"/>
    <m/>
  </r>
  <r>
    <x v="1"/>
    <x v="3"/>
    <x v="3"/>
    <s v="EU"/>
    <x v="1"/>
    <x v="11"/>
    <x v="0"/>
    <x v="95"/>
    <n v="31"/>
    <n v="156"/>
    <d v="2017-01-01T00:00:00"/>
    <d v="2021-12-21T00:00:00"/>
    <m/>
    <m/>
    <n v="18"/>
    <n v="116"/>
    <n v="4"/>
    <m/>
    <m/>
    <m/>
    <m/>
    <n v="298"/>
    <x v="3"/>
    <m/>
    <m/>
    <m/>
    <m/>
    <m/>
    <m/>
    <m/>
    <m/>
    <m/>
    <m/>
    <m/>
    <m/>
    <m/>
    <m/>
    <m/>
    <m/>
    <m/>
    <m/>
    <m/>
    <m/>
    <m/>
    <m/>
    <n v="1"/>
    <n v="156"/>
    <n v="1"/>
    <n v="156"/>
    <n v="1"/>
    <n v="156"/>
    <n v="0.624"/>
    <n v="0"/>
    <n v="0"/>
    <n v="0.376"/>
    <n v="1"/>
    <n v="1"/>
    <n v="156"/>
    <n v="0"/>
    <n v="26"/>
    <n v="0"/>
    <n v="0"/>
    <n v="0"/>
    <n v="0"/>
    <n v="0"/>
    <n v="0"/>
    <n v="1"/>
    <n v="0"/>
    <n v="0"/>
    <n v="0"/>
    <n v="0"/>
    <x v="0"/>
    <s v="Village"/>
    <x v="0"/>
    <n v="0"/>
    <n v="20.406982421875"/>
    <n v="93.312507629394503"/>
    <n v="197022"/>
    <x v="0"/>
    <m/>
  </r>
  <r>
    <x v="1"/>
    <x v="3"/>
    <x v="3"/>
    <s v="EU"/>
    <x v="1"/>
    <x v="11"/>
    <x v="0"/>
    <x v="96"/>
    <n v="96"/>
    <n v="329"/>
    <d v="2017-01-01T00:00:00"/>
    <d v="2021-12-21T00:00:00"/>
    <m/>
    <m/>
    <n v="28"/>
    <n v="826"/>
    <n v="7"/>
    <m/>
    <m/>
    <m/>
    <m/>
    <n v="1408"/>
    <x v="3"/>
    <m/>
    <m/>
    <m/>
    <m/>
    <m/>
    <m/>
    <m/>
    <m/>
    <m/>
    <m/>
    <m/>
    <m/>
    <m/>
    <m/>
    <m/>
    <m/>
    <m/>
    <m/>
    <m/>
    <m/>
    <m/>
    <m/>
    <n v="1"/>
    <n v="329"/>
    <n v="1"/>
    <n v="329"/>
    <n v="1"/>
    <n v="329"/>
    <n v="1.3160000000000001"/>
    <n v="0"/>
    <n v="0"/>
    <n v="0"/>
    <n v="1"/>
    <n v="1"/>
    <n v="329"/>
    <n v="0"/>
    <n v="55"/>
    <n v="0"/>
    <n v="0"/>
    <n v="0"/>
    <n v="0"/>
    <n v="0"/>
    <n v="0"/>
    <n v="1"/>
    <n v="0"/>
    <n v="0"/>
    <n v="0"/>
    <n v="0"/>
    <x v="0"/>
    <s v="Village"/>
    <x v="0"/>
    <n v="0"/>
    <n v="20.404491424560501"/>
    <n v="93.321144104003906"/>
    <n v="197020"/>
    <x v="0"/>
    <m/>
  </r>
  <r>
    <x v="1"/>
    <x v="3"/>
    <x v="3"/>
    <s v="EU"/>
    <x v="1"/>
    <x v="11"/>
    <x v="0"/>
    <x v="97"/>
    <n v="37"/>
    <n v="119"/>
    <d v="2017-01-01T00:00:00"/>
    <d v="2021-12-21T00:00:00"/>
    <m/>
    <m/>
    <n v="12"/>
    <n v="208"/>
    <n v="3"/>
    <m/>
    <m/>
    <m/>
    <m/>
    <n v="255"/>
    <x v="3"/>
    <m/>
    <m/>
    <m/>
    <m/>
    <m/>
    <m/>
    <m/>
    <m/>
    <m/>
    <m/>
    <m/>
    <m/>
    <m/>
    <m/>
    <m/>
    <m/>
    <m/>
    <m/>
    <m/>
    <m/>
    <m/>
    <m/>
    <n v="1"/>
    <n v="119"/>
    <n v="1"/>
    <n v="119"/>
    <n v="1"/>
    <n v="119"/>
    <n v="0.47599999999999998"/>
    <n v="0"/>
    <n v="0"/>
    <n v="0.52400000000000002"/>
    <n v="1"/>
    <n v="1"/>
    <n v="119"/>
    <n v="0"/>
    <n v="20"/>
    <n v="0"/>
    <n v="0"/>
    <n v="0"/>
    <n v="0"/>
    <n v="0"/>
    <n v="0"/>
    <n v="1"/>
    <n v="0"/>
    <n v="0"/>
    <n v="0"/>
    <n v="0"/>
    <x v="0"/>
    <s v="Village"/>
    <x v="0"/>
    <n v="0"/>
    <n v="20.428560256958001"/>
    <n v="93.305938720703097"/>
    <n v="197027"/>
    <x v="0"/>
    <m/>
  </r>
  <r>
    <x v="1"/>
    <x v="3"/>
    <x v="3"/>
    <s v="EU"/>
    <x v="1"/>
    <x v="11"/>
    <x v="0"/>
    <x v="98"/>
    <n v="167"/>
    <n v="1027"/>
    <d v="2017-01-01T00:00:00"/>
    <d v="2021-12-21T00:00:00"/>
    <m/>
    <m/>
    <n v="6"/>
    <n v="49"/>
    <n v="2"/>
    <m/>
    <m/>
    <m/>
    <m/>
    <n v="66"/>
    <x v="3"/>
    <m/>
    <m/>
    <m/>
    <m/>
    <m/>
    <m/>
    <m/>
    <m/>
    <m/>
    <m/>
    <m/>
    <m/>
    <m/>
    <m/>
    <m/>
    <m/>
    <m/>
    <m/>
    <m/>
    <m/>
    <m/>
    <m/>
    <n v="1"/>
    <n v="1027"/>
    <n v="1"/>
    <n v="1027"/>
    <n v="1"/>
    <n v="1027"/>
    <n v="4.1079999999999997"/>
    <n v="0"/>
    <n v="0"/>
    <n v="0"/>
    <n v="4"/>
    <n v="0.38558909444985395"/>
    <n v="396"/>
    <n v="0"/>
    <n v="171"/>
    <n v="105"/>
    <n v="0.6144109055501461"/>
    <n v="0"/>
    <n v="0"/>
    <n v="0"/>
    <n v="0"/>
    <n v="1"/>
    <n v="0"/>
    <n v="0"/>
    <n v="0"/>
    <n v="0"/>
    <x v="0"/>
    <s v="Village"/>
    <x v="0"/>
    <n v="0"/>
    <n v="20.4226398468018"/>
    <n v="93.307182312011705"/>
    <n v="197028"/>
    <x v="0"/>
    <m/>
  </r>
  <r>
    <x v="1"/>
    <x v="3"/>
    <x v="3"/>
    <s v="EU"/>
    <x v="1"/>
    <x v="11"/>
    <x v="0"/>
    <x v="99"/>
    <n v="90"/>
    <n v="414"/>
    <d v="2017-01-01T00:00:00"/>
    <d v="2021-12-21T00:00:00"/>
    <m/>
    <m/>
    <n v="0"/>
    <n v="9"/>
    <n v="1"/>
    <m/>
    <m/>
    <m/>
    <m/>
    <n v="12"/>
    <x v="3"/>
    <m/>
    <m/>
    <m/>
    <m/>
    <m/>
    <m/>
    <m/>
    <m/>
    <m/>
    <m/>
    <m/>
    <m/>
    <m/>
    <m/>
    <m/>
    <m/>
    <m/>
    <m/>
    <m/>
    <m/>
    <m/>
    <m/>
    <n v="1"/>
    <n v="414"/>
    <n v="1"/>
    <n v="414"/>
    <n v="1"/>
    <n v="414"/>
    <n v="1.6559999999999999"/>
    <n v="0"/>
    <n v="0"/>
    <n v="0.34400000000000008"/>
    <n v="2"/>
    <n v="0.17391304347826086"/>
    <n v="72"/>
    <n v="0"/>
    <n v="69"/>
    <n v="57"/>
    <n v="0.82608695652173914"/>
    <n v="0"/>
    <n v="0"/>
    <n v="0"/>
    <n v="0"/>
    <n v="1"/>
    <n v="0"/>
    <n v="0"/>
    <n v="0"/>
    <n v="0"/>
    <x v="0"/>
    <s v="Village"/>
    <x v="0"/>
    <n v="0"/>
    <n v="20.437318801879901"/>
    <n v="93.302917480468807"/>
    <n v="197034"/>
    <x v="0"/>
    <m/>
  </r>
  <r>
    <x v="1"/>
    <x v="3"/>
    <x v="3"/>
    <s v="EU"/>
    <x v="1"/>
    <x v="11"/>
    <x v="0"/>
    <x v="100"/>
    <n v="78"/>
    <n v="308"/>
    <d v="2017-01-01T00:00:00"/>
    <d v="2021-12-21T00:00:00"/>
    <m/>
    <m/>
    <n v="4"/>
    <n v="46"/>
    <n v="2"/>
    <m/>
    <m/>
    <m/>
    <m/>
    <n v="54"/>
    <x v="3"/>
    <m/>
    <m/>
    <m/>
    <m/>
    <m/>
    <m/>
    <m/>
    <m/>
    <m/>
    <m/>
    <m/>
    <m/>
    <m/>
    <m/>
    <m/>
    <m/>
    <m/>
    <m/>
    <m/>
    <m/>
    <m/>
    <m/>
    <n v="1"/>
    <n v="308"/>
    <n v="1"/>
    <n v="308"/>
    <n v="1"/>
    <n v="308"/>
    <n v="1.232"/>
    <n v="0"/>
    <n v="0"/>
    <n v="0"/>
    <n v="1"/>
    <n v="1"/>
    <n v="308"/>
    <n v="0"/>
    <n v="51"/>
    <n v="0"/>
    <n v="0"/>
    <n v="0"/>
    <n v="0"/>
    <n v="0"/>
    <n v="0"/>
    <n v="1"/>
    <n v="0"/>
    <n v="0"/>
    <n v="0"/>
    <n v="0"/>
    <x v="0"/>
    <s v="Village"/>
    <x v="0"/>
    <n v="0"/>
    <n v="20.442419052123999"/>
    <n v="93.300033569335895"/>
    <n v="197036"/>
    <x v="0"/>
    <m/>
  </r>
  <r>
    <x v="1"/>
    <x v="3"/>
    <x v="3"/>
    <s v="EU"/>
    <x v="1"/>
    <x v="11"/>
    <x v="0"/>
    <x v="101"/>
    <n v="85"/>
    <n v="413"/>
    <d v="2017-01-01T00:00:00"/>
    <d v="2021-12-21T00:00:00"/>
    <m/>
    <m/>
    <n v="0"/>
    <n v="23"/>
    <n v="1"/>
    <m/>
    <m/>
    <m/>
    <m/>
    <n v="27"/>
    <x v="3"/>
    <m/>
    <m/>
    <m/>
    <m/>
    <m/>
    <m/>
    <m/>
    <m/>
    <m/>
    <m/>
    <m/>
    <m/>
    <m/>
    <m/>
    <m/>
    <m/>
    <m/>
    <m/>
    <m/>
    <m/>
    <m/>
    <m/>
    <n v="1"/>
    <n v="413"/>
    <n v="1"/>
    <n v="413"/>
    <n v="1"/>
    <n v="413"/>
    <n v="1.6519999999999999"/>
    <n v="0"/>
    <n v="0"/>
    <n v="0.34800000000000009"/>
    <n v="2"/>
    <n v="0.39225181598062953"/>
    <n v="162"/>
    <n v="0"/>
    <n v="69"/>
    <n v="42"/>
    <n v="0.60774818401937047"/>
    <n v="0"/>
    <n v="0"/>
    <n v="0"/>
    <n v="0"/>
    <n v="1"/>
    <n v="0"/>
    <n v="0"/>
    <n v="0"/>
    <n v="0"/>
    <x v="0"/>
    <s v="Village"/>
    <x v="0"/>
    <n v="0"/>
    <n v="20.430749893188501"/>
    <n v="93.304450988769503"/>
    <n v="197033"/>
    <x v="0"/>
    <m/>
  </r>
  <r>
    <x v="1"/>
    <x v="3"/>
    <x v="3"/>
    <s v="EU"/>
    <x v="1"/>
    <x v="11"/>
    <x v="0"/>
    <x v="102"/>
    <n v="353"/>
    <n v="2111"/>
    <d v="2017-01-01T00:00:00"/>
    <d v="2021-12-21T00:00:00"/>
    <m/>
    <m/>
    <n v="3"/>
    <n v="87"/>
    <n v="2"/>
    <m/>
    <m/>
    <m/>
    <m/>
    <n v="83"/>
    <x v="3"/>
    <m/>
    <m/>
    <m/>
    <m/>
    <m/>
    <m/>
    <m/>
    <m/>
    <m/>
    <m/>
    <m/>
    <m/>
    <m/>
    <m/>
    <m/>
    <m/>
    <m/>
    <m/>
    <m/>
    <m/>
    <m/>
    <m/>
    <n v="1"/>
    <n v="2111"/>
    <n v="1"/>
    <n v="2111"/>
    <n v="1"/>
    <n v="2111"/>
    <n v="8.4440000000000008"/>
    <n v="0"/>
    <n v="0"/>
    <n v="0"/>
    <n v="8"/>
    <n v="0.23590715300805307"/>
    <n v="498"/>
    <n v="0"/>
    <n v="352"/>
    <n v="269"/>
    <n v="0.76409284699194691"/>
    <n v="0"/>
    <n v="0"/>
    <n v="0"/>
    <n v="0"/>
    <n v="1"/>
    <n v="0"/>
    <n v="0"/>
    <n v="0"/>
    <n v="0"/>
    <x v="0"/>
    <s v="Village"/>
    <x v="0"/>
    <n v="0"/>
    <n v="20.448799133300799"/>
    <n v="93.300239562988295"/>
    <n v="197040"/>
    <x v="0"/>
    <m/>
  </r>
  <r>
    <x v="1"/>
    <x v="3"/>
    <x v="3"/>
    <s v="EU"/>
    <x v="1"/>
    <x v="11"/>
    <x v="0"/>
    <x v="103"/>
    <n v="295"/>
    <n v="1698"/>
    <d v="2017-01-01T00:00:00"/>
    <d v="2021-12-21T00:00:00"/>
    <m/>
    <m/>
    <n v="2"/>
    <n v="53"/>
    <n v="2"/>
    <m/>
    <m/>
    <m/>
    <m/>
    <n v="77"/>
    <x v="3"/>
    <m/>
    <m/>
    <m/>
    <m/>
    <m/>
    <m/>
    <m/>
    <m/>
    <m/>
    <m/>
    <m/>
    <m/>
    <m/>
    <m/>
    <m/>
    <m/>
    <m/>
    <m/>
    <m/>
    <m/>
    <m/>
    <m/>
    <n v="1"/>
    <n v="1698"/>
    <n v="1"/>
    <n v="1698"/>
    <n v="1"/>
    <n v="1698"/>
    <n v="6.7919999999999998"/>
    <n v="0"/>
    <n v="0"/>
    <n v="0.20800000000000018"/>
    <n v="7"/>
    <n v="0.27208480565371024"/>
    <n v="462"/>
    <n v="0"/>
    <n v="283"/>
    <n v="206"/>
    <n v="0.72791519434628982"/>
    <n v="0"/>
    <n v="0"/>
    <n v="0"/>
    <n v="0"/>
    <n v="1"/>
    <n v="0"/>
    <n v="0"/>
    <n v="0"/>
    <n v="0"/>
    <x v="0"/>
    <s v="Village"/>
    <x v="0"/>
    <n v="0"/>
    <n v="20.463020324706999"/>
    <n v="93.296417236328097"/>
    <n v="197039"/>
    <x v="0"/>
    <m/>
  </r>
  <r>
    <x v="1"/>
    <x v="3"/>
    <x v="3"/>
    <s v="EU"/>
    <x v="1"/>
    <x v="11"/>
    <x v="0"/>
    <x v="104"/>
    <n v="140"/>
    <n v="985"/>
    <d v="2017-01-01T00:00:00"/>
    <d v="2021-12-21T00:00:00"/>
    <m/>
    <m/>
    <n v="7"/>
    <n v="27"/>
    <n v="3"/>
    <m/>
    <m/>
    <m/>
    <m/>
    <n v="65"/>
    <x v="3"/>
    <m/>
    <m/>
    <m/>
    <m/>
    <m/>
    <m/>
    <m/>
    <m/>
    <m/>
    <m/>
    <m/>
    <m/>
    <m/>
    <m/>
    <m/>
    <m/>
    <m/>
    <m/>
    <m/>
    <m/>
    <m/>
    <m/>
    <n v="1"/>
    <n v="985"/>
    <n v="1"/>
    <n v="985"/>
    <n v="1"/>
    <n v="985"/>
    <n v="3.94"/>
    <n v="0"/>
    <n v="0"/>
    <n v="6.0000000000000053E-2"/>
    <n v="4"/>
    <n v="0.39593908629441626"/>
    <n v="390"/>
    <n v="0"/>
    <n v="164"/>
    <n v="99"/>
    <n v="0.60406091370558368"/>
    <n v="0"/>
    <n v="0"/>
    <n v="0"/>
    <n v="0"/>
    <n v="1"/>
    <n v="0"/>
    <n v="0"/>
    <n v="0"/>
    <n v="0"/>
    <x v="0"/>
    <s v="Village"/>
    <x v="0"/>
    <n v="0"/>
    <n v="20.4733695983887"/>
    <n v="93.291687011718807"/>
    <n v="197041"/>
    <x v="0"/>
    <m/>
  </r>
  <r>
    <x v="1"/>
    <x v="3"/>
    <x v="3"/>
    <s v="EU"/>
    <x v="1"/>
    <x v="11"/>
    <x v="0"/>
    <x v="105"/>
    <n v="157"/>
    <n v="735"/>
    <d v="2017-01-01T00:00:00"/>
    <d v="2021-12-21T00:00:00"/>
    <m/>
    <m/>
    <n v="0"/>
    <n v="32"/>
    <n v="3"/>
    <m/>
    <m/>
    <m/>
    <m/>
    <n v="72"/>
    <x v="3"/>
    <m/>
    <m/>
    <m/>
    <m/>
    <m/>
    <m/>
    <m/>
    <m/>
    <m/>
    <m/>
    <m/>
    <m/>
    <m/>
    <m/>
    <m/>
    <m/>
    <m/>
    <m/>
    <m/>
    <m/>
    <m/>
    <m/>
    <n v="1"/>
    <n v="735"/>
    <n v="1"/>
    <n v="735"/>
    <n v="1"/>
    <n v="735"/>
    <n v="2.94"/>
    <n v="0"/>
    <n v="0"/>
    <n v="6.0000000000000053E-2"/>
    <n v="3"/>
    <n v="0.58775510204081638"/>
    <n v="432.00000000000006"/>
    <n v="0"/>
    <n v="123"/>
    <n v="51"/>
    <n v="0.41224489795918362"/>
    <n v="0"/>
    <n v="0"/>
    <n v="0"/>
    <n v="0"/>
    <n v="1"/>
    <n v="0"/>
    <n v="0"/>
    <n v="0"/>
    <n v="0"/>
    <x v="0"/>
    <s v="Village"/>
    <x v="0"/>
    <n v="0"/>
    <n v="20.478410720825199"/>
    <n v="93.28662109375"/>
    <n v="197042"/>
    <x v="0"/>
    <m/>
  </r>
  <r>
    <x v="1"/>
    <x v="3"/>
    <x v="3"/>
    <s v="EU"/>
    <x v="1"/>
    <x v="11"/>
    <x v="0"/>
    <x v="106"/>
    <n v="35"/>
    <n v="142"/>
    <d v="2017-01-01T00:00:00"/>
    <d v="2021-12-21T00:00:00"/>
    <m/>
    <m/>
    <n v="0"/>
    <n v="117"/>
    <n v="3"/>
    <m/>
    <m/>
    <m/>
    <m/>
    <n v="235"/>
    <x v="3"/>
    <m/>
    <m/>
    <m/>
    <m/>
    <m/>
    <m/>
    <m/>
    <m/>
    <m/>
    <m/>
    <m/>
    <m/>
    <m/>
    <m/>
    <m/>
    <m/>
    <m/>
    <m/>
    <m/>
    <m/>
    <m/>
    <m/>
    <n v="1"/>
    <n v="142"/>
    <n v="1"/>
    <n v="142"/>
    <n v="1"/>
    <n v="142"/>
    <n v="0.56799999999999995"/>
    <n v="0"/>
    <n v="0"/>
    <n v="0.43200000000000005"/>
    <n v="1"/>
    <n v="1"/>
    <n v="142"/>
    <n v="0"/>
    <n v="24"/>
    <n v="0"/>
    <n v="0"/>
    <n v="0"/>
    <n v="0"/>
    <n v="0"/>
    <n v="0"/>
    <n v="1"/>
    <n v="0"/>
    <n v="0"/>
    <n v="0"/>
    <n v="0"/>
    <x v="0"/>
    <s v="Village"/>
    <x v="0"/>
    <n v="0"/>
    <n v="20.481389999389599"/>
    <n v="93.283447265625"/>
    <n v="197043"/>
    <x v="0"/>
    <m/>
  </r>
  <r>
    <x v="1"/>
    <x v="3"/>
    <x v="3"/>
    <s v="EU"/>
    <x v="1"/>
    <x v="11"/>
    <x v="0"/>
    <x v="107"/>
    <n v="148"/>
    <n v="630"/>
    <d v="2017-01-01T00:00:00"/>
    <d v="2021-12-21T00:00:00"/>
    <m/>
    <m/>
    <n v="6"/>
    <n v="92"/>
    <n v="3"/>
    <m/>
    <m/>
    <m/>
    <m/>
    <n v="204"/>
    <x v="3"/>
    <m/>
    <m/>
    <m/>
    <m/>
    <m/>
    <m/>
    <m/>
    <m/>
    <m/>
    <m/>
    <m/>
    <m/>
    <m/>
    <m/>
    <m/>
    <m/>
    <m/>
    <m/>
    <m/>
    <m/>
    <m/>
    <m/>
    <n v="1"/>
    <n v="630"/>
    <n v="1"/>
    <n v="630"/>
    <n v="1"/>
    <n v="630"/>
    <n v="2.52"/>
    <n v="0"/>
    <n v="0"/>
    <n v="0.48"/>
    <n v="3"/>
    <n v="1"/>
    <n v="630"/>
    <n v="0"/>
    <n v="105"/>
    <n v="0"/>
    <n v="0"/>
    <n v="0"/>
    <n v="0"/>
    <n v="0"/>
    <n v="0"/>
    <n v="1"/>
    <n v="0"/>
    <n v="0"/>
    <n v="0"/>
    <n v="0"/>
    <x v="0"/>
    <s v="Village"/>
    <x v="0"/>
    <n v="0"/>
    <n v="20.422460556030298"/>
    <n v="93.317733764648395"/>
    <n v="197089"/>
    <x v="0"/>
    <m/>
  </r>
  <r>
    <x v="1"/>
    <x v="3"/>
    <x v="3"/>
    <s v="EU"/>
    <x v="1"/>
    <x v="11"/>
    <x v="0"/>
    <x v="108"/>
    <n v="135"/>
    <n v="593"/>
    <d v="2017-01-01T00:00:00"/>
    <d v="2021-12-21T00:00:00"/>
    <m/>
    <m/>
    <n v="7"/>
    <n v="55"/>
    <n v="2"/>
    <m/>
    <m/>
    <m/>
    <m/>
    <n v="114"/>
    <x v="3"/>
    <m/>
    <m/>
    <m/>
    <m/>
    <m/>
    <m/>
    <m/>
    <m/>
    <m/>
    <m/>
    <m/>
    <m/>
    <m/>
    <m/>
    <m/>
    <m/>
    <m/>
    <m/>
    <m/>
    <m/>
    <m/>
    <m/>
    <n v="1"/>
    <n v="593"/>
    <n v="1"/>
    <n v="593"/>
    <n v="1"/>
    <n v="593"/>
    <n v="2.3719999999999999"/>
    <n v="0"/>
    <n v="0"/>
    <n v="0"/>
    <n v="2"/>
    <n v="1"/>
    <n v="593"/>
    <n v="0"/>
    <n v="99"/>
    <n v="0"/>
    <n v="0"/>
    <n v="0"/>
    <n v="0"/>
    <n v="0"/>
    <n v="0"/>
    <n v="1"/>
    <n v="0"/>
    <n v="0"/>
    <n v="0"/>
    <n v="0"/>
    <x v="0"/>
    <s v="Village"/>
    <x v="0"/>
    <n v="0"/>
    <n v="20.445030212402301"/>
    <n v="93.312812805175795"/>
    <n v="197090"/>
    <x v="0"/>
    <m/>
  </r>
  <r>
    <x v="1"/>
    <x v="3"/>
    <x v="3"/>
    <s v="EU"/>
    <x v="1"/>
    <x v="11"/>
    <x v="0"/>
    <x v="109"/>
    <n v="139"/>
    <n v="585"/>
    <d v="2017-01-01T00:00:00"/>
    <d v="2021-12-21T00:00:00"/>
    <m/>
    <m/>
    <n v="3"/>
    <n v="69"/>
    <n v="1"/>
    <m/>
    <m/>
    <m/>
    <m/>
    <n v="54"/>
    <x v="3"/>
    <m/>
    <m/>
    <m/>
    <m/>
    <m/>
    <m/>
    <m/>
    <m/>
    <m/>
    <m/>
    <m/>
    <m/>
    <m/>
    <m/>
    <m/>
    <m/>
    <m/>
    <m/>
    <m/>
    <m/>
    <m/>
    <m/>
    <n v="1"/>
    <n v="585"/>
    <n v="1"/>
    <n v="585"/>
    <n v="1"/>
    <n v="585"/>
    <n v="2.34"/>
    <n v="0"/>
    <n v="0"/>
    <n v="0"/>
    <n v="2"/>
    <n v="0.55384615384615388"/>
    <n v="324"/>
    <n v="0"/>
    <n v="98"/>
    <n v="44"/>
    <n v="0.44615384615384612"/>
    <n v="0"/>
    <n v="0"/>
    <n v="0"/>
    <n v="0"/>
    <n v="1"/>
    <n v="0"/>
    <n v="0"/>
    <n v="0"/>
    <n v="0"/>
    <x v="0"/>
    <s v="Village"/>
    <x v="0"/>
    <n v="0"/>
    <n v="20.466840744018601"/>
    <n v="93.304931640625"/>
    <n v="197149"/>
    <x v="0"/>
    <m/>
  </r>
  <r>
    <x v="1"/>
    <x v="3"/>
    <x v="3"/>
    <s v="EU"/>
    <x v="1"/>
    <x v="11"/>
    <x v="0"/>
    <x v="110"/>
    <n v="408"/>
    <n v="2009"/>
    <d v="2017-01-01T00:00:00"/>
    <d v="2021-12-21T00:00:00"/>
    <m/>
    <m/>
    <n v="1"/>
    <n v="14"/>
    <n v="1"/>
    <m/>
    <m/>
    <m/>
    <m/>
    <n v="20"/>
    <x v="3"/>
    <m/>
    <m/>
    <m/>
    <m/>
    <m/>
    <m/>
    <m/>
    <m/>
    <m/>
    <m/>
    <m/>
    <m/>
    <m/>
    <m/>
    <m/>
    <m/>
    <m/>
    <m/>
    <m/>
    <m/>
    <m/>
    <m/>
    <n v="1"/>
    <n v="2009"/>
    <n v="1"/>
    <n v="2009"/>
    <n v="1"/>
    <n v="2009"/>
    <n v="8.0359999999999996"/>
    <n v="0"/>
    <n v="0"/>
    <n v="0"/>
    <n v="8"/>
    <n v="5.9731209556993528E-2"/>
    <n v="120"/>
    <n v="0"/>
    <n v="335"/>
    <n v="315"/>
    <n v="0.94026879044300649"/>
    <n v="0"/>
    <n v="0"/>
    <n v="0"/>
    <n v="0"/>
    <n v="1"/>
    <n v="0"/>
    <n v="0"/>
    <n v="0"/>
    <n v="0"/>
    <x v="0"/>
    <s v="Village"/>
    <x v="1"/>
    <s v="Muslim"/>
    <n v="20.480898"/>
    <n v="93.299485000000004"/>
    <s v="MMR012CMP006"/>
    <x v="0"/>
    <m/>
  </r>
  <r>
    <x v="1"/>
    <x v="3"/>
    <x v="3"/>
    <s v="EU"/>
    <x v="1"/>
    <x v="11"/>
    <x v="0"/>
    <x v="111"/>
    <n v="47"/>
    <n v="190"/>
    <d v="2017-01-01T00:00:00"/>
    <d v="2021-12-21T00:00:00"/>
    <m/>
    <m/>
    <n v="3"/>
    <n v="60"/>
    <n v="2"/>
    <m/>
    <m/>
    <m/>
    <m/>
    <n v="43"/>
    <x v="3"/>
    <m/>
    <m/>
    <m/>
    <m/>
    <m/>
    <m/>
    <m/>
    <m/>
    <m/>
    <m/>
    <m/>
    <m/>
    <m/>
    <m/>
    <m/>
    <m/>
    <m/>
    <m/>
    <m/>
    <m/>
    <m/>
    <m/>
    <n v="1"/>
    <n v="190"/>
    <n v="1"/>
    <n v="190"/>
    <n v="1"/>
    <n v="190"/>
    <n v="0.76"/>
    <n v="0"/>
    <n v="0"/>
    <n v="0.24"/>
    <n v="1"/>
    <n v="1"/>
    <n v="190"/>
    <n v="0"/>
    <n v="32"/>
    <n v="0"/>
    <n v="0"/>
    <n v="0"/>
    <n v="0"/>
    <n v="0"/>
    <n v="0"/>
    <n v="1"/>
    <n v="0"/>
    <n v="0"/>
    <n v="0"/>
    <n v="0"/>
    <x v="0"/>
    <s v="Village"/>
    <x v="0"/>
    <n v="0"/>
    <n v="0"/>
    <n v="0"/>
    <n v="0"/>
    <x v="0"/>
    <m/>
  </r>
  <r>
    <x v="1"/>
    <x v="3"/>
    <x v="3"/>
    <s v="EU"/>
    <x v="1"/>
    <x v="11"/>
    <x v="0"/>
    <x v="112"/>
    <n v="150"/>
    <n v="532"/>
    <d v="2017-01-01T00:00:00"/>
    <d v="2021-12-21T00:00:00"/>
    <m/>
    <m/>
    <n v="0"/>
    <n v="84"/>
    <n v="2"/>
    <m/>
    <m/>
    <m/>
    <m/>
    <n v="45"/>
    <x v="3"/>
    <m/>
    <m/>
    <m/>
    <m/>
    <m/>
    <m/>
    <m/>
    <m/>
    <m/>
    <m/>
    <m/>
    <m/>
    <m/>
    <m/>
    <m/>
    <m/>
    <m/>
    <m/>
    <m/>
    <m/>
    <m/>
    <m/>
    <n v="1"/>
    <n v="532"/>
    <n v="1"/>
    <n v="532"/>
    <n v="1"/>
    <n v="532"/>
    <n v="2.1280000000000001"/>
    <n v="0"/>
    <n v="0"/>
    <n v="0"/>
    <n v="2"/>
    <n v="0.50751879699248126"/>
    <n v="270.00000000000006"/>
    <n v="0"/>
    <n v="89"/>
    <n v="44"/>
    <n v="0.49248120300751874"/>
    <n v="0"/>
    <n v="0"/>
    <n v="0"/>
    <n v="0"/>
    <n v="1"/>
    <n v="0"/>
    <n v="0"/>
    <n v="0"/>
    <n v="0"/>
    <x v="0"/>
    <s v="Village"/>
    <x v="0"/>
    <n v="0"/>
    <n v="20.440990447998001"/>
    <n v="93.336273193359403"/>
    <n v="197092"/>
    <x v="0"/>
    <m/>
  </r>
  <r>
    <x v="1"/>
    <x v="3"/>
    <x v="3"/>
    <s v="EU"/>
    <x v="1"/>
    <x v="11"/>
    <x v="0"/>
    <x v="113"/>
    <n v="142"/>
    <n v="542"/>
    <d v="2017-01-01T00:00:00"/>
    <d v="2021-12-21T00:00:00"/>
    <m/>
    <m/>
    <n v="11"/>
    <n v="65"/>
    <n v="2"/>
    <m/>
    <m/>
    <m/>
    <m/>
    <n v="56"/>
    <x v="3"/>
    <m/>
    <m/>
    <m/>
    <m/>
    <m/>
    <m/>
    <m/>
    <m/>
    <m/>
    <m/>
    <m/>
    <m/>
    <m/>
    <m/>
    <m/>
    <m/>
    <m/>
    <m/>
    <m/>
    <m/>
    <m/>
    <m/>
    <n v="1"/>
    <n v="542"/>
    <n v="1"/>
    <n v="542"/>
    <n v="1"/>
    <n v="542"/>
    <n v="2.1680000000000001"/>
    <n v="0"/>
    <n v="0"/>
    <n v="0"/>
    <n v="2"/>
    <n v="0.61992619926199266"/>
    <n v="336"/>
    <n v="0"/>
    <n v="90"/>
    <n v="34"/>
    <n v="0.38007380073800734"/>
    <n v="0"/>
    <n v="0"/>
    <n v="0"/>
    <n v="0"/>
    <n v="1"/>
    <n v="0"/>
    <n v="0"/>
    <n v="0"/>
    <n v="0"/>
    <x v="0"/>
    <s v="Village"/>
    <x v="0"/>
    <n v="0"/>
    <n v="20.438470840454102"/>
    <n v="93.344322204589801"/>
    <n v="197100"/>
    <x v="0"/>
    <m/>
  </r>
  <r>
    <x v="1"/>
    <x v="3"/>
    <x v="3"/>
    <s v="EU"/>
    <x v="1"/>
    <x v="11"/>
    <x v="0"/>
    <x v="114"/>
    <n v="290"/>
    <n v="1314"/>
    <d v="2017-01-01T00:00:00"/>
    <d v="2021-12-21T00:00:00"/>
    <m/>
    <m/>
    <n v="7"/>
    <n v="135"/>
    <n v="3"/>
    <m/>
    <m/>
    <m/>
    <m/>
    <n v="159"/>
    <x v="3"/>
    <m/>
    <m/>
    <m/>
    <m/>
    <m/>
    <m/>
    <m/>
    <m/>
    <m/>
    <m/>
    <m/>
    <m/>
    <m/>
    <m/>
    <m/>
    <m/>
    <m/>
    <m/>
    <m/>
    <m/>
    <m/>
    <m/>
    <n v="1"/>
    <n v="1314"/>
    <n v="1"/>
    <n v="1314"/>
    <n v="1"/>
    <n v="1314"/>
    <n v="5.2560000000000002"/>
    <n v="0"/>
    <n v="0"/>
    <n v="0"/>
    <n v="5"/>
    <n v="0.72602739726027399"/>
    <n v="954"/>
    <n v="0"/>
    <n v="219"/>
    <n v="60"/>
    <n v="0.27397260273972601"/>
    <n v="0"/>
    <n v="0"/>
    <n v="0"/>
    <n v="0"/>
    <n v="1"/>
    <n v="0"/>
    <n v="0"/>
    <n v="0"/>
    <n v="0"/>
    <x v="0"/>
    <s v="Village"/>
    <x v="0"/>
    <n v="0"/>
    <n v="20.424299240112301"/>
    <n v="93.337341308593807"/>
    <n v="197099"/>
    <x v="0"/>
    <m/>
  </r>
  <r>
    <x v="1"/>
    <x v="3"/>
    <x v="3"/>
    <s v="EU"/>
    <x v="1"/>
    <x v="11"/>
    <x v="0"/>
    <x v="115"/>
    <n v="215"/>
    <n v="1125"/>
    <d v="2017-01-01T00:00:00"/>
    <d v="2021-12-21T00:00:00"/>
    <m/>
    <m/>
    <n v="0"/>
    <n v="40"/>
    <n v="1"/>
    <m/>
    <m/>
    <m/>
    <m/>
    <n v="36"/>
    <x v="3"/>
    <m/>
    <m/>
    <m/>
    <m/>
    <m/>
    <m/>
    <m/>
    <m/>
    <m/>
    <m/>
    <m/>
    <m/>
    <m/>
    <m/>
    <m/>
    <m/>
    <m/>
    <m/>
    <m/>
    <m/>
    <m/>
    <m/>
    <n v="1"/>
    <n v="1125"/>
    <n v="1"/>
    <n v="1125"/>
    <n v="1"/>
    <n v="1125"/>
    <n v="4.5"/>
    <n v="0"/>
    <n v="0"/>
    <n v="0.5"/>
    <n v="5"/>
    <n v="0.192"/>
    <n v="216"/>
    <n v="0"/>
    <n v="188"/>
    <n v="152"/>
    <n v="0.80800000000000005"/>
    <n v="0"/>
    <n v="0"/>
    <n v="0"/>
    <n v="0"/>
    <n v="1"/>
    <n v="0"/>
    <n v="0"/>
    <n v="0"/>
    <n v="0"/>
    <x v="0"/>
    <s v="Village"/>
    <x v="0"/>
    <n v="0"/>
    <n v="20.470190048217798"/>
    <n v="93.3311767578125"/>
    <n v="197102"/>
    <x v="0"/>
    <m/>
  </r>
  <r>
    <x v="1"/>
    <x v="3"/>
    <x v="3"/>
    <s v="EU"/>
    <x v="1"/>
    <x v="11"/>
    <x v="0"/>
    <x v="116"/>
    <n v="181"/>
    <n v="940"/>
    <d v="2017-01-01T00:00:00"/>
    <d v="2021-12-21T00:00:00"/>
    <m/>
    <m/>
    <n v="0"/>
    <n v="78"/>
    <n v="2"/>
    <m/>
    <m/>
    <m/>
    <m/>
    <n v="88"/>
    <x v="3"/>
    <m/>
    <m/>
    <m/>
    <m/>
    <m/>
    <m/>
    <m/>
    <m/>
    <m/>
    <m/>
    <m/>
    <m/>
    <m/>
    <m/>
    <m/>
    <m/>
    <m/>
    <m/>
    <m/>
    <m/>
    <m/>
    <m/>
    <n v="1"/>
    <n v="940"/>
    <n v="1"/>
    <n v="940"/>
    <n v="1"/>
    <n v="940"/>
    <n v="3.76"/>
    <n v="0"/>
    <n v="0"/>
    <n v="0.24000000000000021"/>
    <n v="4"/>
    <n v="0.5617021276595745"/>
    <n v="528"/>
    <n v="0"/>
    <n v="157"/>
    <n v="69"/>
    <n v="0.4382978723404255"/>
    <n v="0"/>
    <n v="0"/>
    <n v="0"/>
    <n v="0"/>
    <n v="1"/>
    <n v="0"/>
    <n v="0"/>
    <n v="0"/>
    <n v="0"/>
    <x v="0"/>
    <s v="Village"/>
    <x v="0"/>
    <n v="0"/>
    <n v="20.494003295898398"/>
    <n v="93.324035644531307"/>
    <n v="220651"/>
    <x v="0"/>
    <m/>
  </r>
  <r>
    <x v="1"/>
    <x v="3"/>
    <x v="3"/>
    <s v="EU"/>
    <x v="1"/>
    <x v="11"/>
    <x v="0"/>
    <x v="117"/>
    <n v="170"/>
    <n v="743"/>
    <d v="2017-01-01T00:00:00"/>
    <d v="2021-12-21T00:00:00"/>
    <m/>
    <m/>
    <n v="14"/>
    <n v="69"/>
    <n v="3"/>
    <m/>
    <m/>
    <m/>
    <m/>
    <n v="71"/>
    <x v="3"/>
    <m/>
    <m/>
    <m/>
    <m/>
    <m/>
    <m/>
    <m/>
    <m/>
    <m/>
    <m/>
    <m/>
    <m/>
    <m/>
    <m/>
    <m/>
    <m/>
    <m/>
    <m/>
    <m/>
    <m/>
    <m/>
    <m/>
    <n v="1"/>
    <n v="743"/>
    <n v="1"/>
    <n v="743"/>
    <n v="1"/>
    <n v="743"/>
    <n v="2.972"/>
    <n v="0"/>
    <n v="0"/>
    <n v="2.8000000000000025E-2"/>
    <n v="3"/>
    <n v="0.57335127860026913"/>
    <n v="425.99999999999994"/>
    <n v="0"/>
    <n v="124"/>
    <n v="53"/>
    <n v="0.42664872139973087"/>
    <n v="0"/>
    <n v="0"/>
    <n v="0"/>
    <n v="0"/>
    <n v="1"/>
    <n v="0"/>
    <n v="0"/>
    <n v="0"/>
    <n v="0"/>
    <x v="0"/>
    <s v="Village"/>
    <x v="0"/>
    <n v="0"/>
    <n v="20.476139068603501"/>
    <n v="93.338516235351605"/>
    <n v="197103"/>
    <x v="0"/>
    <m/>
  </r>
  <r>
    <x v="1"/>
    <x v="3"/>
    <x v="3"/>
    <s v="EU"/>
    <x v="1"/>
    <x v="11"/>
    <x v="0"/>
    <x v="118"/>
    <n v="121"/>
    <n v="421"/>
    <d v="2017-01-01T00:00:00"/>
    <d v="2021-12-21T00:00:00"/>
    <m/>
    <m/>
    <n v="0"/>
    <n v="98"/>
    <n v="2"/>
    <m/>
    <m/>
    <m/>
    <m/>
    <n v="112"/>
    <x v="3"/>
    <m/>
    <m/>
    <m/>
    <m/>
    <m/>
    <m/>
    <m/>
    <m/>
    <m/>
    <m/>
    <m/>
    <m/>
    <m/>
    <m/>
    <m/>
    <m/>
    <m/>
    <m/>
    <m/>
    <m/>
    <m/>
    <m/>
    <n v="1"/>
    <n v="421"/>
    <n v="1"/>
    <n v="421"/>
    <n v="1"/>
    <n v="421"/>
    <n v="1.6839999999999999"/>
    <n v="0"/>
    <n v="0"/>
    <n v="0.31600000000000006"/>
    <n v="2"/>
    <n v="1"/>
    <n v="421"/>
    <n v="0"/>
    <n v="70"/>
    <n v="0"/>
    <n v="0"/>
    <n v="0"/>
    <n v="0"/>
    <n v="0"/>
    <n v="0"/>
    <n v="1"/>
    <n v="0"/>
    <n v="0"/>
    <n v="0"/>
    <n v="0"/>
    <x v="0"/>
    <s v="Village"/>
    <x v="0"/>
    <s v="Mixed"/>
    <n v="20.394809720000001"/>
    <n v="93.251609799999997"/>
    <n v="196994"/>
    <x v="0"/>
    <m/>
  </r>
  <r>
    <x v="1"/>
    <x v="3"/>
    <x v="3"/>
    <s v="EU"/>
    <x v="1"/>
    <x v="11"/>
    <x v="0"/>
    <x v="119"/>
    <n v="203"/>
    <n v="1118"/>
    <d v="2017-01-01T00:00:00"/>
    <d v="2021-12-21T00:00:00"/>
    <m/>
    <m/>
    <n v="18"/>
    <n v="111"/>
    <n v="2"/>
    <m/>
    <m/>
    <m/>
    <m/>
    <n v="97"/>
    <x v="3"/>
    <m/>
    <m/>
    <m/>
    <m/>
    <m/>
    <m/>
    <m/>
    <m/>
    <m/>
    <m/>
    <m/>
    <m/>
    <m/>
    <m/>
    <m/>
    <m/>
    <m/>
    <m/>
    <m/>
    <m/>
    <m/>
    <m/>
    <n v="1"/>
    <n v="1118"/>
    <n v="1"/>
    <n v="1118"/>
    <n v="1"/>
    <n v="1118"/>
    <n v="4.4720000000000004"/>
    <n v="0"/>
    <n v="0"/>
    <n v="0"/>
    <n v="4"/>
    <n v="0.52057245080500891"/>
    <n v="582"/>
    <n v="0"/>
    <n v="186"/>
    <n v="89"/>
    <n v="0.47942754919499109"/>
    <n v="0"/>
    <n v="0"/>
    <n v="0"/>
    <n v="0"/>
    <n v="1"/>
    <n v="0"/>
    <n v="0"/>
    <n v="0"/>
    <n v="0"/>
    <x v="0"/>
    <s v="Village"/>
    <x v="0"/>
    <n v="0"/>
    <n v="20.391029357910199"/>
    <n v="93.257637023925795"/>
    <n v="196997"/>
    <x v="0"/>
    <m/>
  </r>
  <r>
    <x v="1"/>
    <x v="3"/>
    <x v="3"/>
    <s v="EU"/>
    <x v="1"/>
    <x v="11"/>
    <x v="0"/>
    <x v="120"/>
    <n v="31"/>
    <n v="170"/>
    <d v="2017-01-01T00:00:00"/>
    <d v="2021-12-21T00:00:00"/>
    <m/>
    <m/>
    <n v="0"/>
    <n v="54"/>
    <n v="4"/>
    <m/>
    <m/>
    <m/>
    <m/>
    <n v="154"/>
    <x v="3"/>
    <m/>
    <m/>
    <m/>
    <m/>
    <m/>
    <m/>
    <m/>
    <m/>
    <m/>
    <m/>
    <m/>
    <m/>
    <m/>
    <m/>
    <m/>
    <m/>
    <m/>
    <m/>
    <m/>
    <m/>
    <m/>
    <m/>
    <n v="1"/>
    <n v="170"/>
    <n v="1"/>
    <n v="170"/>
    <n v="1"/>
    <n v="170"/>
    <n v="0.68"/>
    <n v="0"/>
    <n v="0"/>
    <n v="0.31999999999999995"/>
    <n v="1"/>
    <n v="1"/>
    <n v="170"/>
    <n v="0"/>
    <n v="28"/>
    <n v="0"/>
    <n v="0"/>
    <n v="0"/>
    <n v="0"/>
    <n v="0"/>
    <n v="0"/>
    <n v="1"/>
    <n v="0"/>
    <n v="0"/>
    <n v="0"/>
    <n v="0"/>
    <x v="0"/>
    <s v="Village"/>
    <x v="0"/>
    <s v="Rakhine"/>
    <n v="20.396680830000001"/>
    <n v="93.252868649999996"/>
    <n v="196998"/>
    <x v="0"/>
    <m/>
  </r>
  <r>
    <x v="1"/>
    <x v="3"/>
    <x v="3"/>
    <s v="BMZ"/>
    <x v="1"/>
    <x v="11"/>
    <x v="0"/>
    <x v="121"/>
    <n v="180"/>
    <n v="964"/>
    <d v="2017-01-01T00:00:00"/>
    <d v="2021-12-21T00:00:00"/>
    <m/>
    <m/>
    <n v="3"/>
    <n v="76"/>
    <n v="3"/>
    <m/>
    <m/>
    <m/>
    <m/>
    <n v="116"/>
    <x v="3"/>
    <m/>
    <m/>
    <m/>
    <m/>
    <m/>
    <m/>
    <m/>
    <m/>
    <m/>
    <m/>
    <m/>
    <m/>
    <m/>
    <m/>
    <m/>
    <m/>
    <m/>
    <m/>
    <m/>
    <m/>
    <m/>
    <m/>
    <n v="1"/>
    <n v="964"/>
    <n v="1"/>
    <n v="964"/>
    <n v="1"/>
    <n v="964"/>
    <n v="3.8559999999999999"/>
    <n v="0"/>
    <n v="0"/>
    <n v="0.14400000000000013"/>
    <n v="4"/>
    <n v="0.72199170124481327"/>
    <n v="696"/>
    <n v="0"/>
    <n v="161"/>
    <n v="45"/>
    <n v="0.27800829875518673"/>
    <n v="0"/>
    <n v="0"/>
    <n v="0"/>
    <n v="0"/>
    <n v="1"/>
    <n v="0"/>
    <n v="0"/>
    <n v="0"/>
    <n v="0"/>
    <x v="0"/>
    <s v="Village"/>
    <x v="0"/>
    <n v="0"/>
    <n v="20.410079956054702"/>
    <n v="93.37109375"/>
    <n v="197114"/>
    <x v="0"/>
    <m/>
  </r>
  <r>
    <x v="1"/>
    <x v="3"/>
    <x v="3"/>
    <s v="BMZ"/>
    <x v="1"/>
    <x v="11"/>
    <x v="0"/>
    <x v="122"/>
    <n v="130"/>
    <n v="398"/>
    <d v="2017-01-01T00:00:00"/>
    <d v="2021-12-21T00:00:00"/>
    <m/>
    <m/>
    <n v="43"/>
    <n v="48"/>
    <n v="2"/>
    <m/>
    <m/>
    <m/>
    <m/>
    <n v="78"/>
    <x v="3"/>
    <m/>
    <m/>
    <m/>
    <m/>
    <m/>
    <m/>
    <m/>
    <m/>
    <m/>
    <m/>
    <m/>
    <m/>
    <m/>
    <m/>
    <m/>
    <m/>
    <m/>
    <m/>
    <m/>
    <m/>
    <m/>
    <m/>
    <n v="1"/>
    <n v="398"/>
    <n v="1"/>
    <n v="398"/>
    <n v="1"/>
    <n v="398"/>
    <n v="1.5920000000000001"/>
    <n v="0"/>
    <n v="0"/>
    <n v="0.40799999999999992"/>
    <n v="2"/>
    <n v="1"/>
    <n v="398"/>
    <n v="0"/>
    <n v="66"/>
    <n v="0"/>
    <n v="0"/>
    <n v="0"/>
    <n v="0"/>
    <n v="0"/>
    <n v="0"/>
    <n v="1"/>
    <n v="0"/>
    <n v="0"/>
    <n v="0"/>
    <n v="0"/>
    <x v="0"/>
    <s v="Village"/>
    <x v="0"/>
    <n v="0"/>
    <n v="20.382389068603501"/>
    <n v="93.373863220214801"/>
    <n v="197111"/>
    <x v="0"/>
    <m/>
  </r>
  <r>
    <x v="1"/>
    <x v="3"/>
    <x v="3"/>
    <s v="BMZ"/>
    <x v="1"/>
    <x v="11"/>
    <x v="0"/>
    <x v="123"/>
    <n v="191"/>
    <n v="713"/>
    <d v="2017-01-01T00:00:00"/>
    <d v="2021-12-21T00:00:00"/>
    <m/>
    <m/>
    <n v="11"/>
    <n v="93"/>
    <n v="2"/>
    <m/>
    <m/>
    <m/>
    <m/>
    <n v="89"/>
    <x v="3"/>
    <m/>
    <m/>
    <m/>
    <m/>
    <m/>
    <m/>
    <m/>
    <m/>
    <m/>
    <m/>
    <m/>
    <m/>
    <m/>
    <m/>
    <m/>
    <m/>
    <m/>
    <m/>
    <m/>
    <m/>
    <m/>
    <m/>
    <n v="1"/>
    <n v="713"/>
    <n v="1"/>
    <n v="713"/>
    <n v="1"/>
    <n v="713"/>
    <n v="2.8519999999999999"/>
    <n v="0"/>
    <n v="0"/>
    <n v="0.14800000000000013"/>
    <n v="3"/>
    <n v="0.74894810659186539"/>
    <n v="534"/>
    <n v="0"/>
    <n v="119"/>
    <n v="30"/>
    <n v="0.25105189340813461"/>
    <n v="0"/>
    <n v="0"/>
    <n v="0"/>
    <n v="0"/>
    <n v="1"/>
    <n v="0"/>
    <n v="0"/>
    <n v="0"/>
    <n v="0"/>
    <x v="0"/>
    <s v="Village"/>
    <x v="0"/>
    <n v="0"/>
    <n v="20.389610290527301"/>
    <n v="93.371490478515597"/>
    <n v="197112"/>
    <x v="0"/>
    <m/>
  </r>
  <r>
    <x v="1"/>
    <x v="3"/>
    <x v="3"/>
    <s v="BMZ"/>
    <x v="1"/>
    <x v="11"/>
    <x v="0"/>
    <x v="124"/>
    <n v="27"/>
    <n v="53"/>
    <d v="2017-01-01T00:00:00"/>
    <d v="2021-12-21T00:00:00"/>
    <m/>
    <m/>
    <n v="2"/>
    <n v="23"/>
    <n v="1"/>
    <m/>
    <m/>
    <m/>
    <m/>
    <n v="22"/>
    <x v="3"/>
    <m/>
    <m/>
    <m/>
    <m/>
    <m/>
    <m/>
    <m/>
    <m/>
    <m/>
    <m/>
    <m/>
    <m/>
    <m/>
    <m/>
    <m/>
    <m/>
    <m/>
    <m/>
    <m/>
    <m/>
    <m/>
    <m/>
    <n v="1"/>
    <n v="53"/>
    <n v="1"/>
    <n v="53"/>
    <n v="1"/>
    <n v="53"/>
    <n v="0.21199999999999999"/>
    <n v="0"/>
    <n v="0"/>
    <n v="0.78800000000000003"/>
    <n v="1"/>
    <n v="1"/>
    <n v="53"/>
    <n v="0"/>
    <n v="9"/>
    <n v="0"/>
    <n v="0"/>
    <n v="0"/>
    <n v="0"/>
    <n v="0"/>
    <n v="0"/>
    <n v="1"/>
    <n v="0"/>
    <n v="0"/>
    <n v="0"/>
    <n v="0"/>
    <x v="0"/>
    <s v="Village"/>
    <x v="0"/>
    <n v="0"/>
    <n v="20.384975433349599"/>
    <n v="93.373054504394503"/>
    <n v="220653"/>
    <x v="0"/>
    <m/>
  </r>
  <r>
    <x v="1"/>
    <x v="3"/>
    <x v="3"/>
    <s v="BMZ"/>
    <x v="1"/>
    <x v="11"/>
    <x v="0"/>
    <x v="125"/>
    <n v="63"/>
    <n v="249"/>
    <d v="2017-01-01T00:00:00"/>
    <d v="2021-12-21T00:00:00"/>
    <m/>
    <m/>
    <n v="0"/>
    <n v="88"/>
    <n v="2"/>
    <m/>
    <m/>
    <m/>
    <m/>
    <n v="108"/>
    <x v="3"/>
    <m/>
    <m/>
    <m/>
    <m/>
    <m/>
    <m/>
    <m/>
    <m/>
    <m/>
    <m/>
    <m/>
    <m/>
    <m/>
    <m/>
    <m/>
    <m/>
    <m/>
    <m/>
    <m/>
    <m/>
    <m/>
    <m/>
    <n v="1"/>
    <n v="249"/>
    <n v="1"/>
    <n v="249"/>
    <n v="1"/>
    <n v="249"/>
    <n v="0.996"/>
    <n v="0"/>
    <n v="0"/>
    <n v="4.0000000000000036E-3"/>
    <n v="1"/>
    <n v="1"/>
    <n v="249"/>
    <n v="0"/>
    <n v="42"/>
    <n v="0"/>
    <n v="0"/>
    <n v="0"/>
    <n v="0"/>
    <n v="0"/>
    <n v="0"/>
    <n v="1"/>
    <n v="0"/>
    <n v="0"/>
    <n v="0"/>
    <n v="0"/>
    <x v="0"/>
    <s v="Village"/>
    <x v="0"/>
    <n v="0"/>
    <n v="0"/>
    <n v="0"/>
    <n v="197110"/>
    <x v="0"/>
    <m/>
  </r>
  <r>
    <x v="1"/>
    <x v="5"/>
    <x v="5"/>
    <s v="USAID/OFDA"/>
    <x v="1"/>
    <x v="12"/>
    <x v="0"/>
    <x v="126"/>
    <n v="40"/>
    <n v="217"/>
    <d v="2020-05-01T00:00:00"/>
    <d v="2021-04-30T00:00:00"/>
    <n v="107"/>
    <m/>
    <m/>
    <n v="8"/>
    <m/>
    <m/>
    <m/>
    <n v="2"/>
    <m/>
    <n v="40"/>
    <x v="1"/>
    <n v="2"/>
    <m/>
    <m/>
    <n v="1"/>
    <m/>
    <m/>
    <n v="39"/>
    <n v="147"/>
    <n v="70"/>
    <n v="116"/>
    <n v="30"/>
    <n v="32"/>
    <n v="40"/>
    <n v="2"/>
    <n v="40"/>
    <n v="80"/>
    <m/>
    <n v="1"/>
    <n v="1"/>
    <s v="N/A"/>
    <s v="N/A"/>
    <s v="N/A"/>
    <n v="1"/>
    <n v="217"/>
    <n v="0"/>
    <n v="0"/>
    <n v="1"/>
    <n v="217"/>
    <n v="0.86799999999999999"/>
    <n v="0"/>
    <n v="0"/>
    <n v="0.13200000000000001"/>
    <n v="1"/>
    <n v="1"/>
    <n v="217"/>
    <n v="100"/>
    <n v="36"/>
    <n v="0"/>
    <n v="0"/>
    <n v="217"/>
    <n v="217"/>
    <n v="217"/>
    <n v="1"/>
    <n v="0"/>
    <n v="1"/>
    <n v="217"/>
    <n v="80"/>
    <n v="217"/>
    <x v="1"/>
    <s v="Village"/>
    <x v="2"/>
    <s v="Rakhine"/>
    <n v="20.041981"/>
    <n v="93.373951000000005"/>
    <s v="MMR012CMP013"/>
    <x v="0"/>
    <m/>
  </r>
  <r>
    <x v="1"/>
    <x v="6"/>
    <x v="6"/>
    <s v="DFID/HARP"/>
    <x v="1"/>
    <x v="10"/>
    <x v="0"/>
    <x v="127"/>
    <n v="249"/>
    <n v="1362"/>
    <d v="2017-10-01T00:00:00"/>
    <d v="2020-09-30T00:00:00"/>
    <m/>
    <n v="0"/>
    <m/>
    <m/>
    <m/>
    <m/>
    <m/>
    <m/>
    <m/>
    <m/>
    <x v="3"/>
    <m/>
    <m/>
    <m/>
    <m/>
    <m/>
    <m/>
    <m/>
    <m/>
    <m/>
    <m/>
    <m/>
    <m/>
    <m/>
    <m/>
    <m/>
    <m/>
    <m/>
    <m/>
    <m/>
    <m/>
    <m/>
    <m/>
    <n v="0"/>
    <n v="0"/>
    <n v="0"/>
    <n v="0"/>
    <n v="0"/>
    <n v="0"/>
    <n v="0"/>
    <n v="1"/>
    <n v="1362"/>
    <n v="5"/>
    <n v="5"/>
    <n v="0"/>
    <n v="0"/>
    <n v="0"/>
    <n v="227"/>
    <n v="227"/>
    <n v="1"/>
    <n v="0"/>
    <n v="0"/>
    <n v="0"/>
    <n v="0"/>
    <n v="1"/>
    <n v="0"/>
    <n v="0"/>
    <n v="0"/>
    <n v="0"/>
    <x v="0"/>
    <s v="Village"/>
    <x v="2"/>
    <s v="Rakhine"/>
    <n v="20.151471999999998"/>
    <n v="92.887277999999995"/>
    <s v="MMR012CMP111"/>
    <x v="0"/>
    <m/>
  </r>
  <r>
    <x v="1"/>
    <x v="4"/>
    <x v="4"/>
    <s v="DFID/HARP"/>
    <x v="1"/>
    <x v="10"/>
    <x v="0"/>
    <x v="128"/>
    <n v="420"/>
    <n v="2179"/>
    <d v="2017-10-01T00:00:00"/>
    <d v="2020-09-30T00:00:00"/>
    <m/>
    <n v="0"/>
    <m/>
    <m/>
    <m/>
    <m/>
    <m/>
    <m/>
    <m/>
    <m/>
    <x v="3"/>
    <m/>
    <m/>
    <m/>
    <m/>
    <m/>
    <m/>
    <n v="72"/>
    <n v="60"/>
    <m/>
    <m/>
    <m/>
    <m/>
    <m/>
    <m/>
    <m/>
    <m/>
    <m/>
    <m/>
    <m/>
    <m/>
    <m/>
    <m/>
    <n v="0"/>
    <n v="0"/>
    <n v="0"/>
    <n v="0"/>
    <n v="0"/>
    <n v="0"/>
    <n v="0"/>
    <n v="1"/>
    <n v="2179"/>
    <n v="9"/>
    <n v="9"/>
    <n v="0"/>
    <n v="0"/>
    <n v="0"/>
    <n v="363"/>
    <n v="363"/>
    <n v="1"/>
    <n v="132"/>
    <n v="0"/>
    <n v="132"/>
    <n v="6.0578246902248736E-2"/>
    <n v="0.93942175309775122"/>
    <n v="6.0578246902248736E-2"/>
    <n v="0"/>
    <n v="0"/>
    <n v="0"/>
    <x v="0"/>
    <s v="Village"/>
    <x v="2"/>
    <s v="Rakhine"/>
    <n v="20.151471999999998"/>
    <n v="92.887277999999995"/>
    <s v="MMR012CMP112"/>
    <x v="0"/>
    <m/>
  </r>
  <r>
    <x v="1"/>
    <x v="4"/>
    <x v="4"/>
    <s v="DFID/HARP"/>
    <x v="1"/>
    <x v="10"/>
    <x v="0"/>
    <x v="129"/>
    <n v="235"/>
    <n v="1390"/>
    <d v="2017-10-01T00:00:00"/>
    <d v="2020-09-30T00:00:00"/>
    <m/>
    <n v="0"/>
    <m/>
    <m/>
    <m/>
    <m/>
    <m/>
    <m/>
    <m/>
    <m/>
    <x v="3"/>
    <m/>
    <m/>
    <m/>
    <m/>
    <m/>
    <m/>
    <n v="149"/>
    <n v="275"/>
    <m/>
    <m/>
    <m/>
    <m/>
    <m/>
    <m/>
    <m/>
    <m/>
    <m/>
    <m/>
    <m/>
    <m/>
    <m/>
    <m/>
    <n v="0"/>
    <n v="0"/>
    <n v="0"/>
    <n v="0"/>
    <n v="0"/>
    <n v="0"/>
    <n v="0"/>
    <n v="1"/>
    <n v="1390"/>
    <n v="6"/>
    <n v="6"/>
    <n v="0"/>
    <n v="0"/>
    <n v="0"/>
    <n v="232"/>
    <n v="232"/>
    <n v="1"/>
    <n v="424"/>
    <n v="0"/>
    <n v="424"/>
    <n v="0.30503597122302156"/>
    <n v="0.69496402877697849"/>
    <n v="0.30503597122302156"/>
    <n v="0"/>
    <n v="0"/>
    <n v="0"/>
    <x v="0"/>
    <s v="Village"/>
    <x v="0"/>
    <s v="Muslim"/>
    <n v="20.19171906"/>
    <n v="92.808166499999999"/>
    <n v="196155"/>
    <x v="0"/>
    <m/>
  </r>
  <r>
    <x v="1"/>
    <x v="4"/>
    <x v="4"/>
    <s v="DFID/HARP"/>
    <x v="1"/>
    <x v="10"/>
    <x v="0"/>
    <x v="130"/>
    <n v="72"/>
    <n v="442"/>
    <d v="2017-10-01T00:00:00"/>
    <d v="2020-09-30T00:00:00"/>
    <m/>
    <n v="0"/>
    <m/>
    <m/>
    <m/>
    <m/>
    <m/>
    <m/>
    <m/>
    <m/>
    <x v="3"/>
    <m/>
    <m/>
    <m/>
    <m/>
    <m/>
    <m/>
    <n v="99"/>
    <n v="210"/>
    <m/>
    <m/>
    <m/>
    <m/>
    <m/>
    <m/>
    <m/>
    <m/>
    <m/>
    <m/>
    <m/>
    <m/>
    <m/>
    <m/>
    <n v="0"/>
    <n v="0"/>
    <n v="0"/>
    <n v="0"/>
    <n v="0"/>
    <n v="0"/>
    <n v="0"/>
    <n v="1"/>
    <n v="442"/>
    <n v="2"/>
    <n v="2"/>
    <n v="0"/>
    <n v="0"/>
    <n v="0"/>
    <n v="74"/>
    <n v="74"/>
    <n v="1"/>
    <n v="309"/>
    <n v="0"/>
    <n v="309"/>
    <n v="0.69909502262443435"/>
    <n v="0.30090497737556565"/>
    <n v="0.69909502262443435"/>
    <n v="0"/>
    <n v="0"/>
    <n v="0"/>
    <x v="0"/>
    <s v="Village"/>
    <x v="2"/>
    <s v="Maramargyi"/>
    <n v="20.148584"/>
    <n v="92.880319999999998"/>
    <s v="MMR012CMP056"/>
    <x v="0"/>
    <m/>
  </r>
  <r>
    <x v="1"/>
    <x v="4"/>
    <x v="4"/>
    <s v="DFID/HARP"/>
    <x v="1"/>
    <x v="10"/>
    <x v="0"/>
    <x v="131"/>
    <n v="151"/>
    <n v="625"/>
    <d v="2017-10-01T00:00:00"/>
    <d v="2020-09-30T00:00:00"/>
    <m/>
    <n v="0"/>
    <m/>
    <m/>
    <m/>
    <m/>
    <m/>
    <m/>
    <m/>
    <m/>
    <x v="3"/>
    <m/>
    <m/>
    <m/>
    <m/>
    <m/>
    <m/>
    <n v="155"/>
    <n v="277"/>
    <n v="15"/>
    <n v="57"/>
    <m/>
    <m/>
    <m/>
    <m/>
    <m/>
    <m/>
    <m/>
    <m/>
    <m/>
    <m/>
    <m/>
    <m/>
    <n v="0"/>
    <n v="0"/>
    <n v="0"/>
    <n v="0"/>
    <n v="0"/>
    <n v="0"/>
    <n v="0"/>
    <n v="1"/>
    <n v="625"/>
    <n v="3"/>
    <n v="3"/>
    <n v="0"/>
    <n v="0"/>
    <n v="0"/>
    <n v="104"/>
    <n v="104"/>
    <n v="1"/>
    <n v="504"/>
    <n v="0"/>
    <n v="504"/>
    <n v="0.80640000000000001"/>
    <n v="0.19359999999999999"/>
    <n v="0.80640000000000001"/>
    <n v="0"/>
    <n v="0"/>
    <n v="0"/>
    <x v="0"/>
    <s v="Village"/>
    <x v="2"/>
    <s v="Rakhine"/>
    <n v="20.155805999999998"/>
    <n v="92.879138999999995"/>
    <s v="MMR012CMP093"/>
    <x v="0"/>
    <m/>
  </r>
  <r>
    <x v="1"/>
    <x v="6"/>
    <x v="6"/>
    <s v="DFID/HARP"/>
    <x v="1"/>
    <x v="10"/>
    <x v="0"/>
    <x v="132"/>
    <n v="173"/>
    <n v="749"/>
    <d v="2017-10-01T00:00:00"/>
    <d v="2020-09-30T00:00:00"/>
    <m/>
    <n v="0"/>
    <m/>
    <n v="9"/>
    <m/>
    <m/>
    <m/>
    <m/>
    <m/>
    <n v="28"/>
    <x v="3"/>
    <m/>
    <m/>
    <m/>
    <m/>
    <m/>
    <m/>
    <n v="0"/>
    <n v="10"/>
    <m/>
    <m/>
    <m/>
    <m/>
    <m/>
    <m/>
    <m/>
    <m/>
    <m/>
    <m/>
    <m/>
    <m/>
    <m/>
    <m/>
    <n v="1"/>
    <n v="749"/>
    <n v="0"/>
    <n v="0"/>
    <n v="1"/>
    <n v="749"/>
    <n v="2.996"/>
    <n v="0"/>
    <n v="0"/>
    <n v="4.0000000000000036E-3"/>
    <n v="3"/>
    <n v="0.22429906542056074"/>
    <n v="168"/>
    <n v="0"/>
    <n v="125"/>
    <n v="97"/>
    <n v="0.77570093457943923"/>
    <n v="10"/>
    <n v="0"/>
    <n v="10"/>
    <n v="1.335113484646195E-2"/>
    <n v="0.986648865153538"/>
    <n v="1.335113484646195E-2"/>
    <n v="0"/>
    <n v="0"/>
    <n v="0"/>
    <x v="0"/>
    <s v="Village"/>
    <x v="0"/>
    <s v="Rakhine"/>
    <n v="20.16259956"/>
    <n v="92.834457400000005"/>
    <n v="196210"/>
    <x v="0"/>
    <m/>
  </r>
  <r>
    <x v="1"/>
    <x v="6"/>
    <x v="6"/>
    <s v="DFID/HARP"/>
    <x v="1"/>
    <x v="10"/>
    <x v="0"/>
    <x v="133"/>
    <n v="763"/>
    <n v="3797"/>
    <d v="2017-10-01T00:00:00"/>
    <d v="2020-09-30T00:00:00"/>
    <m/>
    <n v="0"/>
    <m/>
    <n v="15"/>
    <m/>
    <m/>
    <m/>
    <m/>
    <m/>
    <n v="158"/>
    <x v="3"/>
    <m/>
    <m/>
    <m/>
    <m/>
    <m/>
    <m/>
    <n v="28"/>
    <n v="158"/>
    <m/>
    <m/>
    <m/>
    <m/>
    <m/>
    <m/>
    <n v="758"/>
    <m/>
    <m/>
    <n v="1"/>
    <m/>
    <m/>
    <m/>
    <m/>
    <n v="1"/>
    <n v="3797"/>
    <n v="0"/>
    <n v="0"/>
    <n v="1"/>
    <n v="3797"/>
    <n v="15.188000000000001"/>
    <n v="0"/>
    <n v="0"/>
    <n v="0"/>
    <n v="15"/>
    <n v="0.24967079273110351"/>
    <n v="948"/>
    <n v="0"/>
    <n v="633"/>
    <n v="475"/>
    <n v="0.75032920726889651"/>
    <n v="186"/>
    <n v="0"/>
    <n v="3797"/>
    <n v="1"/>
    <n v="0"/>
    <n v="4.8986041611798786E-2"/>
    <n v="3797"/>
    <n v="0"/>
    <n v="3797"/>
    <x v="0"/>
    <s v="Village"/>
    <x v="0"/>
    <s v="Muslim"/>
    <n v="20.15736008"/>
    <n v="92.838653559999997"/>
    <n v="196211"/>
    <x v="0"/>
    <m/>
  </r>
  <r>
    <x v="1"/>
    <x v="6"/>
    <x v="6"/>
    <s v="DFID/HARP"/>
    <x v="1"/>
    <x v="10"/>
    <x v="0"/>
    <x v="134"/>
    <n v="427"/>
    <n v="2455"/>
    <d v="2017-10-01T00:00:00"/>
    <d v="2020-09-30T00:00:00"/>
    <m/>
    <n v="0"/>
    <m/>
    <n v="18"/>
    <m/>
    <m/>
    <m/>
    <m/>
    <m/>
    <n v="35"/>
    <x v="3"/>
    <m/>
    <m/>
    <m/>
    <m/>
    <m/>
    <m/>
    <n v="18"/>
    <n v="102"/>
    <m/>
    <m/>
    <m/>
    <m/>
    <m/>
    <m/>
    <n v="426"/>
    <m/>
    <m/>
    <n v="0.96"/>
    <m/>
    <m/>
    <m/>
    <m/>
    <n v="1"/>
    <n v="2455"/>
    <n v="0"/>
    <n v="0"/>
    <n v="1"/>
    <n v="2455"/>
    <n v="9.82"/>
    <n v="0"/>
    <n v="0"/>
    <n v="0.17999999999999972"/>
    <n v="10"/>
    <n v="8.5539714867617106E-2"/>
    <n v="210"/>
    <n v="0"/>
    <n v="409"/>
    <n v="374"/>
    <n v="0.91446028513238287"/>
    <n v="120"/>
    <n v="0"/>
    <n v="2455"/>
    <n v="1"/>
    <n v="0"/>
    <n v="4.8879837067209775E-2"/>
    <n v="2455"/>
    <n v="0"/>
    <n v="2455"/>
    <x v="0"/>
    <s v="Village"/>
    <x v="0"/>
    <s v="Muslim"/>
    <n v="20.147863431600001"/>
    <n v="92.846768572000002"/>
    <n v="196209"/>
    <x v="0"/>
    <m/>
  </r>
  <r>
    <x v="1"/>
    <x v="3"/>
    <x v="3"/>
    <s v="BMZ"/>
    <x v="1"/>
    <x v="10"/>
    <x v="0"/>
    <x v="135"/>
    <n v="452"/>
    <n v="1901"/>
    <d v="2017-01-01T00:00:00"/>
    <d v="2021-12-21T00:00:00"/>
    <m/>
    <m/>
    <m/>
    <m/>
    <m/>
    <m/>
    <m/>
    <m/>
    <m/>
    <m/>
    <x v="3"/>
    <m/>
    <m/>
    <m/>
    <m/>
    <m/>
    <m/>
    <m/>
    <m/>
    <m/>
    <m/>
    <m/>
    <m/>
    <m/>
    <m/>
    <m/>
    <m/>
    <m/>
    <m/>
    <m/>
    <m/>
    <m/>
    <m/>
    <n v="0"/>
    <n v="0"/>
    <n v="0"/>
    <n v="0"/>
    <n v="0"/>
    <n v="0"/>
    <n v="0"/>
    <n v="1"/>
    <n v="1901"/>
    <n v="8"/>
    <n v="8"/>
    <n v="0"/>
    <n v="0"/>
    <n v="0"/>
    <n v="317"/>
    <n v="317"/>
    <n v="1"/>
    <n v="0"/>
    <n v="0"/>
    <n v="0"/>
    <n v="0"/>
    <n v="1"/>
    <n v="0"/>
    <n v="0"/>
    <n v="0"/>
    <n v="0"/>
    <x v="0"/>
    <s v="Village"/>
    <x v="0"/>
    <n v="0"/>
    <n v="20.760820389999999"/>
    <n v="92.960083010000005"/>
    <n v="196893"/>
    <x v="0"/>
    <m/>
  </r>
  <r>
    <x v="1"/>
    <x v="4"/>
    <x v="4"/>
    <s v="DFID/HARP"/>
    <x v="1"/>
    <x v="10"/>
    <x v="0"/>
    <x v="136"/>
    <n v="17"/>
    <n v="74"/>
    <d v="2017-10-01T00:00:00"/>
    <d v="2020-09-30T00:00:00"/>
    <m/>
    <n v="0"/>
    <m/>
    <m/>
    <m/>
    <m/>
    <m/>
    <m/>
    <m/>
    <m/>
    <x v="3"/>
    <m/>
    <m/>
    <m/>
    <m/>
    <m/>
    <m/>
    <m/>
    <m/>
    <m/>
    <m/>
    <m/>
    <m/>
    <m/>
    <m/>
    <m/>
    <m/>
    <m/>
    <m/>
    <m/>
    <m/>
    <m/>
    <m/>
    <n v="0"/>
    <n v="0"/>
    <n v="0"/>
    <n v="0"/>
    <n v="0"/>
    <n v="0"/>
    <n v="0"/>
    <n v="1"/>
    <n v="74"/>
    <n v="1"/>
    <n v="1"/>
    <n v="0"/>
    <n v="0"/>
    <n v="0"/>
    <n v="12"/>
    <n v="12"/>
    <n v="1"/>
    <n v="0"/>
    <n v="0"/>
    <n v="0"/>
    <n v="0"/>
    <n v="1"/>
    <n v="0"/>
    <n v="0"/>
    <n v="0"/>
    <n v="0"/>
    <x v="0"/>
    <s v="Village"/>
    <x v="0"/>
    <s v="Muslim"/>
    <n v="20.193460460000001"/>
    <n v="92.867782590000004"/>
    <n v="196147"/>
    <x v="0"/>
    <m/>
  </r>
  <r>
    <x v="1"/>
    <x v="7"/>
    <x v="7"/>
    <s v="ECHO, OFDA, CDC"/>
    <x v="1"/>
    <x v="8"/>
    <x v="0"/>
    <x v="137"/>
    <n v="483"/>
    <n v="2228"/>
    <d v="2019-03-01T00:00:00"/>
    <d v="2021-02-28T00:00:00"/>
    <m/>
    <n v="454"/>
    <n v="0"/>
    <n v="0"/>
    <n v="1"/>
    <m/>
    <m/>
    <m/>
    <m/>
    <m/>
    <x v="3"/>
    <m/>
    <m/>
    <m/>
    <m/>
    <m/>
    <m/>
    <n v="417"/>
    <n v="463"/>
    <n v="614"/>
    <n v="556"/>
    <m/>
    <m/>
    <n v="0"/>
    <n v="0"/>
    <n v="483"/>
    <n v="1019"/>
    <s v="HP session of SI targeted the all population od ANYv 2228 / 5 Hand Washing station have been installed in the pubblic space in ANYvillage"/>
    <m/>
    <m/>
    <n v="0"/>
    <m/>
    <n v="0"/>
    <n v="0"/>
    <n v="0"/>
    <n v="1"/>
    <n v="2228"/>
    <n v="1"/>
    <n v="2228"/>
    <n v="8.9120000000000008"/>
    <n v="0"/>
    <n v="0"/>
    <n v="8.799999999999919E-2"/>
    <n v="9"/>
    <n v="0"/>
    <n v="0"/>
    <n v="0"/>
    <n v="371"/>
    <n v="371"/>
    <n v="1"/>
    <n v="2050"/>
    <n v="0"/>
    <n v="2228"/>
    <n v="1"/>
    <n v="0"/>
    <n v="0.92010771992818674"/>
    <n v="2228"/>
    <n v="1019"/>
    <n v="2228"/>
    <x v="0"/>
    <s v="Village"/>
    <x v="0"/>
    <s v="Muslim"/>
    <n v="20.099340439999999"/>
    <n v="92.989143369999994"/>
    <n v="197558"/>
    <x v="0"/>
    <m/>
  </r>
  <r>
    <x v="1"/>
    <x v="1"/>
    <x v="1"/>
    <s v="BMZ"/>
    <x v="1"/>
    <x v="8"/>
    <x v="0"/>
    <x v="138"/>
    <n v="36"/>
    <n v="172"/>
    <d v="2018-09-16T00:00:00"/>
    <d v="2020-12-31T00:00:00"/>
    <n v="52"/>
    <m/>
    <m/>
    <m/>
    <n v="0"/>
    <m/>
    <n v="172"/>
    <n v="0"/>
    <m/>
    <n v="0"/>
    <x v="2"/>
    <n v="0"/>
    <n v="2"/>
    <m/>
    <m/>
    <m/>
    <m/>
    <m/>
    <m/>
    <m/>
    <m/>
    <m/>
    <m/>
    <m/>
    <m/>
    <m/>
    <m/>
    <m/>
    <m/>
    <m/>
    <m/>
    <m/>
    <m/>
    <n v="0"/>
    <n v="0"/>
    <n v="1"/>
    <n v="172"/>
    <n v="1"/>
    <n v="172"/>
    <n v="0.68799999999999994"/>
    <n v="0"/>
    <n v="0"/>
    <n v="0.31200000000000006"/>
    <n v="1"/>
    <n v="0"/>
    <n v="0"/>
    <n v="0"/>
    <n v="29"/>
    <n v="29"/>
    <n v="1"/>
    <n v="0"/>
    <n v="0"/>
    <n v="0"/>
    <n v="0"/>
    <n v="1"/>
    <n v="0"/>
    <n v="0"/>
    <n v="0"/>
    <n v="0"/>
    <x v="1"/>
    <s v="Village"/>
    <x v="0"/>
    <n v="0"/>
    <n v="20.005199432373001"/>
    <n v="92.948463439941406"/>
    <n v="197565"/>
    <x v="0"/>
    <m/>
  </r>
  <r>
    <x v="1"/>
    <x v="9"/>
    <x v="9"/>
    <s v="GIZ"/>
    <x v="1"/>
    <x v="13"/>
    <x v="0"/>
    <x v="144"/>
    <n v="128"/>
    <n v="583"/>
    <d v="2019-07-01T00:00:00"/>
    <d v="2020-07-31T00:00:00"/>
    <n v="90"/>
    <m/>
    <m/>
    <m/>
    <n v="4"/>
    <m/>
    <m/>
    <m/>
    <m/>
    <n v="6"/>
    <x v="3"/>
    <n v="3"/>
    <n v="3"/>
    <m/>
    <m/>
    <m/>
    <m/>
    <m/>
    <m/>
    <m/>
    <m/>
    <m/>
    <m/>
    <n v="11"/>
    <m/>
    <m/>
    <m/>
    <m/>
    <m/>
    <m/>
    <m/>
    <m/>
    <m/>
    <n v="0"/>
    <n v="0"/>
    <n v="1"/>
    <n v="583"/>
    <n v="1"/>
    <n v="583"/>
    <n v="2.3319999999999999"/>
    <n v="0"/>
    <n v="0"/>
    <n v="0"/>
    <n v="2"/>
    <n v="6.1749571183533448E-2"/>
    <n v="36"/>
    <n v="150"/>
    <n v="97"/>
    <n v="91"/>
    <n v="0.93825042881646659"/>
    <n v="0"/>
    <n v="66"/>
    <n v="0"/>
    <n v="0"/>
    <n v="1"/>
    <n v="0"/>
    <n v="0"/>
    <n v="0"/>
    <n v="0"/>
    <x v="1"/>
    <s v="Village"/>
    <x v="0"/>
    <s v="Rakhine"/>
    <n v="20.646560668945298"/>
    <n v="92.976043701171903"/>
    <n v="196937"/>
    <x v="0"/>
    <m/>
  </r>
  <r>
    <x v="1"/>
    <x v="9"/>
    <x v="9"/>
    <s v="GIZ"/>
    <x v="1"/>
    <x v="13"/>
    <x v="0"/>
    <x v="145"/>
    <n v="178"/>
    <n v="849"/>
    <d v="2019-07-01T00:00:00"/>
    <d v="2020-07-31T00:00:00"/>
    <n v="154"/>
    <m/>
    <m/>
    <m/>
    <m/>
    <m/>
    <n v="3"/>
    <m/>
    <m/>
    <n v="35"/>
    <x v="3"/>
    <n v="1"/>
    <n v="2"/>
    <m/>
    <m/>
    <m/>
    <m/>
    <m/>
    <m/>
    <m/>
    <m/>
    <m/>
    <m/>
    <n v="12"/>
    <m/>
    <m/>
    <m/>
    <m/>
    <m/>
    <m/>
    <m/>
    <m/>
    <m/>
    <n v="0"/>
    <n v="0"/>
    <n v="3.5335689045936395E-3"/>
    <n v="3"/>
    <n v="3.5335689045936395E-3"/>
    <n v="3"/>
    <n v="1.2E-2"/>
    <n v="0.99646643109540634"/>
    <n v="846"/>
    <n v="2.988"/>
    <n v="3"/>
    <n v="0.24734982332155478"/>
    <n v="210"/>
    <n v="50"/>
    <n v="142"/>
    <n v="107"/>
    <n v="0.75265017667844525"/>
    <n v="0"/>
    <n v="72"/>
    <n v="0"/>
    <n v="0"/>
    <n v="1"/>
    <n v="0"/>
    <n v="0"/>
    <n v="0"/>
    <n v="0"/>
    <x v="1"/>
    <s v="Village"/>
    <x v="0"/>
    <n v="0"/>
    <n v="92.998542785644503"/>
    <n v="20.6563606262207"/>
    <n v="196940"/>
    <x v="0"/>
    <m/>
  </r>
  <r>
    <x v="1"/>
    <x v="9"/>
    <x v="9"/>
    <s v="GIZ"/>
    <x v="1"/>
    <x v="13"/>
    <x v="0"/>
    <x v="146"/>
    <n v="176"/>
    <n v="880"/>
    <d v="2019-07-01T00:00:00"/>
    <d v="2020-07-31T00:00:00"/>
    <n v="105"/>
    <m/>
    <m/>
    <m/>
    <m/>
    <m/>
    <n v="3"/>
    <m/>
    <m/>
    <n v="50"/>
    <x v="3"/>
    <n v="1"/>
    <n v="2"/>
    <m/>
    <m/>
    <m/>
    <m/>
    <m/>
    <m/>
    <m/>
    <m/>
    <m/>
    <m/>
    <n v="12"/>
    <m/>
    <m/>
    <m/>
    <m/>
    <m/>
    <m/>
    <m/>
    <m/>
    <m/>
    <n v="0"/>
    <n v="0"/>
    <n v="3.4090909090909089E-3"/>
    <n v="3"/>
    <n v="3.4090909090909089E-3"/>
    <n v="3"/>
    <n v="1.2E-2"/>
    <n v="0.99659090909090908"/>
    <n v="877"/>
    <n v="3.988"/>
    <n v="4"/>
    <n v="0.34090909090909088"/>
    <n v="300"/>
    <n v="50"/>
    <n v="147"/>
    <n v="97"/>
    <n v="0.65909090909090917"/>
    <n v="0"/>
    <n v="72"/>
    <n v="0"/>
    <n v="0"/>
    <n v="1"/>
    <n v="0"/>
    <n v="0"/>
    <n v="0"/>
    <n v="0"/>
    <x v="1"/>
    <s v="Village"/>
    <x v="0"/>
    <n v="0"/>
    <n v="92.983703613281307"/>
    <n v="20.776130676269499"/>
    <n v="196962"/>
    <x v="0"/>
    <m/>
  </r>
  <r>
    <x v="1"/>
    <x v="9"/>
    <x v="9"/>
    <s v="GIZ"/>
    <x v="1"/>
    <x v="13"/>
    <x v="0"/>
    <x v="147"/>
    <n v="29"/>
    <n v="137"/>
    <d v="2019-07-01T00:00:00"/>
    <d v="2020-07-31T00:00:00"/>
    <n v="30"/>
    <m/>
    <m/>
    <m/>
    <n v="2"/>
    <m/>
    <n v="2"/>
    <m/>
    <m/>
    <n v="15"/>
    <x v="3"/>
    <m/>
    <m/>
    <m/>
    <m/>
    <m/>
    <m/>
    <m/>
    <m/>
    <m/>
    <m/>
    <m/>
    <m/>
    <n v="12"/>
    <m/>
    <m/>
    <m/>
    <m/>
    <m/>
    <m/>
    <m/>
    <m/>
    <m/>
    <n v="0"/>
    <n v="0"/>
    <n v="1"/>
    <n v="137"/>
    <n v="1"/>
    <n v="137"/>
    <n v="0.54800000000000004"/>
    <n v="0"/>
    <n v="0"/>
    <n v="0.45199999999999996"/>
    <n v="1"/>
    <n v="0.65693430656934304"/>
    <n v="90"/>
    <n v="0"/>
    <n v="23"/>
    <n v="8"/>
    <n v="0.34306569343065696"/>
    <n v="0"/>
    <n v="72"/>
    <n v="0"/>
    <n v="0"/>
    <n v="1"/>
    <n v="0"/>
    <n v="0"/>
    <n v="0"/>
    <n v="0"/>
    <x v="1"/>
    <s v="Village"/>
    <x v="0"/>
    <n v="0"/>
    <n v="92.929412841796903"/>
    <n v="20.642980575561499"/>
    <n v="196919"/>
    <x v="0"/>
    <m/>
  </r>
  <r>
    <x v="1"/>
    <x v="9"/>
    <x v="9"/>
    <s v="GIZ"/>
    <x v="1"/>
    <x v="13"/>
    <x v="0"/>
    <x v="148"/>
    <n v="361"/>
    <n v="1669"/>
    <d v="2019-07-01T00:00:00"/>
    <d v="2020-07-31T00:00:00"/>
    <n v="512"/>
    <m/>
    <m/>
    <m/>
    <n v="4"/>
    <m/>
    <n v="5"/>
    <n v="1"/>
    <m/>
    <n v="210"/>
    <x v="3"/>
    <n v="4"/>
    <n v="6"/>
    <m/>
    <n v="1"/>
    <m/>
    <m/>
    <m/>
    <m/>
    <m/>
    <m/>
    <m/>
    <m/>
    <n v="12"/>
    <m/>
    <m/>
    <m/>
    <m/>
    <m/>
    <m/>
    <m/>
    <m/>
    <m/>
    <n v="0.14979029358897544"/>
    <n v="250"/>
    <n v="1"/>
    <n v="1669"/>
    <n v="1"/>
    <n v="1669"/>
    <n v="6.6760000000000002"/>
    <n v="0"/>
    <n v="0"/>
    <n v="0.32399999999999984"/>
    <n v="7"/>
    <n v="0.75494307968843621"/>
    <n v="1260"/>
    <n v="200"/>
    <n v="278"/>
    <n v="68"/>
    <n v="0.24505692031156379"/>
    <n v="0"/>
    <n v="72"/>
    <n v="0"/>
    <n v="0"/>
    <n v="1"/>
    <n v="0"/>
    <n v="0"/>
    <n v="0"/>
    <n v="0"/>
    <x v="1"/>
    <s v="Village"/>
    <x v="0"/>
    <s v="Rakhine"/>
    <n v="20.705930710000001"/>
    <n v="93.001953130000004"/>
    <n v="196943"/>
    <x v="0"/>
    <m/>
  </r>
  <r>
    <x v="1"/>
    <x v="9"/>
    <x v="9"/>
    <s v="GIZ"/>
    <x v="1"/>
    <x v="13"/>
    <x v="0"/>
    <x v="149"/>
    <n v="86"/>
    <n v="404"/>
    <d v="2019-07-01T00:00:00"/>
    <d v="2020-07-31T00:00:00"/>
    <n v="55"/>
    <m/>
    <m/>
    <m/>
    <n v="3"/>
    <m/>
    <m/>
    <m/>
    <m/>
    <n v="35"/>
    <x v="3"/>
    <n v="2"/>
    <n v="4"/>
    <m/>
    <m/>
    <m/>
    <m/>
    <m/>
    <m/>
    <m/>
    <m/>
    <m/>
    <m/>
    <n v="9"/>
    <m/>
    <m/>
    <m/>
    <m/>
    <m/>
    <m/>
    <m/>
    <m/>
    <m/>
    <n v="0"/>
    <n v="0"/>
    <n v="1"/>
    <n v="404"/>
    <n v="1"/>
    <n v="404"/>
    <n v="1.6160000000000001"/>
    <n v="0"/>
    <n v="0"/>
    <n v="0.3839999999999999"/>
    <n v="2"/>
    <n v="0.51980198019801982"/>
    <n v="210"/>
    <n v="100"/>
    <n v="67"/>
    <n v="32"/>
    <n v="0.48019801980198018"/>
    <n v="0"/>
    <n v="54"/>
    <n v="0"/>
    <n v="0"/>
    <n v="1"/>
    <n v="0"/>
    <n v="0"/>
    <n v="0"/>
    <n v="0"/>
    <x v="1"/>
    <s v="Village"/>
    <x v="0"/>
    <n v="0"/>
    <n v="20.640909189999999"/>
    <n v="92.979751590000006"/>
    <n v="196938"/>
    <x v="0"/>
    <m/>
  </r>
  <r>
    <x v="1"/>
    <x v="9"/>
    <x v="9"/>
    <s v="GIZ"/>
    <x v="1"/>
    <x v="13"/>
    <x v="0"/>
    <x v="150"/>
    <n v="181"/>
    <n v="833"/>
    <d v="2019-07-01T00:00:00"/>
    <d v="2020-07-31T00:00:00"/>
    <n v="195"/>
    <m/>
    <m/>
    <m/>
    <m/>
    <m/>
    <n v="4"/>
    <m/>
    <m/>
    <n v="75"/>
    <x v="3"/>
    <n v="1"/>
    <n v="4"/>
    <m/>
    <m/>
    <m/>
    <m/>
    <m/>
    <m/>
    <m/>
    <m/>
    <m/>
    <m/>
    <n v="11"/>
    <m/>
    <m/>
    <m/>
    <m/>
    <m/>
    <m/>
    <m/>
    <m/>
    <m/>
    <n v="0"/>
    <n v="0"/>
    <n v="4.8019207683073226E-3"/>
    <n v="3.9999999999999996"/>
    <n v="4.8019207683073226E-3"/>
    <n v="3.9999999999999996"/>
    <n v="1.5999999999999997E-2"/>
    <n v="0.99519807923169268"/>
    <n v="829"/>
    <n v="2.984"/>
    <n v="3"/>
    <n v="0.54021608643457386"/>
    <n v="450"/>
    <n v="50"/>
    <n v="139"/>
    <n v="64"/>
    <n v="0.45978391356542614"/>
    <n v="0"/>
    <n v="66"/>
    <n v="0"/>
    <n v="0"/>
    <n v="1"/>
    <n v="0"/>
    <n v="0"/>
    <n v="0"/>
    <n v="0"/>
    <x v="1"/>
    <s v="Village"/>
    <x v="0"/>
    <n v="0"/>
    <n v="92.934356689453097"/>
    <n v="20.657760620117202"/>
    <n v="196925"/>
    <x v="0"/>
    <m/>
  </r>
  <r>
    <x v="1"/>
    <x v="9"/>
    <x v="9"/>
    <s v="GIZ"/>
    <x v="1"/>
    <x v="13"/>
    <x v="0"/>
    <x v="159"/>
    <n v="26"/>
    <n v="98"/>
    <d v="2019-07-01T00:00:00"/>
    <d v="2020-07-31T00:00:00"/>
    <n v="30"/>
    <m/>
    <m/>
    <m/>
    <m/>
    <m/>
    <m/>
    <m/>
    <m/>
    <m/>
    <x v="3"/>
    <m/>
    <m/>
    <m/>
    <m/>
    <m/>
    <m/>
    <m/>
    <m/>
    <m/>
    <m/>
    <m/>
    <m/>
    <m/>
    <m/>
    <m/>
    <m/>
    <m/>
    <m/>
    <m/>
    <m/>
    <m/>
    <m/>
    <n v="0"/>
    <n v="0"/>
    <n v="0"/>
    <n v="0"/>
    <n v="0"/>
    <n v="0"/>
    <n v="0"/>
    <n v="1"/>
    <n v="98"/>
    <n v="1"/>
    <n v="1"/>
    <n v="0"/>
    <n v="0"/>
    <n v="0"/>
    <n v="16"/>
    <n v="16"/>
    <n v="1"/>
    <n v="0"/>
    <n v="0"/>
    <n v="0"/>
    <n v="0"/>
    <n v="1"/>
    <n v="0"/>
    <n v="0"/>
    <n v="0"/>
    <n v="0"/>
    <x v="1"/>
    <s v="Village"/>
    <x v="0"/>
    <n v="0"/>
    <n v="0"/>
    <n v="0"/>
    <n v="0"/>
    <x v="0"/>
    <m/>
  </r>
  <r>
    <x v="1"/>
    <x v="9"/>
    <x v="9"/>
    <s v="GIZ"/>
    <x v="1"/>
    <x v="13"/>
    <x v="0"/>
    <x v="153"/>
    <n v="289"/>
    <n v="1331"/>
    <d v="2019-07-01T00:00:00"/>
    <d v="2020-07-31T00:00:00"/>
    <n v="100"/>
    <m/>
    <m/>
    <m/>
    <n v="1"/>
    <m/>
    <n v="4"/>
    <m/>
    <m/>
    <n v="51"/>
    <x v="3"/>
    <n v="2"/>
    <n v="10"/>
    <m/>
    <m/>
    <m/>
    <m/>
    <m/>
    <m/>
    <m/>
    <m/>
    <m/>
    <m/>
    <n v="10"/>
    <m/>
    <m/>
    <m/>
    <m/>
    <m/>
    <m/>
    <m/>
    <m/>
    <m/>
    <n v="0"/>
    <n v="0"/>
    <n v="1"/>
    <n v="1331"/>
    <n v="1"/>
    <n v="1331"/>
    <n v="5.3239999999999998"/>
    <n v="0"/>
    <n v="0"/>
    <n v="0"/>
    <n v="5"/>
    <n v="0.22990232907588279"/>
    <n v="306"/>
    <n v="100"/>
    <n v="222"/>
    <n v="171"/>
    <n v="0.77009767092411718"/>
    <n v="0"/>
    <n v="60"/>
    <n v="0"/>
    <n v="0"/>
    <n v="1"/>
    <n v="0"/>
    <n v="0"/>
    <n v="0"/>
    <n v="0"/>
    <x v="1"/>
    <s v="Village"/>
    <x v="0"/>
    <n v="0"/>
    <n v="92.981712341308594"/>
    <n v="20.772109985351602"/>
    <n v="196959"/>
    <x v="0"/>
    <m/>
  </r>
  <r>
    <x v="1"/>
    <x v="9"/>
    <x v="9"/>
    <s v="GIZ"/>
    <x v="1"/>
    <x v="13"/>
    <x v="0"/>
    <x v="152"/>
    <n v="76"/>
    <n v="365"/>
    <d v="2019-07-01T00:00:00"/>
    <d v="2020-07-31T00:00:00"/>
    <n v="400"/>
    <m/>
    <m/>
    <m/>
    <n v="1"/>
    <m/>
    <m/>
    <m/>
    <m/>
    <n v="4"/>
    <x v="3"/>
    <m/>
    <n v="2"/>
    <m/>
    <m/>
    <m/>
    <m/>
    <m/>
    <m/>
    <m/>
    <m/>
    <m/>
    <m/>
    <n v="12"/>
    <m/>
    <m/>
    <m/>
    <m/>
    <m/>
    <m/>
    <m/>
    <m/>
    <m/>
    <n v="0"/>
    <n v="0"/>
    <n v="1"/>
    <n v="365"/>
    <n v="1"/>
    <n v="365"/>
    <n v="1.46"/>
    <n v="0"/>
    <n v="0"/>
    <n v="0"/>
    <n v="1"/>
    <n v="6.575342465753424E-2"/>
    <n v="23.999999999999996"/>
    <n v="0"/>
    <n v="61"/>
    <n v="57"/>
    <n v="0.9342465753424658"/>
    <n v="0"/>
    <n v="72"/>
    <n v="0"/>
    <n v="0"/>
    <n v="1"/>
    <n v="0"/>
    <n v="0"/>
    <n v="0"/>
    <n v="0"/>
    <x v="1"/>
    <s v="Village"/>
    <x v="0"/>
    <n v="0"/>
    <n v="92.978729248046903"/>
    <n v="20.768480300903299"/>
    <n v="196960"/>
    <x v="0"/>
    <m/>
  </r>
  <r>
    <x v="1"/>
    <x v="9"/>
    <x v="9"/>
    <s v="DRA"/>
    <x v="1"/>
    <x v="13"/>
    <x v="0"/>
    <x v="157"/>
    <n v="62"/>
    <n v="142"/>
    <d v="2019-07-01T00:00:00"/>
    <d v="2020-06-30T00:00:00"/>
    <n v="30"/>
    <m/>
    <m/>
    <m/>
    <n v="1"/>
    <m/>
    <n v="2"/>
    <m/>
    <m/>
    <n v="5"/>
    <x v="3"/>
    <n v="2"/>
    <n v="1"/>
    <m/>
    <m/>
    <m/>
    <m/>
    <m/>
    <m/>
    <m/>
    <m/>
    <m/>
    <m/>
    <n v="23"/>
    <m/>
    <m/>
    <m/>
    <m/>
    <m/>
    <m/>
    <m/>
    <m/>
    <m/>
    <n v="0"/>
    <n v="0"/>
    <n v="1"/>
    <n v="142"/>
    <n v="1"/>
    <n v="142"/>
    <n v="0.56799999999999995"/>
    <n v="0"/>
    <n v="0"/>
    <n v="0.43200000000000005"/>
    <n v="1"/>
    <n v="0.21126760563380281"/>
    <n v="30"/>
    <n v="100"/>
    <n v="24"/>
    <n v="19"/>
    <n v="0.78873239436619724"/>
    <n v="0"/>
    <n v="138"/>
    <n v="0"/>
    <n v="0"/>
    <n v="1"/>
    <n v="0"/>
    <n v="0"/>
    <n v="0"/>
    <n v="0"/>
    <x v="1"/>
    <s v="Village"/>
    <x v="0"/>
    <n v="0"/>
    <n v="20.7489204406738"/>
    <n v="92.958816528320298"/>
    <n v="196894"/>
    <x v="0"/>
    <m/>
  </r>
  <r>
    <x v="1"/>
    <x v="9"/>
    <x v="9"/>
    <s v="DRA"/>
    <x v="1"/>
    <x v="13"/>
    <x v="0"/>
    <x v="156"/>
    <n v="140"/>
    <n v="740"/>
    <d v="2019-07-01T00:00:00"/>
    <d v="2020-06-30T00:00:00"/>
    <n v="103"/>
    <m/>
    <m/>
    <m/>
    <n v="1"/>
    <m/>
    <n v="3"/>
    <n v="1"/>
    <m/>
    <n v="30"/>
    <x v="3"/>
    <n v="4"/>
    <n v="1"/>
    <m/>
    <m/>
    <m/>
    <m/>
    <m/>
    <m/>
    <m/>
    <m/>
    <m/>
    <m/>
    <n v="25"/>
    <m/>
    <m/>
    <m/>
    <m/>
    <m/>
    <m/>
    <m/>
    <m/>
    <m/>
    <n v="0.33783783783783783"/>
    <n v="250"/>
    <n v="1"/>
    <n v="740"/>
    <n v="1"/>
    <n v="740"/>
    <n v="2.96"/>
    <n v="0"/>
    <n v="0"/>
    <n v="4.0000000000000036E-2"/>
    <n v="3"/>
    <n v="0.24324324324324326"/>
    <n v="180"/>
    <n v="200"/>
    <n v="123"/>
    <n v="93"/>
    <n v="0.7567567567567568"/>
    <n v="0"/>
    <n v="150"/>
    <n v="0"/>
    <n v="0"/>
    <n v="1"/>
    <n v="0"/>
    <n v="0"/>
    <n v="0"/>
    <n v="0"/>
    <x v="1"/>
    <s v="Village"/>
    <x v="0"/>
    <n v="0"/>
    <n v="0"/>
    <n v="0"/>
    <n v="0"/>
    <x v="0"/>
    <m/>
  </r>
  <r>
    <x v="1"/>
    <x v="9"/>
    <x v="9"/>
    <s v="GIZ"/>
    <x v="1"/>
    <x v="13"/>
    <x v="0"/>
    <x v="154"/>
    <n v="219"/>
    <n v="959"/>
    <d v="2019-07-01T00:00:00"/>
    <d v="2020-07-31T00:00:00"/>
    <n v="158"/>
    <m/>
    <m/>
    <m/>
    <n v="2"/>
    <m/>
    <n v="3"/>
    <m/>
    <m/>
    <n v="50"/>
    <x v="3"/>
    <n v="2"/>
    <n v="1"/>
    <m/>
    <m/>
    <m/>
    <m/>
    <m/>
    <m/>
    <m/>
    <m/>
    <m/>
    <m/>
    <n v="12"/>
    <m/>
    <m/>
    <m/>
    <m/>
    <m/>
    <m/>
    <m/>
    <m/>
    <m/>
    <n v="0"/>
    <n v="0"/>
    <n v="1"/>
    <n v="959"/>
    <n v="1"/>
    <n v="959"/>
    <n v="3.8359999999999999"/>
    <n v="0"/>
    <n v="0"/>
    <n v="0.16400000000000015"/>
    <n v="4"/>
    <n v="0.31282586027111575"/>
    <n v="300"/>
    <n v="100"/>
    <n v="160"/>
    <n v="110"/>
    <n v="0.68717413972888419"/>
    <n v="0"/>
    <n v="72"/>
    <n v="0"/>
    <n v="0"/>
    <n v="1"/>
    <n v="0"/>
    <n v="0"/>
    <n v="0"/>
    <n v="0"/>
    <x v="1"/>
    <s v="Village"/>
    <x v="0"/>
    <n v="0"/>
    <n v="92.985267639160199"/>
    <n v="20.7800903320313"/>
    <n v="196963"/>
    <x v="0"/>
    <m/>
  </r>
  <r>
    <x v="1"/>
    <x v="9"/>
    <x v="9"/>
    <s v="DRA"/>
    <x v="1"/>
    <x v="13"/>
    <x v="0"/>
    <x v="158"/>
    <n v="103"/>
    <n v="449"/>
    <d v="2019-07-01T00:00:00"/>
    <d v="2020-06-30T00:00:00"/>
    <n v="53"/>
    <m/>
    <m/>
    <n v="8"/>
    <n v="1"/>
    <m/>
    <n v="4"/>
    <m/>
    <m/>
    <n v="96"/>
    <x v="3"/>
    <n v="2"/>
    <n v="6"/>
    <m/>
    <m/>
    <m/>
    <m/>
    <m/>
    <m/>
    <m/>
    <m/>
    <m/>
    <m/>
    <n v="25"/>
    <m/>
    <m/>
    <m/>
    <m/>
    <m/>
    <m/>
    <m/>
    <m/>
    <m/>
    <n v="1"/>
    <n v="449"/>
    <n v="1"/>
    <n v="449"/>
    <n v="1"/>
    <n v="449"/>
    <n v="1.796"/>
    <n v="0"/>
    <n v="0"/>
    <n v="0.20399999999999996"/>
    <n v="2"/>
    <n v="1"/>
    <n v="449"/>
    <n v="100"/>
    <n v="75"/>
    <n v="0"/>
    <n v="0"/>
    <n v="0"/>
    <n v="150"/>
    <n v="0"/>
    <n v="0"/>
    <n v="1"/>
    <n v="0"/>
    <n v="0"/>
    <n v="0"/>
    <n v="0"/>
    <x v="1"/>
    <s v="Village"/>
    <x v="0"/>
    <s v="Mro"/>
    <n v="20.720500950000002"/>
    <n v="92.937339780000002"/>
    <n v="196950"/>
    <x v="0"/>
    <m/>
  </r>
  <r>
    <x v="1"/>
    <x v="9"/>
    <x v="9"/>
    <s v="DRA"/>
    <x v="1"/>
    <x v="13"/>
    <x v="0"/>
    <x v="155"/>
    <n v="158"/>
    <n v="456"/>
    <d v="2019-07-01T00:00:00"/>
    <d v="2020-06-30T00:00:00"/>
    <n v="101"/>
    <m/>
    <m/>
    <m/>
    <n v="3"/>
    <m/>
    <n v="1"/>
    <n v="1"/>
    <m/>
    <n v="250"/>
    <x v="3"/>
    <n v="1"/>
    <m/>
    <m/>
    <n v="1"/>
    <m/>
    <m/>
    <m/>
    <m/>
    <m/>
    <m/>
    <m/>
    <m/>
    <n v="25"/>
    <m/>
    <m/>
    <m/>
    <m/>
    <m/>
    <m/>
    <m/>
    <m/>
    <m/>
    <n v="0.54824561403508776"/>
    <n v="250.00000000000003"/>
    <n v="1"/>
    <n v="456"/>
    <n v="1"/>
    <n v="456"/>
    <n v="1.8240000000000001"/>
    <n v="0"/>
    <n v="0"/>
    <n v="0.17599999999999993"/>
    <n v="2"/>
    <n v="1"/>
    <n v="456"/>
    <n v="50"/>
    <n v="76"/>
    <n v="0"/>
    <n v="0"/>
    <n v="0"/>
    <n v="150"/>
    <n v="0"/>
    <n v="0"/>
    <n v="1"/>
    <n v="0"/>
    <n v="0"/>
    <n v="0"/>
    <n v="0"/>
    <x v="1"/>
    <s v="Village"/>
    <x v="0"/>
    <n v="0"/>
    <n v="0"/>
    <n v="0"/>
    <n v="196948"/>
    <x v="0"/>
    <m/>
  </r>
  <r>
    <x v="1"/>
    <x v="9"/>
    <x v="9"/>
    <s v="GIZ"/>
    <x v="1"/>
    <x v="13"/>
    <x v="0"/>
    <x v="151"/>
    <n v="34"/>
    <n v="198"/>
    <d v="2019-07-01T00:00:00"/>
    <d v="2020-07-31T00:00:00"/>
    <n v="205"/>
    <m/>
    <m/>
    <m/>
    <n v="2"/>
    <m/>
    <n v="2"/>
    <m/>
    <m/>
    <n v="4"/>
    <x v="3"/>
    <n v="1"/>
    <m/>
    <m/>
    <m/>
    <m/>
    <m/>
    <m/>
    <m/>
    <m/>
    <m/>
    <m/>
    <m/>
    <n v="12"/>
    <m/>
    <m/>
    <m/>
    <m/>
    <m/>
    <m/>
    <m/>
    <m/>
    <m/>
    <n v="0"/>
    <n v="0"/>
    <n v="1"/>
    <n v="198"/>
    <n v="1"/>
    <n v="198"/>
    <n v="0.79200000000000004"/>
    <n v="0"/>
    <n v="0"/>
    <n v="0.20799999999999996"/>
    <n v="1"/>
    <n v="0.12121212121212122"/>
    <n v="24"/>
    <n v="50"/>
    <n v="33"/>
    <n v="29"/>
    <n v="0.87878787878787878"/>
    <n v="0"/>
    <n v="72"/>
    <n v="0"/>
    <n v="0"/>
    <n v="1"/>
    <n v="0"/>
    <n v="0"/>
    <n v="0"/>
    <n v="0"/>
    <x v="1"/>
    <s v="Village"/>
    <x v="0"/>
    <n v="0"/>
    <n v="92.928596496582003"/>
    <n v="20.649574279785199"/>
    <n v="196920"/>
    <x v="0"/>
    <m/>
  </r>
  <r>
    <x v="1"/>
    <x v="9"/>
    <x v="9"/>
    <s v="GIZ"/>
    <x v="1"/>
    <x v="10"/>
    <x v="0"/>
    <x v="160"/>
    <n v="389"/>
    <n v="1790"/>
    <d v="2019-08-01T00:00:00"/>
    <d v="2020-07-31T00:00:00"/>
    <n v="350"/>
    <m/>
    <m/>
    <n v="230"/>
    <n v="0"/>
    <m/>
    <m/>
    <n v="0"/>
    <m/>
    <n v="80"/>
    <x v="2"/>
    <n v="0"/>
    <n v="20"/>
    <m/>
    <m/>
    <m/>
    <m/>
    <m/>
    <m/>
    <m/>
    <m/>
    <m/>
    <m/>
    <n v="45"/>
    <m/>
    <m/>
    <m/>
    <m/>
    <m/>
    <m/>
    <m/>
    <m/>
    <m/>
    <n v="1"/>
    <n v="1790"/>
    <n v="0"/>
    <n v="0"/>
    <n v="1"/>
    <n v="1790"/>
    <n v="7.16"/>
    <n v="0"/>
    <n v="0"/>
    <n v="0"/>
    <n v="7"/>
    <n v="0.26815642458100558"/>
    <n v="480"/>
    <n v="0"/>
    <n v="298"/>
    <n v="218"/>
    <n v="0.73184357541899447"/>
    <n v="0"/>
    <n v="270"/>
    <n v="0"/>
    <n v="0"/>
    <n v="1"/>
    <n v="0"/>
    <n v="0"/>
    <n v="0"/>
    <n v="0"/>
    <x v="1"/>
    <s v="Village"/>
    <x v="0"/>
    <s v="Muslim"/>
    <n v="20.235199999999999"/>
    <n v="92.805000000000007"/>
    <n v="196143"/>
    <x v="0"/>
    <m/>
  </r>
  <r>
    <x v="1"/>
    <x v="9"/>
    <x v="9"/>
    <s v="GIZ"/>
    <x v="1"/>
    <x v="10"/>
    <x v="0"/>
    <x v="161"/>
    <n v="410"/>
    <n v="2100"/>
    <d v="2019-08-01T00:00:00"/>
    <d v="2020-07-31T00:00:00"/>
    <n v="200"/>
    <m/>
    <n v="11"/>
    <n v="52"/>
    <m/>
    <m/>
    <m/>
    <n v="1"/>
    <m/>
    <n v="280"/>
    <x v="2"/>
    <n v="5"/>
    <n v="9"/>
    <m/>
    <m/>
    <m/>
    <m/>
    <m/>
    <m/>
    <m/>
    <m/>
    <m/>
    <m/>
    <n v="50"/>
    <m/>
    <m/>
    <m/>
    <m/>
    <m/>
    <m/>
    <m/>
    <m/>
    <m/>
    <n v="1"/>
    <n v="2100"/>
    <n v="0"/>
    <n v="0"/>
    <n v="1"/>
    <n v="2100"/>
    <n v="8.4"/>
    <n v="0"/>
    <n v="0"/>
    <n v="0"/>
    <n v="8"/>
    <n v="0.8"/>
    <n v="1680"/>
    <n v="250"/>
    <n v="350"/>
    <n v="70"/>
    <n v="0.19999999999999996"/>
    <n v="0"/>
    <n v="300"/>
    <n v="0"/>
    <n v="0"/>
    <n v="1"/>
    <n v="0"/>
    <n v="0"/>
    <n v="0"/>
    <n v="0"/>
    <x v="1"/>
    <s v="Village"/>
    <x v="0"/>
    <n v="0"/>
    <n v="20.2351894378662"/>
    <n v="92.790191650390597"/>
    <n v="196138"/>
    <x v="0"/>
    <m/>
  </r>
  <r>
    <x v="1"/>
    <x v="9"/>
    <x v="9"/>
    <s v="GIZ"/>
    <x v="1"/>
    <x v="10"/>
    <x v="0"/>
    <x v="162"/>
    <n v="187"/>
    <n v="913"/>
    <d v="2019-08-01T00:00:00"/>
    <d v="2020-07-31T00:00:00"/>
    <n v="110"/>
    <m/>
    <n v="7"/>
    <n v="10"/>
    <n v="0"/>
    <m/>
    <m/>
    <m/>
    <m/>
    <n v="12"/>
    <x v="2"/>
    <n v="0"/>
    <n v="14"/>
    <m/>
    <m/>
    <m/>
    <m/>
    <m/>
    <m/>
    <m/>
    <m/>
    <m/>
    <m/>
    <n v="50"/>
    <m/>
    <m/>
    <m/>
    <m/>
    <m/>
    <m/>
    <m/>
    <m/>
    <m/>
    <n v="1"/>
    <n v="913"/>
    <n v="0"/>
    <n v="0"/>
    <n v="1"/>
    <n v="913"/>
    <n v="3.6520000000000001"/>
    <n v="0"/>
    <n v="0"/>
    <n v="0.34799999999999986"/>
    <n v="4"/>
    <n v="7.8860898138006577E-2"/>
    <n v="72"/>
    <n v="0"/>
    <n v="152"/>
    <n v="140"/>
    <n v="0.92113910186199344"/>
    <n v="0"/>
    <n v="300"/>
    <n v="0"/>
    <n v="0"/>
    <n v="1"/>
    <n v="0"/>
    <n v="0"/>
    <n v="0"/>
    <n v="0"/>
    <x v="1"/>
    <s v="Village"/>
    <x v="0"/>
    <n v="0"/>
    <n v="0"/>
    <n v="0"/>
    <n v="0"/>
    <x v="0"/>
    <m/>
  </r>
  <r>
    <x v="1"/>
    <x v="9"/>
    <x v="9"/>
    <s v="GIZ"/>
    <x v="1"/>
    <x v="10"/>
    <x v="0"/>
    <x v="163"/>
    <n v="164"/>
    <n v="1172"/>
    <d v="2019-08-01T00:00:00"/>
    <d v="2020-07-31T00:00:00"/>
    <n v="50"/>
    <m/>
    <n v="2"/>
    <n v="70"/>
    <n v="0"/>
    <m/>
    <n v="0"/>
    <n v="0"/>
    <m/>
    <n v="20"/>
    <x v="2"/>
    <m/>
    <n v="10"/>
    <m/>
    <m/>
    <m/>
    <m/>
    <m/>
    <m/>
    <m/>
    <m/>
    <m/>
    <m/>
    <n v="50"/>
    <m/>
    <m/>
    <m/>
    <m/>
    <m/>
    <m/>
    <m/>
    <m/>
    <m/>
    <n v="1"/>
    <n v="1172"/>
    <n v="0"/>
    <n v="0"/>
    <n v="1"/>
    <n v="1172"/>
    <n v="4.6879999999999997"/>
    <n v="0"/>
    <n v="0"/>
    <n v="0.31200000000000028"/>
    <n v="5"/>
    <n v="0.10238907849829351"/>
    <n v="120"/>
    <n v="0"/>
    <n v="195"/>
    <n v="175"/>
    <n v="0.89761092150170652"/>
    <n v="0"/>
    <n v="300"/>
    <n v="0"/>
    <n v="0"/>
    <n v="1"/>
    <n v="0"/>
    <n v="0"/>
    <n v="0"/>
    <n v="0"/>
    <x v="1"/>
    <s v="Village"/>
    <x v="0"/>
    <n v="0"/>
    <n v="0"/>
    <n v="0"/>
    <n v="0"/>
    <x v="0"/>
    <m/>
  </r>
  <r>
    <x v="1"/>
    <x v="9"/>
    <x v="9"/>
    <s v="GIZ"/>
    <x v="1"/>
    <x v="10"/>
    <x v="0"/>
    <x v="164"/>
    <n v="126"/>
    <n v="636"/>
    <d v="2019-08-01T00:00:00"/>
    <d v="2020-07-31T00:00:00"/>
    <n v="136"/>
    <m/>
    <m/>
    <n v="23"/>
    <n v="0"/>
    <m/>
    <m/>
    <m/>
    <m/>
    <n v="57"/>
    <x v="2"/>
    <n v="0"/>
    <n v="15"/>
    <m/>
    <m/>
    <m/>
    <m/>
    <m/>
    <m/>
    <m/>
    <m/>
    <m/>
    <m/>
    <n v="48"/>
    <m/>
    <m/>
    <m/>
    <m/>
    <m/>
    <m/>
    <m/>
    <m/>
    <m/>
    <n v="1"/>
    <n v="636"/>
    <n v="0"/>
    <n v="0"/>
    <n v="1"/>
    <n v="636"/>
    <n v="2.544"/>
    <n v="0"/>
    <n v="0"/>
    <n v="0.45599999999999996"/>
    <n v="3"/>
    <n v="0.53773584905660377"/>
    <n v="342"/>
    <n v="0"/>
    <n v="106"/>
    <n v="49"/>
    <n v="0.46226415094339623"/>
    <n v="0"/>
    <n v="288"/>
    <n v="0"/>
    <n v="0"/>
    <n v="1"/>
    <n v="0"/>
    <n v="0"/>
    <n v="0"/>
    <n v="0"/>
    <x v="1"/>
    <s v="Village"/>
    <x v="0"/>
    <n v="0"/>
    <n v="0"/>
    <n v="0"/>
    <n v="0"/>
    <x v="0"/>
    <m/>
  </r>
  <r>
    <x v="1"/>
    <x v="9"/>
    <x v="9"/>
    <s v="GIZ"/>
    <x v="1"/>
    <x v="10"/>
    <x v="0"/>
    <x v="165"/>
    <n v="240"/>
    <n v="1150"/>
    <d v="2019-08-01T00:00:00"/>
    <d v="2020-07-31T00:00:00"/>
    <n v="320"/>
    <m/>
    <n v="10"/>
    <n v="40"/>
    <n v="0"/>
    <m/>
    <n v="0"/>
    <n v="0"/>
    <m/>
    <n v="100"/>
    <x v="2"/>
    <n v="6"/>
    <n v="15"/>
    <m/>
    <m/>
    <m/>
    <m/>
    <m/>
    <m/>
    <m/>
    <m/>
    <m/>
    <m/>
    <n v="46"/>
    <m/>
    <m/>
    <m/>
    <m/>
    <m/>
    <m/>
    <m/>
    <m/>
    <m/>
    <n v="1"/>
    <n v="1150"/>
    <n v="0"/>
    <n v="0"/>
    <n v="1"/>
    <n v="1150"/>
    <n v="4.5999999999999996"/>
    <n v="0"/>
    <n v="0"/>
    <n v="0.40000000000000036"/>
    <n v="5"/>
    <n v="0.52173913043478259"/>
    <n v="600"/>
    <n v="300"/>
    <n v="192"/>
    <n v="92"/>
    <n v="0.47826086956521741"/>
    <n v="0"/>
    <n v="276"/>
    <n v="0"/>
    <n v="0"/>
    <n v="1"/>
    <n v="0"/>
    <n v="0"/>
    <n v="0"/>
    <n v="0"/>
    <x v="1"/>
    <s v="Village"/>
    <x v="0"/>
    <s v="Muslim"/>
    <n v="20.212700000000002"/>
    <n v="92.820800000000006"/>
    <n v="196144"/>
    <x v="0"/>
    <m/>
  </r>
  <r>
    <x v="1"/>
    <x v="9"/>
    <x v="9"/>
    <s v="GIZ"/>
    <x v="1"/>
    <x v="10"/>
    <x v="0"/>
    <x v="166"/>
    <n v="430"/>
    <n v="1530"/>
    <d v="2019-08-01T00:00:00"/>
    <d v="2020-07-31T00:00:00"/>
    <n v="480"/>
    <m/>
    <n v="30"/>
    <n v="124"/>
    <n v="0"/>
    <m/>
    <m/>
    <n v="1"/>
    <m/>
    <n v="130"/>
    <x v="2"/>
    <n v="6"/>
    <n v="2"/>
    <m/>
    <m/>
    <m/>
    <m/>
    <m/>
    <m/>
    <m/>
    <m/>
    <m/>
    <m/>
    <n v="42"/>
    <m/>
    <m/>
    <m/>
    <m/>
    <m/>
    <m/>
    <m/>
    <m/>
    <m/>
    <n v="1"/>
    <n v="1530"/>
    <n v="0"/>
    <n v="0"/>
    <n v="1"/>
    <n v="1530"/>
    <n v="6.12"/>
    <n v="0"/>
    <n v="0"/>
    <n v="0"/>
    <n v="6"/>
    <n v="0.50980392156862742"/>
    <n v="780"/>
    <n v="300"/>
    <n v="255"/>
    <n v="125"/>
    <n v="0.49019607843137258"/>
    <n v="0"/>
    <n v="252"/>
    <n v="0"/>
    <n v="0"/>
    <n v="1"/>
    <n v="0"/>
    <n v="0"/>
    <n v="0"/>
    <n v="0"/>
    <x v="1"/>
    <s v="Village"/>
    <x v="0"/>
    <s v="Muslim"/>
    <n v="20.219509120000001"/>
    <n v="92.811332699999994"/>
    <n v="196145"/>
    <x v="0"/>
    <m/>
  </r>
  <r>
    <x v="1"/>
    <x v="9"/>
    <x v="9"/>
    <s v="GIZ"/>
    <x v="1"/>
    <x v="10"/>
    <x v="0"/>
    <x v="167"/>
    <n v="150"/>
    <n v="590"/>
    <d v="2019-08-01T00:00:00"/>
    <d v="2020-07-31T00:00:00"/>
    <n v="112"/>
    <m/>
    <n v="4"/>
    <n v="28"/>
    <n v="0"/>
    <m/>
    <n v="0"/>
    <n v="1"/>
    <m/>
    <n v="83"/>
    <x v="2"/>
    <n v="2"/>
    <n v="0"/>
    <m/>
    <m/>
    <m/>
    <m/>
    <m/>
    <m/>
    <m/>
    <m/>
    <m/>
    <m/>
    <n v="43"/>
    <m/>
    <m/>
    <m/>
    <m/>
    <m/>
    <m/>
    <m/>
    <m/>
    <m/>
    <n v="1"/>
    <n v="590"/>
    <n v="0"/>
    <n v="0"/>
    <n v="1"/>
    <n v="590"/>
    <n v="2.36"/>
    <n v="0"/>
    <n v="0"/>
    <n v="0"/>
    <n v="2"/>
    <n v="0.84406779661016951"/>
    <n v="498"/>
    <n v="100"/>
    <n v="98"/>
    <n v="15"/>
    <n v="0.15593220338983049"/>
    <n v="0"/>
    <n v="258"/>
    <n v="0"/>
    <n v="0"/>
    <n v="1"/>
    <n v="0"/>
    <n v="0"/>
    <n v="0"/>
    <n v="0"/>
    <x v="1"/>
    <s v="Village"/>
    <x v="0"/>
    <s v="Rakhine"/>
    <n v="20.2199096679688"/>
    <n v="92.7716064453125"/>
    <n v="196141"/>
    <x v="0"/>
    <m/>
  </r>
  <r>
    <x v="1"/>
    <x v="9"/>
    <x v="9"/>
    <s v="GIZ"/>
    <x v="1"/>
    <x v="10"/>
    <x v="0"/>
    <x v="168"/>
    <n v="289"/>
    <n v="3400"/>
    <d v="2019-08-01T00:00:00"/>
    <d v="2020-07-31T00:00:00"/>
    <n v="287"/>
    <m/>
    <n v="0"/>
    <n v="200"/>
    <n v="0"/>
    <m/>
    <n v="0"/>
    <n v="0"/>
    <m/>
    <n v="50"/>
    <x v="2"/>
    <n v="3"/>
    <n v="6"/>
    <m/>
    <m/>
    <m/>
    <m/>
    <m/>
    <m/>
    <m/>
    <m/>
    <m/>
    <m/>
    <n v="44"/>
    <m/>
    <m/>
    <m/>
    <m/>
    <m/>
    <m/>
    <m/>
    <m/>
    <m/>
    <n v="1"/>
    <n v="3400"/>
    <n v="0"/>
    <n v="0"/>
    <n v="1"/>
    <n v="3400"/>
    <n v="13.6"/>
    <n v="0"/>
    <n v="0"/>
    <n v="0.40000000000000036"/>
    <n v="14"/>
    <n v="8.8235294117647065E-2"/>
    <n v="300"/>
    <n v="150"/>
    <n v="567"/>
    <n v="517"/>
    <n v="0.91176470588235292"/>
    <n v="0"/>
    <n v="264"/>
    <n v="0"/>
    <n v="0"/>
    <n v="1"/>
    <n v="0"/>
    <n v="0"/>
    <n v="0"/>
    <n v="0"/>
    <x v="1"/>
    <s v="Village"/>
    <x v="0"/>
    <s v="Muslim"/>
    <n v="20.208799362182599"/>
    <n v="92.794113159179702"/>
    <n v="196142"/>
    <x v="0"/>
    <m/>
  </r>
  <r>
    <x v="1"/>
    <x v="1"/>
    <x v="1"/>
    <s v="BMZ"/>
    <x v="1"/>
    <x v="8"/>
    <x v="0"/>
    <x v="169"/>
    <n v="106"/>
    <n v="469"/>
    <d v="2018-09-16T00:00:00"/>
    <d v="2020-12-31T00:00:00"/>
    <n v="189"/>
    <m/>
    <m/>
    <m/>
    <n v="0"/>
    <m/>
    <n v="469"/>
    <n v="1"/>
    <m/>
    <n v="30"/>
    <x v="1"/>
    <n v="14"/>
    <n v="9"/>
    <m/>
    <m/>
    <m/>
    <m/>
    <m/>
    <m/>
    <m/>
    <m/>
    <m/>
    <m/>
    <m/>
    <m/>
    <m/>
    <m/>
    <m/>
    <m/>
    <m/>
    <m/>
    <m/>
    <m/>
    <n v="0.53304904051172708"/>
    <n v="250"/>
    <n v="1"/>
    <n v="469"/>
    <n v="1"/>
    <n v="469"/>
    <n v="1.8759999999999999"/>
    <n v="0"/>
    <n v="0"/>
    <n v="0.12400000000000011"/>
    <n v="2"/>
    <n v="0.38379530916844351"/>
    <n v="180"/>
    <n v="700"/>
    <n v="78"/>
    <n v="48"/>
    <n v="0.61620469083155649"/>
    <n v="0"/>
    <n v="0"/>
    <n v="0"/>
    <n v="0"/>
    <n v="1"/>
    <n v="0"/>
    <n v="0"/>
    <n v="0"/>
    <n v="0"/>
    <x v="1"/>
    <s v="Village"/>
    <x v="0"/>
    <n v="0"/>
    <n v="92.994781494140597"/>
    <n v="19.9693508148193"/>
    <n v="197541"/>
    <x v="0"/>
    <m/>
  </r>
  <r>
    <x v="1"/>
    <x v="1"/>
    <x v="1"/>
    <s v="BMZ"/>
    <x v="1"/>
    <x v="8"/>
    <x v="0"/>
    <x v="170"/>
    <n v="37"/>
    <n v="207"/>
    <d v="2018-09-16T00:00:00"/>
    <d v="2020-12-31T00:00:00"/>
    <n v="33"/>
    <m/>
    <m/>
    <m/>
    <n v="1"/>
    <m/>
    <n v="207"/>
    <n v="0"/>
    <m/>
    <n v="0"/>
    <x v="1"/>
    <n v="2"/>
    <n v="3"/>
    <m/>
    <m/>
    <m/>
    <m/>
    <m/>
    <m/>
    <m/>
    <m/>
    <m/>
    <m/>
    <m/>
    <m/>
    <m/>
    <m/>
    <m/>
    <m/>
    <m/>
    <m/>
    <m/>
    <m/>
    <n v="0"/>
    <n v="0"/>
    <n v="1"/>
    <n v="207"/>
    <n v="1"/>
    <n v="207"/>
    <n v="0.82799999999999996"/>
    <n v="0"/>
    <n v="0"/>
    <n v="0.17200000000000004"/>
    <n v="1"/>
    <n v="0"/>
    <n v="0"/>
    <n v="100"/>
    <n v="35"/>
    <n v="35"/>
    <n v="1"/>
    <n v="0"/>
    <n v="0"/>
    <n v="0"/>
    <n v="0"/>
    <n v="1"/>
    <n v="0"/>
    <n v="0"/>
    <n v="0"/>
    <n v="0"/>
    <x v="1"/>
    <s v="Village"/>
    <x v="0"/>
    <n v="0"/>
    <n v="93.005447387695298"/>
    <n v="19.914190292358398"/>
    <n v="197567"/>
    <x v="0"/>
    <m/>
  </r>
  <r>
    <x v="1"/>
    <x v="1"/>
    <x v="1"/>
    <s v="BMZ"/>
    <x v="1"/>
    <x v="8"/>
    <x v="0"/>
    <x v="171"/>
    <n v="486"/>
    <n v="2042"/>
    <d v="2018-09-16T00:00:00"/>
    <d v="2020-12-31T00:00:00"/>
    <n v="531"/>
    <m/>
    <m/>
    <m/>
    <n v="5"/>
    <m/>
    <n v="2042"/>
    <n v="1"/>
    <m/>
    <n v="30"/>
    <x v="1"/>
    <n v="10"/>
    <n v="21"/>
    <m/>
    <m/>
    <m/>
    <m/>
    <m/>
    <m/>
    <m/>
    <m/>
    <m/>
    <m/>
    <m/>
    <m/>
    <m/>
    <m/>
    <m/>
    <m/>
    <m/>
    <m/>
    <m/>
    <m/>
    <n v="0.12242899118511263"/>
    <n v="250"/>
    <n v="1"/>
    <n v="2042"/>
    <n v="1"/>
    <n v="2042"/>
    <n v="8.1679999999999993"/>
    <n v="0"/>
    <n v="0"/>
    <n v="0"/>
    <n v="8"/>
    <n v="8.8148873653281098E-2"/>
    <n v="180"/>
    <n v="500"/>
    <n v="340"/>
    <n v="310"/>
    <n v="0.91185112634671894"/>
    <n v="0"/>
    <n v="0"/>
    <n v="0"/>
    <n v="0"/>
    <n v="1"/>
    <n v="0"/>
    <n v="0"/>
    <n v="0"/>
    <n v="0"/>
    <x v="1"/>
    <s v="Village"/>
    <x v="0"/>
    <s v="Muslim"/>
    <n v="20.663370130000001"/>
    <n v="92.613876340000004"/>
    <n v="198449"/>
    <x v="0"/>
    <m/>
  </r>
  <r>
    <x v="1"/>
    <x v="1"/>
    <x v="1"/>
    <s v="BMZ"/>
    <x v="1"/>
    <x v="8"/>
    <x v="0"/>
    <x v="172"/>
    <n v="340"/>
    <n v="1408"/>
    <d v="2018-09-16T00:00:00"/>
    <d v="2020-12-31T00:00:00"/>
    <n v="223"/>
    <m/>
    <m/>
    <m/>
    <n v="0"/>
    <m/>
    <n v="1408"/>
    <n v="0"/>
    <m/>
    <n v="30"/>
    <x v="2"/>
    <n v="1"/>
    <n v="8"/>
    <m/>
    <m/>
    <m/>
    <m/>
    <m/>
    <m/>
    <m/>
    <m/>
    <m/>
    <m/>
    <m/>
    <m/>
    <m/>
    <m/>
    <m/>
    <m/>
    <m/>
    <m/>
    <m/>
    <m/>
    <n v="0"/>
    <n v="0"/>
    <n v="1"/>
    <n v="1408"/>
    <n v="1"/>
    <n v="1408"/>
    <n v="5.6319999999999997"/>
    <n v="0"/>
    <n v="0"/>
    <n v="0.36800000000000033"/>
    <n v="6"/>
    <n v="0.12784090909090909"/>
    <n v="180"/>
    <n v="50"/>
    <n v="235"/>
    <n v="205"/>
    <n v="0.87215909090909094"/>
    <n v="0"/>
    <n v="0"/>
    <n v="0"/>
    <n v="0"/>
    <n v="1"/>
    <n v="0"/>
    <n v="0"/>
    <n v="0"/>
    <n v="0"/>
    <x v="1"/>
    <s v="Village"/>
    <x v="0"/>
    <n v="0"/>
    <n v="92.925521850585895"/>
    <n v="20.091190338134801"/>
    <n v="217989"/>
    <x v="0"/>
    <m/>
  </r>
  <r>
    <x v="1"/>
    <x v="1"/>
    <x v="1"/>
    <s v="BMZ"/>
    <x v="1"/>
    <x v="8"/>
    <x v="0"/>
    <x v="173"/>
    <n v="72"/>
    <n v="308"/>
    <d v="2018-09-16T00:00:00"/>
    <d v="2020-12-31T00:00:00"/>
    <n v="65"/>
    <m/>
    <m/>
    <m/>
    <n v="1"/>
    <m/>
    <n v="308"/>
    <n v="0"/>
    <m/>
    <n v="3"/>
    <x v="2"/>
    <n v="0"/>
    <n v="3"/>
    <m/>
    <m/>
    <m/>
    <m/>
    <m/>
    <m/>
    <m/>
    <m/>
    <m/>
    <m/>
    <m/>
    <m/>
    <m/>
    <m/>
    <m/>
    <m/>
    <m/>
    <m/>
    <m/>
    <m/>
    <n v="0"/>
    <n v="0"/>
    <n v="1"/>
    <n v="308"/>
    <n v="1"/>
    <n v="308"/>
    <n v="1.232"/>
    <n v="0"/>
    <n v="0"/>
    <n v="0"/>
    <n v="1"/>
    <n v="5.844155844155844E-2"/>
    <n v="18"/>
    <n v="0"/>
    <n v="51"/>
    <n v="48"/>
    <n v="0.94155844155844159"/>
    <n v="0"/>
    <n v="0"/>
    <n v="0"/>
    <n v="0"/>
    <n v="1"/>
    <n v="0"/>
    <n v="0"/>
    <n v="0"/>
    <n v="0"/>
    <x v="1"/>
    <s v="Village"/>
    <x v="0"/>
    <n v="0"/>
    <n v="20.06903076"/>
    <n v="92.930137630000004"/>
    <n v="197562"/>
    <x v="0"/>
    <m/>
  </r>
  <r>
    <x v="1"/>
    <x v="12"/>
    <x v="13"/>
    <s v="HQ"/>
    <x v="1"/>
    <x v="10"/>
    <x v="0"/>
    <x v="141"/>
    <n v="342"/>
    <n v="1980"/>
    <d v="2020-04-01T00:00:00"/>
    <d v="2020-08-30T00:00:00"/>
    <m/>
    <m/>
    <m/>
    <m/>
    <m/>
    <m/>
    <m/>
    <m/>
    <m/>
    <m/>
    <x v="3"/>
    <m/>
    <n v="18"/>
    <n v="18"/>
    <m/>
    <m/>
    <m/>
    <n v="426"/>
    <n v="371"/>
    <n v="548"/>
    <n v="535"/>
    <n v="548"/>
    <n v="535"/>
    <m/>
    <m/>
    <n v="1980"/>
    <m/>
    <m/>
    <n v="0.2"/>
    <n v="0.01"/>
    <m/>
    <m/>
    <m/>
    <n v="0"/>
    <n v="0"/>
    <n v="0"/>
    <n v="0"/>
    <n v="0"/>
    <n v="0"/>
    <n v="0"/>
    <n v="1"/>
    <n v="1980"/>
    <n v="8"/>
    <n v="8"/>
    <n v="9.0909090909090905E-3"/>
    <n v="18"/>
    <n v="0"/>
    <n v="330"/>
    <n v="330"/>
    <n v="0.99090909090909096"/>
    <n v="1980"/>
    <n v="0"/>
    <n v="1980"/>
    <n v="1"/>
    <n v="0"/>
    <n v="1"/>
    <n v="1980"/>
    <n v="0"/>
    <n v="1980"/>
    <x v="0"/>
    <s v="Village"/>
    <x v="0"/>
    <n v="0"/>
    <n v="20.183790210000002"/>
    <n v="92.864143369999994"/>
    <n v="196197"/>
    <x v="0"/>
    <m/>
  </r>
  <r>
    <x v="1"/>
    <x v="12"/>
    <x v="13"/>
    <s v="HARP-F"/>
    <x v="1"/>
    <x v="10"/>
    <x v="0"/>
    <x v="236"/>
    <n v="203"/>
    <n v="937"/>
    <d v="2020-05-01T00:00:00"/>
    <d v="2020-08-30T00:00:00"/>
    <m/>
    <m/>
    <m/>
    <m/>
    <m/>
    <m/>
    <m/>
    <m/>
    <m/>
    <m/>
    <x v="3"/>
    <m/>
    <n v="4"/>
    <n v="4"/>
    <m/>
    <m/>
    <m/>
    <n v="282"/>
    <n v="377"/>
    <n v="134"/>
    <n v="144"/>
    <n v="134"/>
    <n v="144"/>
    <m/>
    <m/>
    <n v="203"/>
    <m/>
    <m/>
    <m/>
    <m/>
    <m/>
    <m/>
    <m/>
    <n v="0"/>
    <n v="0"/>
    <n v="0"/>
    <n v="0"/>
    <n v="0"/>
    <n v="0"/>
    <n v="0"/>
    <n v="1"/>
    <n v="937"/>
    <n v="4"/>
    <n v="4"/>
    <n v="4.2689434364994666E-3"/>
    <n v="4"/>
    <n v="0"/>
    <n v="156"/>
    <n v="156"/>
    <n v="0.99573105656350058"/>
    <n v="937"/>
    <n v="0"/>
    <n v="937"/>
    <n v="1"/>
    <n v="0"/>
    <n v="1"/>
    <n v="937"/>
    <n v="0"/>
    <n v="937"/>
    <x v="0"/>
    <s v="Village"/>
    <x v="0"/>
    <n v="0"/>
    <n v="20.210090637206999"/>
    <n v="92.879753112792997"/>
    <n v="196146"/>
    <x v="0"/>
    <m/>
  </r>
  <r>
    <x v="1"/>
    <x v="12"/>
    <x v="13"/>
    <s v="HARP-F"/>
    <x v="1"/>
    <x v="10"/>
    <x v="0"/>
    <x v="237"/>
    <n v="91"/>
    <n v="358"/>
    <d v="2020-05-01T00:00:00"/>
    <d v="2020-08-30T00:00:00"/>
    <m/>
    <m/>
    <m/>
    <m/>
    <m/>
    <m/>
    <m/>
    <m/>
    <m/>
    <m/>
    <x v="3"/>
    <m/>
    <n v="0"/>
    <n v="0"/>
    <m/>
    <m/>
    <m/>
    <n v="93"/>
    <n v="98"/>
    <n v="101"/>
    <n v="66"/>
    <n v="101"/>
    <n v="66"/>
    <m/>
    <m/>
    <n v="91"/>
    <m/>
    <m/>
    <m/>
    <m/>
    <m/>
    <m/>
    <m/>
    <n v="0"/>
    <n v="0"/>
    <n v="0"/>
    <n v="0"/>
    <n v="0"/>
    <n v="0"/>
    <n v="0"/>
    <n v="1"/>
    <n v="358"/>
    <n v="1"/>
    <n v="1"/>
    <n v="0"/>
    <n v="0"/>
    <n v="0"/>
    <n v="60"/>
    <n v="60"/>
    <n v="1"/>
    <n v="358"/>
    <n v="0"/>
    <n v="358"/>
    <n v="1"/>
    <n v="0"/>
    <n v="1"/>
    <n v="358"/>
    <n v="0"/>
    <n v="358"/>
    <x v="0"/>
    <s v="Village"/>
    <x v="0"/>
    <n v="0"/>
    <n v="20.172649383544901"/>
    <n v="92.874351501464801"/>
    <n v="196195"/>
    <x v="0"/>
    <m/>
  </r>
  <r>
    <x v="1"/>
    <x v="12"/>
    <x v="13"/>
    <s v="HARP-F"/>
    <x v="1"/>
    <x v="10"/>
    <x v="0"/>
    <x v="238"/>
    <n v="100"/>
    <n v="514"/>
    <d v="2020-05-01T00:00:00"/>
    <d v="2020-08-30T00:00:00"/>
    <m/>
    <m/>
    <m/>
    <m/>
    <m/>
    <m/>
    <m/>
    <m/>
    <m/>
    <m/>
    <x v="3"/>
    <m/>
    <n v="1"/>
    <n v="1"/>
    <m/>
    <m/>
    <m/>
    <n v="168"/>
    <n v="112"/>
    <n v="161"/>
    <n v="133"/>
    <n v="161"/>
    <n v="133"/>
    <m/>
    <m/>
    <n v="100"/>
    <m/>
    <m/>
    <m/>
    <m/>
    <m/>
    <m/>
    <m/>
    <n v="0"/>
    <n v="0"/>
    <n v="0"/>
    <n v="0"/>
    <n v="0"/>
    <n v="0"/>
    <n v="0"/>
    <n v="1"/>
    <n v="514"/>
    <n v="2"/>
    <n v="2"/>
    <n v="1.9455252918287938E-3"/>
    <n v="1"/>
    <n v="0"/>
    <n v="86"/>
    <n v="86"/>
    <n v="0.99805447470817121"/>
    <n v="514"/>
    <n v="0"/>
    <n v="514"/>
    <n v="1"/>
    <n v="0"/>
    <n v="1"/>
    <n v="514"/>
    <n v="0"/>
    <n v="514"/>
    <x v="0"/>
    <s v="Village"/>
    <x v="0"/>
    <n v="0"/>
    <n v="20.172649383544901"/>
    <n v="92.874351501464801"/>
    <n v="196195"/>
    <x v="0"/>
    <m/>
  </r>
  <r>
    <x v="1"/>
    <x v="12"/>
    <x v="13"/>
    <s v="HQ"/>
    <x v="1"/>
    <x v="10"/>
    <x v="0"/>
    <x v="143"/>
    <n v="169"/>
    <n v="829"/>
    <d v="2020-04-01T00:00:00"/>
    <d v="2020-08-30T00:00:00"/>
    <m/>
    <m/>
    <m/>
    <m/>
    <m/>
    <m/>
    <m/>
    <m/>
    <m/>
    <m/>
    <x v="3"/>
    <m/>
    <n v="3"/>
    <n v="3"/>
    <m/>
    <m/>
    <m/>
    <n v="296"/>
    <n v="314"/>
    <n v="106"/>
    <n v="118"/>
    <n v="106"/>
    <n v="118"/>
    <m/>
    <m/>
    <n v="169"/>
    <m/>
    <m/>
    <n v="0.5"/>
    <n v="2.41E-2"/>
    <m/>
    <m/>
    <m/>
    <n v="0"/>
    <n v="0"/>
    <n v="0"/>
    <n v="0"/>
    <n v="0"/>
    <n v="0"/>
    <n v="0"/>
    <n v="1"/>
    <n v="829"/>
    <n v="3"/>
    <n v="3"/>
    <n v="3.6188178528347406E-3"/>
    <n v="3"/>
    <n v="0"/>
    <n v="138"/>
    <n v="138"/>
    <n v="0.99638118214716531"/>
    <n v="829"/>
    <n v="0"/>
    <n v="829"/>
    <n v="1"/>
    <n v="0"/>
    <n v="1"/>
    <n v="829"/>
    <n v="0"/>
    <n v="829"/>
    <x v="0"/>
    <s v="Village"/>
    <x v="0"/>
    <s v="Rakhine"/>
    <n v="20.245159149999999"/>
    <n v="92.807418819999995"/>
    <n v="196137"/>
    <x v="0"/>
    <m/>
  </r>
  <r>
    <x v="1"/>
    <x v="12"/>
    <x v="13"/>
    <s v="HARP-F"/>
    <x v="1"/>
    <x v="10"/>
    <x v="0"/>
    <x v="239"/>
    <n v="145"/>
    <n v="688"/>
    <d v="2020-05-01T00:00:00"/>
    <d v="2020-08-30T00:00:00"/>
    <m/>
    <m/>
    <m/>
    <m/>
    <m/>
    <m/>
    <m/>
    <m/>
    <m/>
    <m/>
    <x v="3"/>
    <m/>
    <n v="6"/>
    <n v="6"/>
    <m/>
    <m/>
    <m/>
    <n v="269"/>
    <n v="312"/>
    <n v="196"/>
    <n v="196"/>
    <n v="196"/>
    <n v="196"/>
    <m/>
    <m/>
    <n v="145"/>
    <m/>
    <m/>
    <m/>
    <m/>
    <m/>
    <m/>
    <m/>
    <n v="0"/>
    <n v="0"/>
    <n v="0"/>
    <n v="0"/>
    <n v="0"/>
    <n v="0"/>
    <n v="0"/>
    <n v="1"/>
    <n v="688"/>
    <n v="3"/>
    <n v="3"/>
    <n v="8.7209302325581394E-3"/>
    <n v="6"/>
    <n v="0"/>
    <n v="115"/>
    <n v="115"/>
    <n v="0.99127906976744184"/>
    <n v="688"/>
    <n v="0"/>
    <n v="688"/>
    <n v="1"/>
    <n v="0"/>
    <n v="1"/>
    <n v="688"/>
    <n v="0"/>
    <n v="688"/>
    <x v="0"/>
    <s v="Village"/>
    <x v="0"/>
    <n v="0"/>
    <n v="0"/>
    <n v="0"/>
    <n v="0"/>
    <x v="0"/>
    <m/>
  </r>
  <r>
    <x v="1"/>
    <x v="12"/>
    <x v="13"/>
    <s v="HQ"/>
    <x v="1"/>
    <x v="10"/>
    <x v="0"/>
    <x v="240"/>
    <n v="241"/>
    <n v="1162"/>
    <d v="2020-04-01T00:00:00"/>
    <d v="2020-08-30T00:00:00"/>
    <m/>
    <m/>
    <m/>
    <m/>
    <m/>
    <m/>
    <m/>
    <m/>
    <m/>
    <m/>
    <x v="3"/>
    <m/>
    <n v="25"/>
    <n v="25"/>
    <m/>
    <m/>
    <m/>
    <n v="412"/>
    <n v="427"/>
    <n v="175"/>
    <n v="153"/>
    <n v="175"/>
    <n v="153"/>
    <m/>
    <m/>
    <n v="241"/>
    <m/>
    <m/>
    <n v="0.2"/>
    <n v="3.3599999999999998E-2"/>
    <m/>
    <m/>
    <m/>
    <n v="0"/>
    <n v="0"/>
    <n v="0"/>
    <n v="0"/>
    <n v="0"/>
    <n v="0"/>
    <n v="0"/>
    <n v="1"/>
    <n v="1162"/>
    <n v="5"/>
    <n v="5"/>
    <n v="2.1514629948364887E-2"/>
    <n v="25"/>
    <n v="0"/>
    <n v="194"/>
    <n v="194"/>
    <n v="0.97848537005163516"/>
    <n v="1162"/>
    <n v="0"/>
    <n v="1162"/>
    <n v="1"/>
    <n v="0"/>
    <n v="1"/>
    <n v="1162"/>
    <n v="0"/>
    <n v="1162"/>
    <x v="0"/>
    <s v="Village"/>
    <x v="0"/>
    <n v="0"/>
    <n v="20.219699859619102"/>
    <n v="92.851379394531307"/>
    <n v="196153"/>
    <x v="0"/>
    <m/>
  </r>
  <r>
    <x v="1"/>
    <x v="12"/>
    <x v="13"/>
    <s v="HARP-F"/>
    <x v="1"/>
    <x v="10"/>
    <x v="0"/>
    <x v="241"/>
    <n v="117"/>
    <n v="487"/>
    <d v="2020-05-01T00:00:00"/>
    <d v="2020-08-30T00:00:00"/>
    <m/>
    <m/>
    <m/>
    <m/>
    <m/>
    <m/>
    <m/>
    <m/>
    <m/>
    <m/>
    <x v="3"/>
    <m/>
    <n v="6"/>
    <n v="6"/>
    <m/>
    <m/>
    <m/>
    <n v="147"/>
    <n v="137"/>
    <n v="105"/>
    <n v="98"/>
    <n v="105"/>
    <n v="98"/>
    <m/>
    <m/>
    <n v="117"/>
    <m/>
    <m/>
    <m/>
    <m/>
    <m/>
    <m/>
    <m/>
    <n v="0"/>
    <n v="0"/>
    <n v="0"/>
    <n v="0"/>
    <n v="0"/>
    <n v="0"/>
    <n v="0"/>
    <n v="1"/>
    <n v="487"/>
    <n v="2"/>
    <n v="2"/>
    <n v="1.2320328542094456E-2"/>
    <n v="6"/>
    <n v="0"/>
    <n v="81"/>
    <n v="81"/>
    <n v="0.98767967145790558"/>
    <n v="487"/>
    <n v="0"/>
    <n v="487"/>
    <n v="1"/>
    <n v="0"/>
    <n v="1"/>
    <n v="487"/>
    <n v="0"/>
    <n v="487"/>
    <x v="0"/>
    <s v="Village"/>
    <x v="0"/>
    <n v="0"/>
    <n v="20.261358000000001"/>
    <n v="92.805672999999999"/>
    <n v="220593"/>
    <x v="0"/>
    <m/>
  </r>
  <r>
    <x v="1"/>
    <x v="12"/>
    <x v="13"/>
    <s v="HARP-F"/>
    <x v="1"/>
    <x v="10"/>
    <x v="0"/>
    <x v="242"/>
    <n v="217"/>
    <n v="837"/>
    <d v="2020-05-01T00:00:00"/>
    <d v="2020-08-30T00:00:00"/>
    <m/>
    <m/>
    <m/>
    <m/>
    <m/>
    <m/>
    <m/>
    <m/>
    <m/>
    <m/>
    <x v="3"/>
    <m/>
    <n v="19"/>
    <n v="19"/>
    <m/>
    <m/>
    <m/>
    <n v="321"/>
    <n v="337"/>
    <n v="145"/>
    <n v="121"/>
    <n v="145"/>
    <n v="121"/>
    <m/>
    <m/>
    <n v="217"/>
    <m/>
    <m/>
    <m/>
    <m/>
    <m/>
    <m/>
    <m/>
    <n v="0"/>
    <n v="0"/>
    <n v="0"/>
    <n v="0"/>
    <n v="0"/>
    <n v="0"/>
    <n v="0"/>
    <n v="1"/>
    <n v="837"/>
    <n v="3"/>
    <n v="3"/>
    <n v="2.2700119474313024E-2"/>
    <n v="19"/>
    <n v="0"/>
    <n v="140"/>
    <n v="140"/>
    <n v="0.97729988052568695"/>
    <n v="837"/>
    <n v="0"/>
    <n v="837"/>
    <n v="1"/>
    <n v="0"/>
    <n v="1"/>
    <n v="837"/>
    <n v="0"/>
    <n v="837"/>
    <x v="0"/>
    <s v="Village"/>
    <x v="0"/>
    <n v="0"/>
    <n v="20.236940383911101"/>
    <n v="92.833259582519503"/>
    <n v="196130"/>
    <x v="0"/>
    <m/>
  </r>
  <r>
    <x v="1"/>
    <x v="12"/>
    <x v="13"/>
    <s v="HQ"/>
    <x v="1"/>
    <x v="10"/>
    <x v="0"/>
    <x v="243"/>
    <n v="119"/>
    <n v="546"/>
    <d v="2020-04-01T00:00:00"/>
    <d v="2020-08-30T00:00:00"/>
    <m/>
    <m/>
    <m/>
    <m/>
    <m/>
    <m/>
    <m/>
    <m/>
    <m/>
    <m/>
    <x v="3"/>
    <m/>
    <n v="45"/>
    <n v="45"/>
    <m/>
    <m/>
    <m/>
    <n v="121"/>
    <n v="146"/>
    <n v="135"/>
    <n v="133"/>
    <n v="135"/>
    <n v="133"/>
    <m/>
    <m/>
    <n v="119"/>
    <m/>
    <m/>
    <n v="0.5"/>
    <n v="0.1681"/>
    <m/>
    <m/>
    <m/>
    <n v="0"/>
    <n v="0"/>
    <n v="0"/>
    <n v="0"/>
    <n v="0"/>
    <n v="0"/>
    <n v="0"/>
    <n v="1"/>
    <n v="546"/>
    <n v="2"/>
    <n v="2"/>
    <n v="8.2417582417582416E-2"/>
    <n v="45"/>
    <n v="0"/>
    <n v="91"/>
    <n v="91"/>
    <n v="0.91758241758241754"/>
    <n v="546"/>
    <n v="0"/>
    <n v="546"/>
    <n v="1"/>
    <n v="0"/>
    <n v="1"/>
    <n v="546"/>
    <n v="0"/>
    <n v="546"/>
    <x v="0"/>
    <s v="Village"/>
    <x v="0"/>
    <s v="Muslim"/>
    <n v="20.239929199999999"/>
    <n v="92.827529909999996"/>
    <n v="196162"/>
    <x v="0"/>
    <m/>
  </r>
  <r>
    <x v="1"/>
    <x v="12"/>
    <x v="13"/>
    <s v="HARP-F"/>
    <x v="1"/>
    <x v="10"/>
    <x v="0"/>
    <x v="74"/>
    <n v="175"/>
    <n v="723"/>
    <d v="2020-05-01T00:00:00"/>
    <d v="2020-08-30T00:00:00"/>
    <m/>
    <m/>
    <m/>
    <m/>
    <m/>
    <m/>
    <m/>
    <m/>
    <m/>
    <m/>
    <x v="3"/>
    <m/>
    <n v="1"/>
    <n v="1"/>
    <m/>
    <m/>
    <m/>
    <n v="213"/>
    <n v="285"/>
    <n v="116"/>
    <n v="109"/>
    <n v="116"/>
    <n v="109"/>
    <m/>
    <m/>
    <n v="175"/>
    <m/>
    <m/>
    <m/>
    <m/>
    <m/>
    <m/>
    <m/>
    <n v="0"/>
    <n v="0"/>
    <n v="0"/>
    <n v="0"/>
    <n v="0"/>
    <n v="0"/>
    <n v="0"/>
    <n v="1"/>
    <n v="723"/>
    <n v="3"/>
    <n v="3"/>
    <n v="1.3831258644536654E-3"/>
    <n v="1"/>
    <n v="0"/>
    <n v="121"/>
    <n v="121"/>
    <n v="0.99861687413554634"/>
    <n v="723"/>
    <n v="0"/>
    <n v="723"/>
    <n v="1"/>
    <n v="0"/>
    <n v="1"/>
    <n v="723"/>
    <n v="0"/>
    <n v="723"/>
    <x v="0"/>
    <s v="Village"/>
    <x v="0"/>
    <s v="Rakhine"/>
    <n v="20.22929001"/>
    <n v="92.864669800000001"/>
    <n v="196167"/>
    <x v="0"/>
    <m/>
  </r>
  <r>
    <x v="1"/>
    <x v="12"/>
    <x v="13"/>
    <s v="HQ"/>
    <x v="1"/>
    <x v="10"/>
    <x v="0"/>
    <x v="244"/>
    <n v="545"/>
    <n v="3007"/>
    <d v="2020-04-01T00:00:00"/>
    <d v="2020-08-30T00:00:00"/>
    <m/>
    <m/>
    <m/>
    <m/>
    <m/>
    <m/>
    <m/>
    <m/>
    <m/>
    <m/>
    <x v="3"/>
    <m/>
    <n v="47"/>
    <n v="47"/>
    <m/>
    <m/>
    <m/>
    <n v="744"/>
    <n v="793"/>
    <n v="743"/>
    <n v="727"/>
    <n v="743"/>
    <n v="727"/>
    <m/>
    <m/>
    <n v="545"/>
    <m/>
    <m/>
    <n v="0.1"/>
    <n v="1.3599999999999999E-2"/>
    <m/>
    <m/>
    <m/>
    <n v="0"/>
    <n v="0"/>
    <n v="0"/>
    <n v="0"/>
    <n v="0"/>
    <n v="0"/>
    <n v="0"/>
    <n v="1"/>
    <n v="3007"/>
    <n v="12"/>
    <n v="12"/>
    <n v="1.5630196208846026E-2"/>
    <n v="47"/>
    <n v="0"/>
    <n v="501"/>
    <n v="501"/>
    <n v="0.98436980379115402"/>
    <n v="3007"/>
    <n v="0"/>
    <n v="3007"/>
    <n v="1"/>
    <n v="0"/>
    <n v="1"/>
    <n v="3007"/>
    <n v="0"/>
    <n v="3007"/>
    <x v="0"/>
    <s v="Village"/>
    <x v="0"/>
    <n v="0"/>
    <n v="0"/>
    <n v="0"/>
    <n v="0"/>
    <x v="0"/>
    <m/>
  </r>
  <r>
    <x v="1"/>
    <x v="12"/>
    <x v="13"/>
    <s v="HQ"/>
    <x v="1"/>
    <x v="10"/>
    <x v="0"/>
    <x v="245"/>
    <n v="241"/>
    <n v="667"/>
    <d v="2020-04-01T00:00:00"/>
    <d v="2020-08-30T00:00:00"/>
    <m/>
    <m/>
    <m/>
    <m/>
    <m/>
    <m/>
    <m/>
    <m/>
    <m/>
    <m/>
    <x v="3"/>
    <m/>
    <n v="7"/>
    <n v="7"/>
    <m/>
    <m/>
    <m/>
    <n v="188"/>
    <n v="304"/>
    <n v="117"/>
    <n v="81"/>
    <n v="117"/>
    <n v="81"/>
    <m/>
    <m/>
    <n v="169"/>
    <m/>
    <m/>
    <n v="0.3"/>
    <n v="3.39E-2"/>
    <m/>
    <m/>
    <m/>
    <n v="0"/>
    <n v="0"/>
    <n v="0"/>
    <n v="0"/>
    <n v="0"/>
    <n v="0"/>
    <n v="0"/>
    <n v="1"/>
    <n v="667"/>
    <n v="3"/>
    <n v="3"/>
    <n v="1.0494752623688156E-2"/>
    <n v="7"/>
    <n v="0"/>
    <n v="111"/>
    <n v="111"/>
    <n v="0.98950524737631185"/>
    <n v="667"/>
    <n v="0"/>
    <n v="667"/>
    <n v="1"/>
    <n v="0"/>
    <n v="1"/>
    <n v="667"/>
    <n v="0"/>
    <n v="667"/>
    <x v="0"/>
    <s v="Village"/>
    <x v="0"/>
    <n v="0"/>
    <n v="20.176319122314499"/>
    <n v="92.875183105468807"/>
    <n v="196196"/>
    <x v="0"/>
    <m/>
  </r>
  <r>
    <x v="1"/>
    <x v="12"/>
    <x v="13"/>
    <s v="HQ"/>
    <x v="1"/>
    <x v="10"/>
    <x v="0"/>
    <x v="246"/>
    <n v="118"/>
    <n v="432"/>
    <d v="2020-04-01T00:00:00"/>
    <d v="2020-08-30T00:00:00"/>
    <m/>
    <m/>
    <m/>
    <m/>
    <m/>
    <m/>
    <m/>
    <m/>
    <m/>
    <m/>
    <x v="3"/>
    <m/>
    <n v="7"/>
    <n v="7"/>
    <m/>
    <m/>
    <m/>
    <n v="144"/>
    <n v="157"/>
    <n v="60"/>
    <n v="61"/>
    <n v="60"/>
    <n v="61"/>
    <m/>
    <m/>
    <n v="118"/>
    <m/>
    <m/>
    <n v="0.5"/>
    <n v="6.1600000000000002E-2"/>
    <m/>
    <m/>
    <m/>
    <n v="0"/>
    <n v="0"/>
    <n v="0"/>
    <n v="0"/>
    <n v="0"/>
    <n v="0"/>
    <n v="0"/>
    <n v="1"/>
    <n v="432"/>
    <n v="2"/>
    <n v="2"/>
    <n v="1.6203703703703703E-2"/>
    <n v="7"/>
    <n v="0"/>
    <n v="72"/>
    <n v="72"/>
    <n v="0.98379629629629628"/>
    <n v="432"/>
    <n v="0"/>
    <n v="432"/>
    <n v="1"/>
    <n v="0"/>
    <n v="1"/>
    <n v="432"/>
    <n v="0"/>
    <n v="432"/>
    <x v="0"/>
    <s v="Village"/>
    <x v="0"/>
    <s v="Rakhine"/>
    <n v="21.153581620000001"/>
    <n v="92.250885010000005"/>
    <n v="220747"/>
    <x v="0"/>
    <m/>
  </r>
  <r>
    <x v="1"/>
    <x v="12"/>
    <x v="13"/>
    <s v="HQ"/>
    <x v="1"/>
    <x v="10"/>
    <x v="0"/>
    <x v="79"/>
    <n v="354"/>
    <n v="1546"/>
    <d v="2020-04-01T00:00:00"/>
    <d v="2020-08-30T00:00:00"/>
    <m/>
    <m/>
    <m/>
    <m/>
    <m/>
    <m/>
    <m/>
    <m/>
    <m/>
    <m/>
    <x v="3"/>
    <m/>
    <n v="15"/>
    <n v="15"/>
    <m/>
    <m/>
    <m/>
    <n v="557"/>
    <n v="501"/>
    <n v="225"/>
    <n v="248"/>
    <n v="225"/>
    <n v="248"/>
    <m/>
    <m/>
    <n v="354"/>
    <m/>
    <m/>
    <n v="0.2"/>
    <n v="1.03E-2"/>
    <m/>
    <m/>
    <m/>
    <n v="0"/>
    <n v="0"/>
    <n v="0"/>
    <n v="0"/>
    <n v="0"/>
    <n v="0"/>
    <n v="0"/>
    <n v="1"/>
    <n v="1546"/>
    <n v="6"/>
    <n v="6"/>
    <n v="9.7024579560155231E-3"/>
    <n v="14.999999999999998"/>
    <n v="0"/>
    <n v="258"/>
    <n v="258"/>
    <n v="0.99029754204398446"/>
    <n v="1546"/>
    <n v="0"/>
    <n v="1546"/>
    <n v="1"/>
    <n v="0"/>
    <n v="1"/>
    <n v="1546"/>
    <n v="0"/>
    <n v="1546"/>
    <x v="0"/>
    <s v="Village"/>
    <x v="0"/>
    <s v="Rakhine"/>
    <n v="20.226730346679702"/>
    <n v="92.836929321289105"/>
    <n v="196129"/>
    <x v="0"/>
    <m/>
  </r>
  <r>
    <x v="1"/>
    <x v="12"/>
    <x v="13"/>
    <s v="HARP-F"/>
    <x v="1"/>
    <x v="10"/>
    <x v="0"/>
    <x v="135"/>
    <n v="410"/>
    <n v="1421"/>
    <d v="2020-05-01T00:00:00"/>
    <d v="2020-08-30T00:00:00"/>
    <m/>
    <m/>
    <m/>
    <m/>
    <m/>
    <m/>
    <m/>
    <m/>
    <m/>
    <m/>
    <x v="3"/>
    <m/>
    <n v="30"/>
    <n v="30"/>
    <m/>
    <m/>
    <m/>
    <n v="401"/>
    <n v="465"/>
    <n v="265"/>
    <n v="290"/>
    <n v="265"/>
    <n v="290"/>
    <m/>
    <m/>
    <n v="410"/>
    <m/>
    <m/>
    <m/>
    <m/>
    <m/>
    <m/>
    <m/>
    <n v="0"/>
    <n v="0"/>
    <n v="0"/>
    <n v="0"/>
    <n v="0"/>
    <n v="0"/>
    <n v="0"/>
    <n v="1"/>
    <n v="1421"/>
    <n v="6"/>
    <n v="6"/>
    <n v="2.1111893033075299E-2"/>
    <n v="30"/>
    <n v="0"/>
    <n v="237"/>
    <n v="237"/>
    <n v="0.97888810696692474"/>
    <n v="1421"/>
    <n v="0"/>
    <n v="1421"/>
    <n v="1"/>
    <n v="0"/>
    <n v="1"/>
    <n v="1421"/>
    <n v="0"/>
    <n v="1421"/>
    <x v="0"/>
    <s v="Village"/>
    <x v="0"/>
    <n v="0"/>
    <n v="20.760820389999999"/>
    <n v="92.960083010000005"/>
    <n v="196893"/>
    <x v="0"/>
    <m/>
  </r>
  <r>
    <x v="1"/>
    <x v="12"/>
    <x v="13"/>
    <s v="HQ"/>
    <x v="1"/>
    <x v="10"/>
    <x v="0"/>
    <x v="80"/>
    <n v="310"/>
    <n v="1490"/>
    <d v="2020-04-01T00:00:00"/>
    <d v="2020-08-30T00:00:00"/>
    <m/>
    <m/>
    <m/>
    <m/>
    <m/>
    <m/>
    <m/>
    <m/>
    <m/>
    <m/>
    <x v="3"/>
    <m/>
    <n v="20"/>
    <n v="20"/>
    <m/>
    <m/>
    <m/>
    <n v="487"/>
    <n v="541"/>
    <n v="265"/>
    <n v="215"/>
    <n v="265"/>
    <n v="215"/>
    <m/>
    <m/>
    <n v="310"/>
    <m/>
    <m/>
    <n v="0.2"/>
    <n v="3.15E-2"/>
    <m/>
    <m/>
    <m/>
    <n v="0"/>
    <n v="0"/>
    <n v="0"/>
    <n v="0"/>
    <n v="0"/>
    <n v="0"/>
    <n v="0"/>
    <n v="1"/>
    <n v="1490"/>
    <n v="6"/>
    <n v="6"/>
    <n v="1.3422818791946308E-2"/>
    <n v="20"/>
    <n v="0"/>
    <n v="248"/>
    <n v="248"/>
    <n v="0.98657718120805371"/>
    <n v="1490"/>
    <n v="0"/>
    <n v="1490"/>
    <n v="1"/>
    <n v="0"/>
    <n v="1"/>
    <n v="1490"/>
    <n v="0"/>
    <n v="1490"/>
    <x v="0"/>
    <s v="Village"/>
    <x v="0"/>
    <s v="Rakhine"/>
    <n v="20.257850650000002"/>
    <n v="92.811126709999996"/>
    <n v="196161"/>
    <x v="0"/>
    <m/>
  </r>
  <r>
    <x v="1"/>
    <x v="13"/>
    <x v="0"/>
    <s v="BMZ"/>
    <x v="3"/>
    <x v="21"/>
    <x v="0"/>
    <x v="247"/>
    <n v="93"/>
    <n v="382"/>
    <d v="2018-07-19T00:00:00"/>
    <d v="2021-06-30T00:00:00"/>
    <n v="0"/>
    <n v="0"/>
    <n v="52"/>
    <n v="0"/>
    <n v="0"/>
    <n v="0"/>
    <n v="0"/>
    <n v="0"/>
    <m/>
    <n v="40"/>
    <x v="3"/>
    <n v="2"/>
    <n v="0"/>
    <n v="0"/>
    <n v="0"/>
    <n v="0"/>
    <m/>
    <n v="0"/>
    <n v="0"/>
    <n v="0"/>
    <n v="0"/>
    <n v="0"/>
    <n v="0"/>
    <n v="0"/>
    <n v="1"/>
    <n v="0"/>
    <n v="0"/>
    <m/>
    <n v="0"/>
    <n v="0"/>
    <n v="0"/>
    <n v="0"/>
    <n v="0"/>
    <n v="1"/>
    <n v="382"/>
    <n v="0"/>
    <n v="0"/>
    <n v="1"/>
    <n v="382"/>
    <n v="1.528"/>
    <n v="0"/>
    <n v="0"/>
    <n v="0.47199999999999998"/>
    <n v="2"/>
    <n v="0.62827225130890052"/>
    <n v="240"/>
    <n v="100"/>
    <n v="64"/>
    <n v="24"/>
    <n v="0.37172774869109948"/>
    <n v="0"/>
    <n v="0"/>
    <n v="0"/>
    <n v="0"/>
    <n v="1"/>
    <n v="0"/>
    <n v="0"/>
    <n v="0"/>
    <n v="0"/>
    <x v="0"/>
    <s v="Village"/>
    <x v="0"/>
    <n v="0"/>
    <n v="0"/>
    <n v="0"/>
    <n v="0"/>
    <x v="0"/>
    <m/>
  </r>
  <r>
    <x v="1"/>
    <x v="13"/>
    <x v="0"/>
    <s v="BMZ"/>
    <x v="3"/>
    <x v="21"/>
    <x v="0"/>
    <x v="248"/>
    <n v="63"/>
    <n v="265"/>
    <d v="2018-07-19T00:00:00"/>
    <d v="2021-06-30T00:00:00"/>
    <n v="0"/>
    <n v="0"/>
    <n v="28"/>
    <n v="0"/>
    <n v="0"/>
    <n v="0"/>
    <n v="0"/>
    <n v="0"/>
    <m/>
    <n v="30"/>
    <x v="3"/>
    <n v="0"/>
    <n v="0"/>
    <n v="0"/>
    <n v="0"/>
    <n v="0"/>
    <m/>
    <n v="0"/>
    <n v="0"/>
    <n v="0"/>
    <n v="0"/>
    <n v="0"/>
    <n v="0"/>
    <n v="0"/>
    <n v="0"/>
    <n v="0"/>
    <n v="0"/>
    <m/>
    <n v="0"/>
    <n v="0"/>
    <n v="0"/>
    <n v="0"/>
    <n v="0"/>
    <n v="1"/>
    <n v="265"/>
    <n v="0"/>
    <n v="0"/>
    <n v="1"/>
    <n v="265"/>
    <n v="1.06"/>
    <n v="0"/>
    <n v="0"/>
    <n v="0"/>
    <n v="1"/>
    <n v="0.67924528301886788"/>
    <n v="180"/>
    <n v="0"/>
    <n v="44"/>
    <n v="14"/>
    <n v="0.32075471698113212"/>
    <n v="0"/>
    <n v="0"/>
    <n v="0"/>
    <n v="0"/>
    <n v="1"/>
    <n v="0"/>
    <n v="0"/>
    <n v="0"/>
    <n v="0"/>
    <x v="0"/>
    <s v="Village"/>
    <x v="0"/>
    <n v="0"/>
    <n v="0"/>
    <n v="0"/>
    <n v="0"/>
    <x v="0"/>
    <m/>
  </r>
  <r>
    <x v="1"/>
    <x v="13"/>
    <x v="0"/>
    <s v="BMZ"/>
    <x v="3"/>
    <x v="21"/>
    <x v="0"/>
    <x v="249"/>
    <n v="68"/>
    <n v="282"/>
    <d v="2018-07-19T00:00:00"/>
    <d v="2021-06-30T00:00:00"/>
    <n v="0"/>
    <n v="0"/>
    <n v="32"/>
    <n v="0"/>
    <n v="0"/>
    <n v="0"/>
    <n v="0"/>
    <n v="1"/>
    <m/>
    <n v="45"/>
    <x v="3"/>
    <n v="1"/>
    <n v="0"/>
    <n v="0"/>
    <n v="0"/>
    <n v="0"/>
    <m/>
    <n v="0"/>
    <n v="0"/>
    <n v="0"/>
    <n v="0"/>
    <n v="0"/>
    <n v="0"/>
    <n v="0"/>
    <n v="0"/>
    <n v="0"/>
    <n v="0"/>
    <m/>
    <n v="0"/>
    <n v="0"/>
    <n v="0"/>
    <n v="0"/>
    <n v="0"/>
    <n v="1"/>
    <n v="282"/>
    <n v="0"/>
    <n v="0"/>
    <n v="1"/>
    <n v="282"/>
    <n v="1.1279999999999999"/>
    <n v="0"/>
    <n v="0"/>
    <n v="0"/>
    <n v="1"/>
    <n v="0.95744680851063835"/>
    <n v="270"/>
    <n v="50"/>
    <n v="47"/>
    <n v="2"/>
    <n v="4.2553191489361653E-2"/>
    <n v="0"/>
    <n v="0"/>
    <n v="0"/>
    <n v="0"/>
    <n v="1"/>
    <n v="0"/>
    <n v="0"/>
    <n v="0"/>
    <n v="0"/>
    <x v="0"/>
    <s v="Village"/>
    <x v="0"/>
    <n v="0"/>
    <n v="0"/>
    <n v="0"/>
    <n v="0"/>
    <x v="0"/>
    <m/>
  </r>
  <r>
    <x v="1"/>
    <x v="13"/>
    <x v="0"/>
    <s v="BMZ"/>
    <x v="3"/>
    <x v="21"/>
    <x v="0"/>
    <x v="250"/>
    <n v="87"/>
    <n v="418"/>
    <d v="2018-07-19T00:00:00"/>
    <d v="2021-06-30T00:00:00"/>
    <n v="0"/>
    <n v="0"/>
    <n v="31"/>
    <n v="0"/>
    <n v="0"/>
    <n v="0"/>
    <n v="0"/>
    <n v="0"/>
    <m/>
    <n v="40"/>
    <x v="3"/>
    <n v="1"/>
    <n v="0"/>
    <n v="0"/>
    <n v="0"/>
    <n v="0"/>
    <m/>
    <n v="0"/>
    <n v="0"/>
    <n v="0"/>
    <n v="0"/>
    <n v="0"/>
    <n v="0"/>
    <n v="0"/>
    <n v="0"/>
    <n v="0"/>
    <n v="0"/>
    <m/>
    <n v="0"/>
    <n v="0"/>
    <n v="0"/>
    <n v="0"/>
    <n v="0"/>
    <n v="1"/>
    <n v="418"/>
    <n v="0"/>
    <n v="0"/>
    <n v="1"/>
    <n v="418"/>
    <n v="1.6719999999999999"/>
    <n v="0"/>
    <n v="0"/>
    <n v="0.32800000000000007"/>
    <n v="2"/>
    <n v="0.57416267942583732"/>
    <n v="240"/>
    <n v="50"/>
    <n v="70"/>
    <n v="30"/>
    <n v="0.42583732057416268"/>
    <n v="0"/>
    <n v="0"/>
    <n v="0"/>
    <n v="0"/>
    <n v="1"/>
    <n v="0"/>
    <n v="0"/>
    <n v="0"/>
    <n v="0"/>
    <x v="0"/>
    <s v="Village"/>
    <x v="0"/>
    <n v="0"/>
    <n v="0"/>
    <n v="0"/>
    <n v="0"/>
    <x v="0"/>
    <m/>
  </r>
  <r>
    <x v="1"/>
    <x v="13"/>
    <x v="0"/>
    <s v="BMZ"/>
    <x v="3"/>
    <x v="21"/>
    <x v="0"/>
    <x v="251"/>
    <n v="95"/>
    <n v="539"/>
    <d v="2018-07-19T00:00:00"/>
    <d v="2021-06-30T00:00:00"/>
    <n v="0"/>
    <n v="0"/>
    <n v="42"/>
    <n v="0"/>
    <n v="0"/>
    <n v="0"/>
    <n v="0"/>
    <n v="0"/>
    <m/>
    <n v="79"/>
    <x v="3"/>
    <n v="1"/>
    <n v="0"/>
    <n v="0"/>
    <n v="0"/>
    <n v="0"/>
    <m/>
    <n v="0"/>
    <n v="0"/>
    <n v="0"/>
    <n v="0"/>
    <n v="0"/>
    <n v="0"/>
    <n v="0"/>
    <n v="0"/>
    <n v="0"/>
    <n v="0"/>
    <m/>
    <n v="0"/>
    <n v="0"/>
    <n v="0"/>
    <n v="0"/>
    <n v="0"/>
    <n v="1"/>
    <n v="539"/>
    <n v="0"/>
    <n v="0"/>
    <n v="1"/>
    <n v="539"/>
    <n v="2.1560000000000001"/>
    <n v="0"/>
    <n v="0"/>
    <n v="0"/>
    <n v="2"/>
    <n v="0.87940630797773656"/>
    <n v="474"/>
    <n v="50"/>
    <n v="90"/>
    <n v="11"/>
    <n v="0.12059369202226344"/>
    <n v="0"/>
    <n v="0"/>
    <n v="0"/>
    <n v="0"/>
    <n v="1"/>
    <n v="0"/>
    <n v="0"/>
    <n v="0"/>
    <n v="0"/>
    <x v="0"/>
    <s v="Village"/>
    <x v="0"/>
    <n v="0"/>
    <n v="0"/>
    <n v="0"/>
    <n v="0"/>
    <x v="0"/>
    <m/>
  </r>
  <r>
    <x v="1"/>
    <x v="13"/>
    <x v="0"/>
    <s v="BMZ"/>
    <x v="3"/>
    <x v="21"/>
    <x v="0"/>
    <x v="252"/>
    <n v="63"/>
    <n v="348"/>
    <d v="2018-07-19T00:00:00"/>
    <d v="2021-06-30T00:00:00"/>
    <n v="0"/>
    <n v="0"/>
    <n v="34"/>
    <n v="0"/>
    <n v="0"/>
    <n v="0"/>
    <n v="0"/>
    <n v="0"/>
    <m/>
    <n v="33"/>
    <x v="3"/>
    <n v="1"/>
    <n v="0"/>
    <n v="0"/>
    <n v="0"/>
    <n v="0"/>
    <m/>
    <n v="0"/>
    <n v="0"/>
    <n v="0"/>
    <n v="0"/>
    <n v="0"/>
    <n v="0"/>
    <n v="0"/>
    <n v="0"/>
    <n v="0"/>
    <n v="0"/>
    <m/>
    <n v="0"/>
    <n v="0"/>
    <n v="0"/>
    <n v="0"/>
    <n v="0"/>
    <n v="1"/>
    <n v="348"/>
    <n v="0"/>
    <n v="0"/>
    <n v="1"/>
    <n v="348"/>
    <n v="1.3919999999999999"/>
    <n v="0"/>
    <n v="0"/>
    <n v="0"/>
    <n v="1"/>
    <n v="0.56896551724137934"/>
    <n v="198"/>
    <n v="50"/>
    <n v="58"/>
    <n v="25"/>
    <n v="0.43103448275862066"/>
    <n v="0"/>
    <n v="0"/>
    <n v="0"/>
    <n v="0"/>
    <n v="1"/>
    <n v="0"/>
    <n v="0"/>
    <n v="0"/>
    <n v="0"/>
    <x v="0"/>
    <s v="Village"/>
    <x v="0"/>
    <n v="0"/>
    <n v="0"/>
    <n v="0"/>
    <n v="0"/>
    <x v="0"/>
    <m/>
  </r>
  <r>
    <x v="1"/>
    <x v="13"/>
    <x v="0"/>
    <s v="BMZ"/>
    <x v="3"/>
    <x v="21"/>
    <x v="0"/>
    <x v="253"/>
    <n v="53"/>
    <n v="211"/>
    <d v="2018-07-19T00:00:00"/>
    <d v="2021-06-30T00:00:00"/>
    <n v="0"/>
    <n v="0"/>
    <n v="36"/>
    <n v="0"/>
    <n v="0"/>
    <n v="0"/>
    <n v="0"/>
    <n v="0"/>
    <m/>
    <n v="30"/>
    <x v="3"/>
    <n v="0"/>
    <n v="0"/>
    <n v="0"/>
    <n v="0"/>
    <n v="0"/>
    <m/>
    <n v="0"/>
    <n v="0"/>
    <n v="0"/>
    <n v="0"/>
    <n v="0"/>
    <n v="0"/>
    <n v="0"/>
    <n v="0"/>
    <n v="0"/>
    <n v="0"/>
    <m/>
    <n v="0"/>
    <n v="0"/>
    <n v="0"/>
    <n v="0"/>
    <n v="0"/>
    <n v="1"/>
    <n v="211"/>
    <n v="0"/>
    <n v="0"/>
    <n v="1"/>
    <n v="211"/>
    <n v="0.84399999999999997"/>
    <n v="0"/>
    <n v="0"/>
    <n v="0.15600000000000003"/>
    <n v="1"/>
    <n v="0.85308056872037918"/>
    <n v="180"/>
    <n v="0"/>
    <n v="35"/>
    <n v="5"/>
    <n v="0.14691943127962082"/>
    <n v="0"/>
    <n v="0"/>
    <n v="0"/>
    <n v="0"/>
    <n v="1"/>
    <n v="0"/>
    <n v="0"/>
    <n v="0"/>
    <n v="0"/>
    <x v="0"/>
    <s v="Village"/>
    <x v="0"/>
    <n v="0"/>
    <n v="0"/>
    <n v="0"/>
    <n v="0"/>
    <x v="0"/>
    <m/>
  </r>
  <r>
    <x v="1"/>
    <x v="13"/>
    <x v="0"/>
    <s v="BMZ"/>
    <x v="3"/>
    <x v="21"/>
    <x v="0"/>
    <x v="254"/>
    <n v="49"/>
    <n v="224"/>
    <d v="2018-07-19T00:00:00"/>
    <d v="2021-06-30T00:00:00"/>
    <n v="0"/>
    <n v="0"/>
    <n v="7"/>
    <n v="0"/>
    <n v="0"/>
    <n v="0"/>
    <n v="0"/>
    <n v="0"/>
    <m/>
    <n v="31"/>
    <x v="3"/>
    <n v="0"/>
    <n v="0"/>
    <n v="0"/>
    <n v="0"/>
    <n v="0"/>
    <m/>
    <n v="0"/>
    <n v="0"/>
    <n v="0"/>
    <n v="0"/>
    <n v="0"/>
    <n v="0"/>
    <n v="0"/>
    <n v="0"/>
    <n v="0"/>
    <n v="0"/>
    <m/>
    <n v="0"/>
    <n v="0"/>
    <n v="0"/>
    <n v="0"/>
    <n v="0"/>
    <n v="1"/>
    <n v="224"/>
    <n v="0"/>
    <n v="0"/>
    <n v="1"/>
    <n v="224"/>
    <n v="0.89600000000000002"/>
    <n v="0"/>
    <n v="0"/>
    <n v="0.10399999999999998"/>
    <n v="1"/>
    <n v="0.8303571428571429"/>
    <n v="186"/>
    <n v="0"/>
    <n v="37"/>
    <n v="6"/>
    <n v="0.1696428571428571"/>
    <n v="0"/>
    <n v="0"/>
    <n v="0"/>
    <n v="0"/>
    <n v="1"/>
    <n v="0"/>
    <n v="0"/>
    <n v="0"/>
    <n v="0"/>
    <x v="0"/>
    <s v="Village"/>
    <x v="0"/>
    <n v="0"/>
    <n v="0"/>
    <n v="0"/>
    <n v="0"/>
    <x v="0"/>
    <m/>
  </r>
  <r>
    <x v="1"/>
    <x v="13"/>
    <x v="0"/>
    <s v="BMZ"/>
    <x v="3"/>
    <x v="21"/>
    <x v="0"/>
    <x v="255"/>
    <n v="49"/>
    <n v="221"/>
    <d v="2018-07-19T00:00:00"/>
    <d v="2021-06-30T00:00:00"/>
    <n v="0"/>
    <n v="0"/>
    <n v="16"/>
    <n v="0"/>
    <n v="0"/>
    <n v="0"/>
    <n v="0"/>
    <n v="0"/>
    <m/>
    <n v="17"/>
    <x v="3"/>
    <n v="0"/>
    <n v="0"/>
    <n v="0"/>
    <n v="0"/>
    <n v="0"/>
    <m/>
    <n v="0"/>
    <n v="0"/>
    <n v="0"/>
    <n v="0"/>
    <n v="0"/>
    <n v="0"/>
    <n v="0"/>
    <n v="0"/>
    <n v="0"/>
    <n v="0"/>
    <m/>
    <n v="0"/>
    <n v="0"/>
    <n v="0"/>
    <n v="0"/>
    <n v="0"/>
    <n v="1"/>
    <n v="221"/>
    <n v="0"/>
    <n v="0"/>
    <n v="1"/>
    <n v="221"/>
    <n v="0.88400000000000001"/>
    <n v="0"/>
    <n v="0"/>
    <n v="0.11599999999999999"/>
    <n v="1"/>
    <n v="0.46153846153846156"/>
    <n v="102"/>
    <n v="0"/>
    <n v="37"/>
    <n v="20"/>
    <n v="0.53846153846153844"/>
    <n v="0"/>
    <n v="0"/>
    <n v="0"/>
    <n v="0"/>
    <n v="1"/>
    <n v="0"/>
    <n v="0"/>
    <n v="0"/>
    <n v="0"/>
    <x v="0"/>
    <s v="Village"/>
    <x v="0"/>
    <n v="0"/>
    <n v="0"/>
    <n v="0"/>
    <n v="0"/>
    <x v="0"/>
    <m/>
  </r>
  <r>
    <x v="1"/>
    <x v="13"/>
    <x v="0"/>
    <s v="BMZ"/>
    <x v="3"/>
    <x v="21"/>
    <x v="0"/>
    <x v="256"/>
    <n v="65"/>
    <n v="449"/>
    <d v="2018-07-19T00:00:00"/>
    <d v="2021-06-30T00:00:00"/>
    <n v="0"/>
    <n v="0"/>
    <m/>
    <n v="0"/>
    <n v="0"/>
    <n v="0"/>
    <n v="0"/>
    <n v="0"/>
    <m/>
    <n v="35"/>
    <x v="3"/>
    <n v="1"/>
    <n v="0"/>
    <n v="0"/>
    <n v="0"/>
    <n v="0"/>
    <m/>
    <n v="0"/>
    <n v="0"/>
    <n v="0"/>
    <n v="0"/>
    <n v="0"/>
    <n v="0"/>
    <n v="0"/>
    <n v="0"/>
    <n v="0"/>
    <n v="0"/>
    <m/>
    <n v="0"/>
    <n v="0"/>
    <n v="0"/>
    <n v="0"/>
    <n v="0"/>
    <n v="0"/>
    <n v="0"/>
    <n v="0"/>
    <n v="0"/>
    <n v="0"/>
    <n v="0"/>
    <n v="0"/>
    <n v="1"/>
    <n v="449"/>
    <n v="2"/>
    <n v="2"/>
    <n v="0.46770601336302897"/>
    <n v="210"/>
    <n v="50"/>
    <n v="75"/>
    <n v="40"/>
    <n v="0.53229398663697103"/>
    <n v="0"/>
    <n v="0"/>
    <n v="0"/>
    <n v="0"/>
    <n v="1"/>
    <n v="0"/>
    <n v="0"/>
    <n v="0"/>
    <n v="0"/>
    <x v="0"/>
    <s v="Village"/>
    <x v="0"/>
    <n v="0"/>
    <n v="0"/>
    <n v="0"/>
    <n v="0"/>
    <x v="0"/>
    <m/>
  </r>
  <r>
    <x v="1"/>
    <x v="13"/>
    <x v="0"/>
    <s v="BMZ"/>
    <x v="3"/>
    <x v="21"/>
    <x v="0"/>
    <x v="257"/>
    <n v="80"/>
    <n v="555"/>
    <d v="2018-07-19T00:00:00"/>
    <d v="2021-06-30T00:00:00"/>
    <n v="0"/>
    <n v="0"/>
    <n v="6"/>
    <n v="0"/>
    <n v="0"/>
    <n v="0"/>
    <n v="0"/>
    <n v="1"/>
    <m/>
    <n v="43"/>
    <x v="3"/>
    <n v="1"/>
    <n v="0"/>
    <n v="0"/>
    <n v="0"/>
    <n v="0"/>
    <m/>
    <n v="0"/>
    <n v="0"/>
    <n v="0"/>
    <n v="0"/>
    <n v="0"/>
    <n v="0"/>
    <n v="0"/>
    <n v="0"/>
    <n v="0"/>
    <n v="0"/>
    <m/>
    <n v="0"/>
    <n v="0"/>
    <n v="0"/>
    <n v="0"/>
    <n v="0"/>
    <n v="1"/>
    <n v="555"/>
    <n v="0"/>
    <n v="0"/>
    <n v="1"/>
    <n v="555"/>
    <n v="2.2200000000000002"/>
    <n v="0"/>
    <n v="0"/>
    <n v="0"/>
    <n v="2"/>
    <n v="0.46486486486486489"/>
    <n v="258"/>
    <n v="50"/>
    <n v="93"/>
    <n v="50"/>
    <n v="0.53513513513513511"/>
    <n v="0"/>
    <n v="0"/>
    <n v="0"/>
    <n v="0"/>
    <n v="1"/>
    <n v="0"/>
    <n v="0"/>
    <n v="0"/>
    <n v="0"/>
    <x v="0"/>
    <s v="Village"/>
    <x v="0"/>
    <n v="0"/>
    <n v="0"/>
    <n v="0"/>
    <n v="0"/>
    <x v="0"/>
    <m/>
  </r>
  <r>
    <x v="1"/>
    <x v="13"/>
    <x v="0"/>
    <s v="BMZ"/>
    <x v="3"/>
    <x v="21"/>
    <x v="0"/>
    <x v="258"/>
    <n v="66"/>
    <n v="390"/>
    <d v="2018-07-19T00:00:00"/>
    <d v="2021-06-30T00:00:00"/>
    <n v="0"/>
    <n v="0"/>
    <n v="1"/>
    <n v="0"/>
    <n v="0"/>
    <n v="0"/>
    <n v="0"/>
    <n v="0"/>
    <m/>
    <n v="42"/>
    <x v="3"/>
    <n v="1"/>
    <n v="0"/>
    <n v="0"/>
    <n v="0"/>
    <n v="0"/>
    <m/>
    <n v="0"/>
    <n v="0"/>
    <n v="0"/>
    <n v="0"/>
    <n v="0"/>
    <n v="0"/>
    <n v="0"/>
    <n v="0"/>
    <n v="0"/>
    <n v="0"/>
    <m/>
    <n v="0"/>
    <n v="0"/>
    <n v="0"/>
    <n v="0"/>
    <n v="0"/>
    <n v="1"/>
    <n v="390"/>
    <n v="0"/>
    <n v="0"/>
    <n v="1"/>
    <n v="390"/>
    <n v="1.56"/>
    <n v="0"/>
    <n v="0"/>
    <n v="0.43999999999999995"/>
    <n v="2"/>
    <n v="0.64615384615384619"/>
    <n v="252"/>
    <n v="50"/>
    <n v="65"/>
    <n v="23"/>
    <n v="0.35384615384615381"/>
    <n v="0"/>
    <n v="0"/>
    <n v="0"/>
    <n v="0"/>
    <n v="1"/>
    <n v="0"/>
    <n v="0"/>
    <n v="0"/>
    <n v="0"/>
    <x v="0"/>
    <s v="Village"/>
    <x v="0"/>
    <n v="0"/>
    <n v="0"/>
    <n v="0"/>
    <n v="0"/>
    <x v="0"/>
    <m/>
  </r>
  <r>
    <x v="1"/>
    <x v="13"/>
    <x v="0"/>
    <s v="BMZ"/>
    <x v="3"/>
    <x v="21"/>
    <x v="0"/>
    <x v="259"/>
    <n v="84"/>
    <n v="475"/>
    <d v="2018-07-19T00:00:00"/>
    <d v="2021-06-30T00:00:00"/>
    <n v="0"/>
    <n v="0"/>
    <n v="4"/>
    <n v="1"/>
    <n v="0"/>
    <n v="0"/>
    <n v="0"/>
    <n v="1"/>
    <m/>
    <n v="46"/>
    <x v="3"/>
    <n v="2"/>
    <n v="0"/>
    <n v="0"/>
    <n v="0"/>
    <n v="0"/>
    <m/>
    <n v="0"/>
    <n v="0"/>
    <n v="0"/>
    <n v="0"/>
    <n v="0"/>
    <n v="0"/>
    <n v="0"/>
    <n v="0"/>
    <n v="0"/>
    <n v="0"/>
    <m/>
    <n v="0"/>
    <n v="0"/>
    <n v="0"/>
    <n v="0"/>
    <n v="0"/>
    <n v="1"/>
    <n v="475"/>
    <n v="0"/>
    <n v="0"/>
    <n v="1"/>
    <n v="475"/>
    <n v="1.9"/>
    <n v="0"/>
    <n v="0"/>
    <n v="0.10000000000000009"/>
    <n v="2"/>
    <n v="0.58105263157894738"/>
    <n v="276"/>
    <n v="100"/>
    <n v="79"/>
    <n v="33"/>
    <n v="0.41894736842105262"/>
    <n v="0"/>
    <n v="0"/>
    <n v="0"/>
    <n v="0"/>
    <n v="1"/>
    <n v="0"/>
    <n v="0"/>
    <n v="0"/>
    <n v="0"/>
    <x v="0"/>
    <s v="Village"/>
    <x v="0"/>
    <n v="0"/>
    <n v="0"/>
    <n v="0"/>
    <n v="0"/>
    <x v="0"/>
    <m/>
  </r>
  <r>
    <x v="1"/>
    <x v="13"/>
    <x v="0"/>
    <s v="BMZ"/>
    <x v="3"/>
    <x v="21"/>
    <x v="0"/>
    <x v="260"/>
    <n v="29"/>
    <n v="179"/>
    <d v="2018-07-19T00:00:00"/>
    <d v="2021-06-30T00:00:00"/>
    <n v="0"/>
    <n v="0"/>
    <n v="9"/>
    <n v="0"/>
    <n v="0"/>
    <n v="0"/>
    <n v="0"/>
    <n v="0"/>
    <m/>
    <n v="13"/>
    <x v="3"/>
    <n v="0"/>
    <n v="0"/>
    <n v="0"/>
    <n v="0"/>
    <n v="0"/>
    <m/>
    <n v="0"/>
    <n v="0"/>
    <n v="0"/>
    <n v="0"/>
    <n v="0"/>
    <n v="0"/>
    <n v="0"/>
    <n v="0"/>
    <n v="0"/>
    <n v="0"/>
    <m/>
    <n v="0"/>
    <n v="0"/>
    <n v="0"/>
    <n v="0"/>
    <n v="0"/>
    <n v="1"/>
    <n v="179"/>
    <n v="0"/>
    <n v="0"/>
    <n v="1"/>
    <n v="179"/>
    <n v="0.71599999999999997"/>
    <n v="0"/>
    <n v="0"/>
    <n v="0.28400000000000003"/>
    <n v="1"/>
    <n v="0.43575418994413406"/>
    <n v="78"/>
    <n v="0"/>
    <n v="30"/>
    <n v="17"/>
    <n v="0.56424581005586594"/>
    <n v="0"/>
    <n v="0"/>
    <n v="0"/>
    <n v="0"/>
    <n v="1"/>
    <n v="0"/>
    <n v="0"/>
    <n v="0"/>
    <n v="0"/>
    <x v="0"/>
    <s v="Village"/>
    <x v="0"/>
    <n v="0"/>
    <n v="0"/>
    <n v="0"/>
    <n v="0"/>
    <x v="0"/>
    <m/>
  </r>
  <r>
    <x v="1"/>
    <x v="13"/>
    <x v="0"/>
    <s v="BMZ"/>
    <x v="3"/>
    <x v="21"/>
    <x v="0"/>
    <x v="261"/>
    <n v="57"/>
    <n v="399"/>
    <d v="2018-07-19T00:00:00"/>
    <d v="2021-06-30T00:00:00"/>
    <n v="0"/>
    <n v="0"/>
    <n v="31"/>
    <n v="0"/>
    <n v="0"/>
    <n v="0"/>
    <n v="0"/>
    <n v="0"/>
    <m/>
    <n v="35"/>
    <x v="3"/>
    <n v="1"/>
    <n v="0"/>
    <n v="0"/>
    <n v="0"/>
    <n v="0"/>
    <m/>
    <n v="0"/>
    <n v="0"/>
    <n v="0"/>
    <n v="0"/>
    <n v="0"/>
    <n v="0"/>
    <n v="0"/>
    <n v="0"/>
    <n v="0"/>
    <n v="0"/>
    <m/>
    <n v="0"/>
    <n v="0"/>
    <n v="0"/>
    <n v="0"/>
    <n v="0"/>
    <n v="1"/>
    <n v="399"/>
    <n v="0"/>
    <n v="0"/>
    <n v="1"/>
    <n v="399"/>
    <n v="1.5960000000000001"/>
    <n v="0"/>
    <n v="0"/>
    <n v="0.40399999999999991"/>
    <n v="2"/>
    <n v="0.52631578947368418"/>
    <n v="210"/>
    <n v="50"/>
    <n v="67"/>
    <n v="32"/>
    <n v="0.47368421052631582"/>
    <n v="0"/>
    <n v="0"/>
    <n v="0"/>
    <n v="0"/>
    <n v="1"/>
    <n v="0"/>
    <n v="0"/>
    <n v="0"/>
    <n v="0"/>
    <x v="0"/>
    <s v="Village"/>
    <x v="0"/>
    <n v="0"/>
    <n v="0"/>
    <n v="0"/>
    <n v="0"/>
    <x v="0"/>
    <m/>
  </r>
  <r>
    <x v="1"/>
    <x v="13"/>
    <x v="0"/>
    <s v="BMZ"/>
    <x v="3"/>
    <x v="21"/>
    <x v="0"/>
    <x v="262"/>
    <n v="75"/>
    <n v="426"/>
    <d v="2018-07-19T00:00:00"/>
    <d v="2021-06-30T00:00:00"/>
    <n v="0"/>
    <n v="0"/>
    <n v="15"/>
    <n v="0"/>
    <n v="0"/>
    <n v="0"/>
    <n v="0"/>
    <n v="1"/>
    <m/>
    <n v="44"/>
    <x v="3"/>
    <n v="1"/>
    <n v="0"/>
    <n v="0"/>
    <n v="0"/>
    <n v="0"/>
    <m/>
    <n v="0"/>
    <n v="0"/>
    <n v="0"/>
    <n v="0"/>
    <n v="0"/>
    <n v="0"/>
    <n v="0"/>
    <n v="0"/>
    <n v="0"/>
    <n v="0"/>
    <m/>
    <n v="0"/>
    <n v="0"/>
    <n v="0"/>
    <n v="0"/>
    <n v="0"/>
    <n v="1"/>
    <n v="426"/>
    <n v="0"/>
    <n v="0"/>
    <n v="1"/>
    <n v="426"/>
    <n v="1.704"/>
    <n v="0"/>
    <n v="0"/>
    <n v="0.29600000000000004"/>
    <n v="2"/>
    <n v="0.61971830985915488"/>
    <n v="264"/>
    <n v="50"/>
    <n v="71"/>
    <n v="27"/>
    <n v="0.38028169014084512"/>
    <n v="0"/>
    <n v="0"/>
    <n v="0"/>
    <n v="0"/>
    <n v="1"/>
    <n v="0"/>
    <n v="0"/>
    <n v="0"/>
    <n v="0"/>
    <x v="0"/>
    <s v="Village"/>
    <x v="0"/>
    <n v="0"/>
    <n v="0"/>
    <n v="0"/>
    <n v="0"/>
    <x v="0"/>
    <m/>
  </r>
  <r>
    <x v="1"/>
    <x v="13"/>
    <x v="0"/>
    <s v="BMZ"/>
    <x v="3"/>
    <x v="21"/>
    <x v="0"/>
    <x v="263"/>
    <n v="74"/>
    <n v="321"/>
    <d v="2018-07-19T00:00:00"/>
    <d v="2021-06-30T00:00:00"/>
    <n v="0"/>
    <n v="0"/>
    <n v="41"/>
    <n v="0"/>
    <n v="0"/>
    <n v="0"/>
    <n v="0"/>
    <n v="0"/>
    <m/>
    <n v="30"/>
    <x v="3"/>
    <n v="0"/>
    <n v="0"/>
    <n v="0"/>
    <n v="0"/>
    <n v="0"/>
    <m/>
    <n v="0"/>
    <n v="0"/>
    <n v="0"/>
    <n v="0"/>
    <n v="0"/>
    <n v="0"/>
    <n v="0"/>
    <n v="0"/>
    <n v="0"/>
    <n v="0"/>
    <m/>
    <n v="0"/>
    <n v="0"/>
    <n v="0"/>
    <n v="0"/>
    <n v="0"/>
    <n v="1"/>
    <n v="321"/>
    <n v="0"/>
    <n v="0"/>
    <n v="1"/>
    <n v="321"/>
    <n v="1.284"/>
    <n v="0"/>
    <n v="0"/>
    <n v="0"/>
    <n v="1"/>
    <n v="0.56074766355140182"/>
    <n v="179.99999999999997"/>
    <n v="0"/>
    <n v="54"/>
    <n v="24"/>
    <n v="0.43925233644859818"/>
    <n v="0"/>
    <n v="0"/>
    <n v="0"/>
    <n v="0"/>
    <n v="1"/>
    <n v="0"/>
    <n v="0"/>
    <n v="0"/>
    <n v="0"/>
    <x v="0"/>
    <s v="Village"/>
    <x v="0"/>
    <n v="0"/>
    <n v="0"/>
    <n v="0"/>
    <n v="0"/>
    <x v="0"/>
    <m/>
  </r>
  <r>
    <x v="1"/>
    <x v="13"/>
    <x v="0"/>
    <s v="BMZ"/>
    <x v="3"/>
    <x v="21"/>
    <x v="0"/>
    <x v="264"/>
    <n v="50"/>
    <n v="284"/>
    <d v="2018-07-19T00:00:00"/>
    <d v="2021-06-30T00:00:00"/>
    <n v="0"/>
    <n v="0"/>
    <n v="6"/>
    <n v="0"/>
    <n v="0"/>
    <n v="0"/>
    <n v="0"/>
    <n v="0"/>
    <m/>
    <n v="35"/>
    <x v="3"/>
    <n v="0"/>
    <n v="0"/>
    <n v="0"/>
    <n v="0"/>
    <n v="0"/>
    <m/>
    <n v="0"/>
    <n v="0"/>
    <n v="0"/>
    <n v="0"/>
    <n v="0"/>
    <n v="0"/>
    <n v="0"/>
    <n v="0"/>
    <n v="0"/>
    <n v="0"/>
    <m/>
    <n v="0"/>
    <n v="0"/>
    <n v="0"/>
    <n v="0"/>
    <n v="0"/>
    <n v="1"/>
    <n v="284"/>
    <n v="0"/>
    <n v="0"/>
    <n v="1"/>
    <n v="284"/>
    <n v="1.1359999999999999"/>
    <n v="0"/>
    <n v="0"/>
    <n v="0"/>
    <n v="1"/>
    <n v="0.73943661971830987"/>
    <n v="210"/>
    <n v="0"/>
    <n v="47"/>
    <n v="12"/>
    <n v="0.26056338028169013"/>
    <n v="0"/>
    <n v="0"/>
    <n v="0"/>
    <n v="0"/>
    <n v="1"/>
    <n v="0"/>
    <n v="0"/>
    <n v="0"/>
    <n v="0"/>
    <x v="0"/>
    <s v="Village"/>
    <x v="0"/>
    <n v="0"/>
    <n v="0"/>
    <n v="0"/>
    <n v="0"/>
    <x v="0"/>
    <m/>
  </r>
  <r>
    <x v="1"/>
    <x v="13"/>
    <x v="0"/>
    <s v="BMZ"/>
    <x v="3"/>
    <x v="21"/>
    <x v="0"/>
    <x v="265"/>
    <n v="154"/>
    <n v="977"/>
    <d v="2018-07-19T00:00:00"/>
    <d v="2021-06-30T00:00:00"/>
    <n v="0"/>
    <n v="0"/>
    <n v="6"/>
    <n v="0"/>
    <n v="0"/>
    <n v="12000"/>
    <n v="0"/>
    <n v="1"/>
    <m/>
    <n v="85"/>
    <x v="3"/>
    <n v="2"/>
    <n v="0"/>
    <n v="0"/>
    <n v="0"/>
    <n v="0"/>
    <m/>
    <n v="0"/>
    <n v="0"/>
    <n v="0"/>
    <n v="0"/>
    <n v="0"/>
    <n v="0"/>
    <n v="0"/>
    <n v="0"/>
    <n v="0"/>
    <n v="0"/>
    <m/>
    <n v="0"/>
    <n v="0"/>
    <n v="0"/>
    <n v="0"/>
    <n v="0"/>
    <n v="1"/>
    <n v="977"/>
    <n v="0"/>
    <n v="0"/>
    <n v="1"/>
    <n v="977"/>
    <n v="3.9079999999999999"/>
    <n v="0"/>
    <n v="0"/>
    <n v="9.2000000000000082E-2"/>
    <n v="4"/>
    <n v="0.52200614124872058"/>
    <n v="510"/>
    <n v="100"/>
    <n v="163"/>
    <n v="78"/>
    <n v="0.47799385875127942"/>
    <n v="0"/>
    <n v="0"/>
    <n v="0"/>
    <n v="0"/>
    <n v="1"/>
    <n v="0"/>
    <n v="0"/>
    <n v="0"/>
    <n v="0"/>
    <x v="0"/>
    <s v="Village"/>
    <x v="0"/>
    <n v="0"/>
    <n v="0"/>
    <n v="0"/>
    <n v="0"/>
    <x v="0"/>
    <m/>
  </r>
  <r>
    <x v="1"/>
    <x v="13"/>
    <x v="0"/>
    <s v="BMZ"/>
    <x v="3"/>
    <x v="21"/>
    <x v="0"/>
    <x v="266"/>
    <n v="44"/>
    <n v="248"/>
    <d v="2018-07-19T00:00:00"/>
    <d v="2021-06-30T00:00:00"/>
    <n v="0"/>
    <n v="0"/>
    <n v="11"/>
    <n v="0"/>
    <n v="0"/>
    <n v="0"/>
    <n v="0"/>
    <n v="0"/>
    <m/>
    <n v="14"/>
    <x v="3"/>
    <n v="0"/>
    <n v="0"/>
    <n v="0"/>
    <n v="0"/>
    <n v="0"/>
    <m/>
    <n v="0"/>
    <n v="0"/>
    <n v="0"/>
    <n v="0"/>
    <n v="0"/>
    <n v="0"/>
    <n v="0"/>
    <n v="0"/>
    <n v="0"/>
    <n v="0"/>
    <m/>
    <n v="0"/>
    <n v="0"/>
    <n v="0"/>
    <n v="0"/>
    <n v="0"/>
    <n v="1"/>
    <n v="248"/>
    <n v="0"/>
    <n v="0"/>
    <n v="1"/>
    <n v="248"/>
    <n v="0.99199999999999999"/>
    <n v="0"/>
    <n v="0"/>
    <n v="8.0000000000000071E-3"/>
    <n v="1"/>
    <n v="0.33870967741935482"/>
    <n v="84"/>
    <n v="0"/>
    <n v="41"/>
    <n v="27"/>
    <n v="0.66129032258064524"/>
    <n v="0"/>
    <n v="0"/>
    <n v="0"/>
    <n v="0"/>
    <n v="1"/>
    <n v="0"/>
    <n v="0"/>
    <n v="0"/>
    <n v="0"/>
    <x v="0"/>
    <s v="Village"/>
    <x v="0"/>
    <n v="0"/>
    <n v="0"/>
    <n v="0"/>
    <n v="0"/>
    <x v="0"/>
    <m/>
  </r>
  <r>
    <x v="1"/>
    <x v="10"/>
    <x v="10"/>
    <s v="WV' Korea"/>
    <x v="2"/>
    <x v="14"/>
    <x v="0"/>
    <x v="174"/>
    <n v="43"/>
    <n v="185"/>
    <d v="2017-12-12T00:00:00"/>
    <d v="2020-09-30T00:00:00"/>
    <m/>
    <m/>
    <n v="1"/>
    <m/>
    <m/>
    <m/>
    <m/>
    <m/>
    <m/>
    <n v="33"/>
    <x v="0"/>
    <n v="2"/>
    <m/>
    <m/>
    <m/>
    <m/>
    <m/>
    <n v="11"/>
    <n v="18"/>
    <m/>
    <m/>
    <m/>
    <m/>
    <m/>
    <m/>
    <m/>
    <m/>
    <m/>
    <m/>
    <m/>
    <m/>
    <m/>
    <m/>
    <n v="1"/>
    <n v="185"/>
    <n v="0"/>
    <n v="0"/>
    <n v="1"/>
    <n v="185"/>
    <n v="0.74"/>
    <n v="0"/>
    <n v="0"/>
    <n v="0.26"/>
    <n v="1"/>
    <n v="1"/>
    <n v="185"/>
    <n v="100"/>
    <n v="31"/>
    <n v="0"/>
    <n v="0"/>
    <n v="29"/>
    <n v="0"/>
    <n v="29"/>
    <n v="0.15675675675675677"/>
    <n v="0.84324324324324329"/>
    <n v="0.15675675675675677"/>
    <n v="0"/>
    <n v="0"/>
    <n v="0"/>
    <x v="0"/>
    <s v="Village"/>
    <x v="0"/>
    <n v="0"/>
    <n v="0"/>
    <n v="0"/>
    <n v="0"/>
    <x v="0"/>
    <m/>
  </r>
  <r>
    <x v="1"/>
    <x v="10"/>
    <x v="10"/>
    <s v="WV' Korea"/>
    <x v="2"/>
    <x v="14"/>
    <x v="0"/>
    <x v="175"/>
    <n v="33"/>
    <n v="174"/>
    <d v="2017-12-12T00:00:00"/>
    <d v="2020-09-30T00:00:00"/>
    <m/>
    <m/>
    <n v="1"/>
    <m/>
    <m/>
    <m/>
    <m/>
    <m/>
    <m/>
    <n v="26"/>
    <x v="0"/>
    <m/>
    <m/>
    <m/>
    <m/>
    <m/>
    <m/>
    <n v="5"/>
    <n v="20"/>
    <m/>
    <m/>
    <m/>
    <m/>
    <m/>
    <m/>
    <m/>
    <m/>
    <m/>
    <m/>
    <m/>
    <m/>
    <m/>
    <m/>
    <n v="1"/>
    <n v="174"/>
    <n v="0"/>
    <n v="0"/>
    <n v="1"/>
    <n v="174"/>
    <n v="0.69599999999999995"/>
    <n v="0"/>
    <n v="0"/>
    <n v="0.30400000000000005"/>
    <n v="1"/>
    <n v="0.89655172413793105"/>
    <n v="156"/>
    <n v="0"/>
    <n v="29"/>
    <n v="3"/>
    <n v="0.10344827586206895"/>
    <n v="25"/>
    <n v="0"/>
    <n v="25"/>
    <n v="0.14367816091954022"/>
    <n v="0.85632183908045978"/>
    <n v="0.14367816091954022"/>
    <n v="0"/>
    <n v="0"/>
    <n v="0"/>
    <x v="0"/>
    <s v="Village"/>
    <x v="0"/>
    <n v="0"/>
    <n v="0"/>
    <n v="0"/>
    <n v="0"/>
    <x v="0"/>
    <m/>
  </r>
  <r>
    <x v="1"/>
    <x v="10"/>
    <x v="10"/>
    <s v="WV' Korea"/>
    <x v="2"/>
    <x v="14"/>
    <x v="0"/>
    <x v="176"/>
    <n v="15"/>
    <n v="49"/>
    <d v="2017-12-12T00:00:00"/>
    <d v="2020-09-30T00:00:00"/>
    <m/>
    <m/>
    <m/>
    <m/>
    <m/>
    <m/>
    <m/>
    <m/>
    <m/>
    <n v="15"/>
    <x v="0"/>
    <m/>
    <m/>
    <m/>
    <m/>
    <m/>
    <m/>
    <n v="4"/>
    <n v="6"/>
    <m/>
    <m/>
    <m/>
    <m/>
    <m/>
    <m/>
    <m/>
    <m/>
    <m/>
    <m/>
    <m/>
    <m/>
    <m/>
    <m/>
    <n v="0"/>
    <n v="0"/>
    <n v="0"/>
    <n v="0"/>
    <n v="0"/>
    <n v="0"/>
    <n v="0"/>
    <n v="1"/>
    <n v="49"/>
    <n v="1"/>
    <n v="1"/>
    <n v="1"/>
    <n v="49"/>
    <n v="0"/>
    <n v="8"/>
    <n v="0"/>
    <n v="0"/>
    <n v="10"/>
    <n v="0"/>
    <n v="10"/>
    <n v="0.20408163265306123"/>
    <n v="0.79591836734693877"/>
    <n v="0.20408163265306123"/>
    <n v="0"/>
    <n v="0"/>
    <n v="0"/>
    <x v="0"/>
    <s v="Village"/>
    <x v="0"/>
    <n v="0"/>
    <n v="0"/>
    <n v="0"/>
    <n v="0"/>
    <x v="0"/>
    <m/>
  </r>
  <r>
    <x v="1"/>
    <x v="10"/>
    <x v="10"/>
    <s v="WV' Korea"/>
    <x v="2"/>
    <x v="14"/>
    <x v="0"/>
    <x v="177"/>
    <n v="78"/>
    <n v="302"/>
    <d v="2017-12-12T00:00:00"/>
    <d v="2020-09-30T00:00:00"/>
    <m/>
    <m/>
    <n v="2"/>
    <m/>
    <m/>
    <m/>
    <m/>
    <m/>
    <m/>
    <n v="50"/>
    <x v="0"/>
    <n v="1"/>
    <m/>
    <m/>
    <m/>
    <m/>
    <m/>
    <n v="11"/>
    <n v="18"/>
    <m/>
    <m/>
    <m/>
    <m/>
    <m/>
    <m/>
    <m/>
    <m/>
    <m/>
    <m/>
    <m/>
    <m/>
    <m/>
    <m/>
    <n v="1"/>
    <n v="302"/>
    <n v="0"/>
    <n v="0"/>
    <n v="1"/>
    <n v="302"/>
    <n v="1.208"/>
    <n v="0"/>
    <n v="0"/>
    <n v="0"/>
    <n v="1"/>
    <n v="0.99337748344370858"/>
    <n v="300"/>
    <n v="50"/>
    <n v="50"/>
    <n v="0"/>
    <n v="6.6225165562914245E-3"/>
    <n v="29"/>
    <n v="0"/>
    <n v="29"/>
    <n v="9.602649006622517E-2"/>
    <n v="0.90397350993377479"/>
    <n v="9.602649006622517E-2"/>
    <n v="0"/>
    <n v="0"/>
    <n v="0"/>
    <x v="0"/>
    <s v="Village"/>
    <x v="0"/>
    <n v="0"/>
    <n v="0"/>
    <n v="0"/>
    <n v="0"/>
    <x v="0"/>
    <m/>
  </r>
  <r>
    <x v="1"/>
    <x v="10"/>
    <x v="10"/>
    <s v="WV' Korea"/>
    <x v="2"/>
    <x v="14"/>
    <x v="0"/>
    <x v="178"/>
    <n v="62"/>
    <n v="308"/>
    <d v="2017-12-12T00:00:00"/>
    <d v="2020-09-30T00:00:00"/>
    <m/>
    <m/>
    <n v="1"/>
    <m/>
    <m/>
    <m/>
    <m/>
    <m/>
    <m/>
    <n v="59"/>
    <x v="0"/>
    <n v="2"/>
    <m/>
    <m/>
    <m/>
    <m/>
    <m/>
    <n v="10"/>
    <n v="15"/>
    <m/>
    <m/>
    <m/>
    <m/>
    <m/>
    <m/>
    <m/>
    <m/>
    <m/>
    <m/>
    <m/>
    <m/>
    <m/>
    <m/>
    <n v="1"/>
    <n v="308"/>
    <n v="0"/>
    <n v="0"/>
    <n v="1"/>
    <n v="308"/>
    <n v="1.232"/>
    <n v="0"/>
    <n v="0"/>
    <n v="0"/>
    <n v="1"/>
    <n v="1"/>
    <n v="308"/>
    <n v="100"/>
    <n v="51"/>
    <n v="0"/>
    <n v="0"/>
    <n v="25"/>
    <n v="0"/>
    <n v="25"/>
    <n v="8.1168831168831168E-2"/>
    <n v="0.91883116883116878"/>
    <n v="8.1168831168831168E-2"/>
    <n v="0"/>
    <n v="0"/>
    <n v="0"/>
    <x v="0"/>
    <s v="Village"/>
    <x v="0"/>
    <n v="0"/>
    <n v="0"/>
    <n v="0"/>
    <n v="0"/>
    <x v="0"/>
    <m/>
  </r>
  <r>
    <x v="1"/>
    <x v="10"/>
    <x v="10"/>
    <s v="WV' Korea"/>
    <x v="2"/>
    <x v="14"/>
    <x v="0"/>
    <x v="179"/>
    <n v="17"/>
    <n v="126"/>
    <d v="2017-12-12T00:00:00"/>
    <d v="2020-09-30T00:00:00"/>
    <m/>
    <m/>
    <n v="1"/>
    <m/>
    <m/>
    <m/>
    <m/>
    <m/>
    <m/>
    <n v="13"/>
    <x v="0"/>
    <m/>
    <m/>
    <m/>
    <m/>
    <m/>
    <m/>
    <n v="6"/>
    <n v="10"/>
    <m/>
    <m/>
    <m/>
    <m/>
    <m/>
    <m/>
    <m/>
    <m/>
    <m/>
    <m/>
    <m/>
    <m/>
    <m/>
    <m/>
    <n v="1"/>
    <n v="126"/>
    <n v="0"/>
    <n v="0"/>
    <n v="1"/>
    <n v="126"/>
    <n v="0.504"/>
    <n v="0"/>
    <n v="0"/>
    <n v="0.496"/>
    <n v="1"/>
    <n v="0.61904761904761907"/>
    <n v="78"/>
    <n v="0"/>
    <n v="21"/>
    <n v="8"/>
    <n v="0.38095238095238093"/>
    <n v="16"/>
    <n v="0"/>
    <n v="16"/>
    <n v="0.12698412698412698"/>
    <n v="0.87301587301587302"/>
    <n v="0.12698412698412698"/>
    <n v="0"/>
    <n v="0"/>
    <n v="0"/>
    <x v="0"/>
    <s v="Village"/>
    <x v="0"/>
    <n v="0"/>
    <n v="0"/>
    <n v="0"/>
    <n v="0"/>
    <x v="0"/>
    <m/>
  </r>
  <r>
    <x v="1"/>
    <x v="10"/>
    <x v="10"/>
    <s v="WV' Korea"/>
    <x v="2"/>
    <x v="14"/>
    <x v="0"/>
    <x v="180"/>
    <n v="31"/>
    <n v="135"/>
    <d v="2017-12-12T00:00:00"/>
    <d v="2020-09-30T00:00:00"/>
    <m/>
    <m/>
    <n v="1"/>
    <m/>
    <m/>
    <m/>
    <m/>
    <m/>
    <m/>
    <m/>
    <x v="0"/>
    <m/>
    <m/>
    <m/>
    <m/>
    <m/>
    <m/>
    <n v="9"/>
    <n v="8"/>
    <m/>
    <m/>
    <m/>
    <m/>
    <m/>
    <m/>
    <m/>
    <m/>
    <m/>
    <m/>
    <m/>
    <m/>
    <m/>
    <m/>
    <n v="1"/>
    <n v="135"/>
    <n v="0"/>
    <n v="0"/>
    <n v="1"/>
    <n v="135"/>
    <n v="0.54"/>
    <n v="0"/>
    <n v="0"/>
    <n v="0.45999999999999996"/>
    <n v="1"/>
    <n v="0"/>
    <n v="0"/>
    <n v="0"/>
    <n v="23"/>
    <n v="23"/>
    <n v="1"/>
    <n v="17"/>
    <n v="0"/>
    <n v="17"/>
    <n v="0.12592592592592591"/>
    <n v="0.87407407407407411"/>
    <n v="0.12592592592592591"/>
    <n v="0"/>
    <n v="0"/>
    <n v="0"/>
    <x v="0"/>
    <s v="Village"/>
    <x v="0"/>
    <n v="0"/>
    <n v="0"/>
    <n v="0"/>
    <n v="0"/>
    <x v="0"/>
    <m/>
  </r>
  <r>
    <x v="1"/>
    <x v="10"/>
    <x v="10"/>
    <s v="WV' Korea"/>
    <x v="2"/>
    <x v="15"/>
    <x v="0"/>
    <x v="181"/>
    <n v="97"/>
    <n v="482"/>
    <d v="2017-12-12T00:00:00"/>
    <d v="2020-09-30T00:00:00"/>
    <m/>
    <m/>
    <n v="2"/>
    <m/>
    <m/>
    <m/>
    <m/>
    <m/>
    <m/>
    <n v="50"/>
    <x v="0"/>
    <n v="2"/>
    <m/>
    <m/>
    <m/>
    <m/>
    <m/>
    <n v="15"/>
    <n v="12"/>
    <m/>
    <m/>
    <m/>
    <m/>
    <m/>
    <m/>
    <m/>
    <m/>
    <m/>
    <m/>
    <m/>
    <m/>
    <m/>
    <m/>
    <n v="1"/>
    <n v="482"/>
    <n v="0"/>
    <n v="0"/>
    <n v="1"/>
    <n v="482"/>
    <n v="1.9279999999999999"/>
    <n v="0"/>
    <n v="0"/>
    <n v="7.2000000000000064E-2"/>
    <n v="2"/>
    <n v="0.62240663900414939"/>
    <n v="300"/>
    <n v="100"/>
    <n v="80"/>
    <n v="30"/>
    <n v="0.37759336099585061"/>
    <n v="27"/>
    <n v="0"/>
    <n v="27"/>
    <n v="5.6016597510373446E-2"/>
    <n v="0.94398340248962653"/>
    <n v="5.6016597510373446E-2"/>
    <n v="0"/>
    <n v="0"/>
    <n v="0"/>
    <x v="0"/>
    <s v="Village"/>
    <x v="0"/>
    <n v="0"/>
    <n v="0"/>
    <n v="0"/>
    <n v="0"/>
    <x v="0"/>
    <m/>
  </r>
  <r>
    <x v="1"/>
    <x v="10"/>
    <x v="10"/>
    <s v="WV' Korea"/>
    <x v="2"/>
    <x v="14"/>
    <x v="0"/>
    <x v="182"/>
    <n v="59"/>
    <n v="305"/>
    <d v="2017-12-12T00:00:00"/>
    <d v="2020-09-30T00:00:00"/>
    <m/>
    <m/>
    <n v="1"/>
    <m/>
    <m/>
    <m/>
    <m/>
    <m/>
    <m/>
    <m/>
    <x v="0"/>
    <m/>
    <m/>
    <m/>
    <m/>
    <m/>
    <m/>
    <n v="3"/>
    <n v="10"/>
    <m/>
    <m/>
    <m/>
    <m/>
    <m/>
    <m/>
    <m/>
    <m/>
    <m/>
    <m/>
    <m/>
    <m/>
    <m/>
    <m/>
    <n v="1"/>
    <n v="305"/>
    <n v="0"/>
    <n v="0"/>
    <n v="1"/>
    <n v="305"/>
    <n v="1.22"/>
    <n v="0"/>
    <n v="0"/>
    <n v="0"/>
    <n v="1"/>
    <n v="0"/>
    <n v="0"/>
    <n v="0"/>
    <n v="51"/>
    <n v="51"/>
    <n v="1"/>
    <n v="13"/>
    <n v="0"/>
    <n v="13"/>
    <n v="4.2622950819672129E-2"/>
    <n v="0.95737704918032784"/>
    <n v="4.2622950819672129E-2"/>
    <n v="0"/>
    <n v="0"/>
    <n v="0"/>
    <x v="0"/>
    <s v="Village"/>
    <x v="0"/>
    <n v="0"/>
    <n v="0"/>
    <n v="0"/>
    <n v="0"/>
    <x v="0"/>
    <m/>
  </r>
  <r>
    <x v="1"/>
    <x v="10"/>
    <x v="10"/>
    <s v="WV' Korea"/>
    <x v="2"/>
    <x v="14"/>
    <x v="0"/>
    <x v="183"/>
    <n v="72"/>
    <n v="346"/>
    <d v="2017-12-12T00:00:00"/>
    <d v="2020-09-30T00:00:00"/>
    <m/>
    <m/>
    <m/>
    <m/>
    <m/>
    <m/>
    <m/>
    <m/>
    <m/>
    <n v="25"/>
    <x v="0"/>
    <m/>
    <m/>
    <m/>
    <m/>
    <m/>
    <m/>
    <n v="5"/>
    <n v="20"/>
    <m/>
    <m/>
    <m/>
    <m/>
    <m/>
    <m/>
    <m/>
    <m/>
    <m/>
    <m/>
    <m/>
    <m/>
    <m/>
    <m/>
    <n v="0"/>
    <n v="0"/>
    <n v="0"/>
    <n v="0"/>
    <n v="0"/>
    <n v="0"/>
    <n v="0"/>
    <n v="1"/>
    <n v="346"/>
    <n v="1"/>
    <n v="1"/>
    <n v="0.43352601156069365"/>
    <n v="150"/>
    <n v="0"/>
    <n v="58"/>
    <n v="33"/>
    <n v="0.56647398843930641"/>
    <n v="25"/>
    <n v="0"/>
    <n v="25"/>
    <n v="7.2254335260115612E-2"/>
    <n v="0.9277456647398844"/>
    <n v="7.2254335260115612E-2"/>
    <n v="0"/>
    <n v="0"/>
    <n v="0"/>
    <x v="0"/>
    <s v="Village"/>
    <x v="0"/>
    <n v="0"/>
    <n v="0"/>
    <n v="0"/>
    <n v="0"/>
    <x v="0"/>
    <m/>
  </r>
  <r>
    <x v="1"/>
    <x v="10"/>
    <x v="10"/>
    <s v="WV' Korea"/>
    <x v="2"/>
    <x v="14"/>
    <x v="0"/>
    <x v="184"/>
    <n v="44"/>
    <n v="241"/>
    <d v="2017-12-12T00:00:00"/>
    <d v="2020-09-30T00:00:00"/>
    <m/>
    <m/>
    <n v="1"/>
    <m/>
    <m/>
    <m/>
    <m/>
    <m/>
    <m/>
    <m/>
    <x v="0"/>
    <m/>
    <m/>
    <m/>
    <m/>
    <m/>
    <m/>
    <n v="3"/>
    <n v="10"/>
    <m/>
    <m/>
    <m/>
    <m/>
    <m/>
    <m/>
    <m/>
    <m/>
    <m/>
    <m/>
    <m/>
    <m/>
    <m/>
    <m/>
    <n v="1"/>
    <n v="241"/>
    <n v="0"/>
    <n v="0"/>
    <n v="1"/>
    <n v="241"/>
    <n v="0.96399999999999997"/>
    <n v="0"/>
    <n v="0"/>
    <n v="3.6000000000000032E-2"/>
    <n v="1"/>
    <n v="0"/>
    <n v="0"/>
    <n v="0"/>
    <n v="40"/>
    <n v="40"/>
    <n v="1"/>
    <n v="13"/>
    <n v="0"/>
    <n v="13"/>
    <n v="5.3941908713692949E-2"/>
    <n v="0.94605809128630702"/>
    <n v="5.3941908713692949E-2"/>
    <n v="0"/>
    <n v="0"/>
    <n v="0"/>
    <x v="0"/>
    <s v="Village"/>
    <x v="0"/>
    <n v="0"/>
    <n v="0"/>
    <n v="0"/>
    <n v="0"/>
    <x v="0"/>
    <m/>
  </r>
  <r>
    <x v="1"/>
    <x v="10"/>
    <x v="10"/>
    <s v="WV' Korea"/>
    <x v="2"/>
    <x v="14"/>
    <x v="0"/>
    <x v="185"/>
    <n v="30"/>
    <n v="148"/>
    <d v="2017-12-12T00:00:00"/>
    <d v="2020-09-30T00:00:00"/>
    <m/>
    <m/>
    <m/>
    <m/>
    <m/>
    <m/>
    <m/>
    <m/>
    <m/>
    <n v="24"/>
    <x v="0"/>
    <m/>
    <m/>
    <m/>
    <m/>
    <m/>
    <m/>
    <m/>
    <n v="20"/>
    <m/>
    <m/>
    <m/>
    <m/>
    <m/>
    <m/>
    <m/>
    <m/>
    <m/>
    <m/>
    <m/>
    <m/>
    <m/>
    <m/>
    <n v="0"/>
    <n v="0"/>
    <n v="0"/>
    <n v="0"/>
    <n v="0"/>
    <n v="0"/>
    <n v="0"/>
    <n v="1"/>
    <n v="148"/>
    <n v="1"/>
    <n v="1"/>
    <n v="0.97297297297297303"/>
    <n v="144"/>
    <n v="0"/>
    <n v="25"/>
    <n v="1"/>
    <n v="2.7027027027026973E-2"/>
    <n v="20"/>
    <n v="0"/>
    <n v="20"/>
    <n v="0.13513513513513514"/>
    <n v="0.86486486486486491"/>
    <n v="0.13513513513513514"/>
    <n v="0"/>
    <n v="0"/>
    <n v="0"/>
    <x v="0"/>
    <s v="Village"/>
    <x v="0"/>
    <n v="0"/>
    <n v="0"/>
    <n v="0"/>
    <n v="0"/>
    <x v="0"/>
    <m/>
  </r>
  <r>
    <x v="1"/>
    <x v="10"/>
    <x v="10"/>
    <s v="WV' Korea"/>
    <x v="2"/>
    <x v="14"/>
    <x v="0"/>
    <x v="186"/>
    <n v="47"/>
    <n v="233"/>
    <d v="2017-12-12T00:00:00"/>
    <d v="2020-09-30T00:00:00"/>
    <m/>
    <m/>
    <m/>
    <m/>
    <m/>
    <m/>
    <m/>
    <m/>
    <m/>
    <m/>
    <x v="0"/>
    <m/>
    <m/>
    <m/>
    <m/>
    <m/>
    <m/>
    <n v="1"/>
    <n v="21"/>
    <m/>
    <m/>
    <m/>
    <m/>
    <m/>
    <m/>
    <m/>
    <m/>
    <m/>
    <m/>
    <m/>
    <m/>
    <m/>
    <m/>
    <n v="0"/>
    <n v="0"/>
    <n v="0"/>
    <n v="0"/>
    <n v="0"/>
    <n v="0"/>
    <n v="0"/>
    <n v="1"/>
    <n v="233"/>
    <n v="1"/>
    <n v="1"/>
    <n v="0"/>
    <n v="0"/>
    <n v="0"/>
    <n v="39"/>
    <n v="39"/>
    <n v="1"/>
    <n v="22"/>
    <n v="0"/>
    <n v="22"/>
    <n v="9.4420600858369105E-2"/>
    <n v="0.90557939914163088"/>
    <n v="9.4420600858369105E-2"/>
    <n v="0"/>
    <n v="0"/>
    <n v="0"/>
    <x v="0"/>
    <s v="Village"/>
    <x v="0"/>
    <n v="0"/>
    <n v="0"/>
    <n v="0"/>
    <n v="0"/>
    <x v="0"/>
    <m/>
  </r>
  <r>
    <x v="1"/>
    <x v="10"/>
    <x v="10"/>
    <s v="WV' Korea"/>
    <x v="2"/>
    <x v="14"/>
    <x v="0"/>
    <x v="187"/>
    <n v="123"/>
    <n v="732"/>
    <d v="2017-12-12T00:00:00"/>
    <d v="2020-09-30T00:00:00"/>
    <m/>
    <m/>
    <m/>
    <m/>
    <m/>
    <m/>
    <m/>
    <m/>
    <m/>
    <m/>
    <x v="0"/>
    <m/>
    <m/>
    <m/>
    <m/>
    <m/>
    <m/>
    <n v="20"/>
    <n v="40"/>
    <m/>
    <m/>
    <m/>
    <m/>
    <m/>
    <m/>
    <m/>
    <m/>
    <m/>
    <m/>
    <m/>
    <m/>
    <m/>
    <m/>
    <n v="0"/>
    <n v="0"/>
    <n v="0"/>
    <n v="0"/>
    <n v="0"/>
    <n v="0"/>
    <n v="0"/>
    <n v="1"/>
    <n v="732"/>
    <n v="3"/>
    <n v="3"/>
    <n v="0"/>
    <n v="0"/>
    <n v="0"/>
    <n v="122"/>
    <n v="122"/>
    <n v="1"/>
    <n v="60"/>
    <n v="0"/>
    <n v="60"/>
    <n v="8.1967213114754092E-2"/>
    <n v="0.91803278688524592"/>
    <n v="8.1967213114754092E-2"/>
    <n v="0"/>
    <n v="0"/>
    <n v="0"/>
    <x v="0"/>
    <s v="Village"/>
    <x v="0"/>
    <n v="0"/>
    <n v="0"/>
    <n v="0"/>
    <n v="0"/>
    <x v="0"/>
    <m/>
  </r>
  <r>
    <x v="1"/>
    <x v="10"/>
    <x v="10"/>
    <s v="WV' Korea"/>
    <x v="2"/>
    <x v="14"/>
    <x v="0"/>
    <x v="188"/>
    <n v="55"/>
    <n v="332"/>
    <d v="2017-12-12T00:00:00"/>
    <d v="2020-09-30T00:00:00"/>
    <m/>
    <m/>
    <m/>
    <m/>
    <m/>
    <m/>
    <m/>
    <m/>
    <m/>
    <m/>
    <x v="0"/>
    <n v="2"/>
    <m/>
    <m/>
    <m/>
    <m/>
    <m/>
    <m/>
    <m/>
    <m/>
    <m/>
    <m/>
    <m/>
    <m/>
    <m/>
    <m/>
    <m/>
    <m/>
    <m/>
    <m/>
    <m/>
    <m/>
    <m/>
    <n v="0"/>
    <n v="0"/>
    <n v="0"/>
    <n v="0"/>
    <n v="0"/>
    <n v="0"/>
    <n v="0"/>
    <n v="1"/>
    <n v="332"/>
    <n v="1"/>
    <n v="1"/>
    <n v="0"/>
    <n v="0"/>
    <n v="100"/>
    <n v="55"/>
    <n v="55"/>
    <n v="1"/>
    <n v="0"/>
    <n v="0"/>
    <n v="0"/>
    <n v="0"/>
    <n v="1"/>
    <n v="0"/>
    <n v="0"/>
    <n v="0"/>
    <n v="0"/>
    <x v="0"/>
    <s v="Village"/>
    <x v="0"/>
    <n v="0"/>
    <n v="0"/>
    <n v="0"/>
    <n v="0"/>
    <x v="0"/>
    <m/>
  </r>
  <r>
    <x v="1"/>
    <x v="10"/>
    <x v="10"/>
    <s v="WV' Korea"/>
    <x v="2"/>
    <x v="14"/>
    <x v="0"/>
    <x v="189"/>
    <n v="114"/>
    <n v="350"/>
    <d v="2019-01-11T00:00:00"/>
    <d v="2020-09-30T00:00:00"/>
    <m/>
    <m/>
    <m/>
    <m/>
    <m/>
    <m/>
    <m/>
    <m/>
    <m/>
    <m/>
    <x v="0"/>
    <m/>
    <m/>
    <m/>
    <m/>
    <m/>
    <m/>
    <m/>
    <m/>
    <m/>
    <m/>
    <m/>
    <m/>
    <m/>
    <m/>
    <m/>
    <m/>
    <m/>
    <m/>
    <m/>
    <m/>
    <m/>
    <m/>
    <n v="0"/>
    <n v="0"/>
    <n v="0"/>
    <n v="0"/>
    <n v="0"/>
    <n v="0"/>
    <n v="0"/>
    <n v="1"/>
    <n v="350"/>
    <n v="1"/>
    <n v="1"/>
    <n v="0"/>
    <n v="0"/>
    <n v="0"/>
    <n v="58"/>
    <n v="58"/>
    <n v="1"/>
    <n v="0"/>
    <n v="0"/>
    <n v="0"/>
    <n v="0"/>
    <n v="1"/>
    <n v="0"/>
    <n v="0"/>
    <n v="0"/>
    <n v="0"/>
    <x v="0"/>
    <s v="Village"/>
    <x v="0"/>
    <n v="0"/>
    <n v="0"/>
    <n v="0"/>
    <n v="0"/>
    <x v="0"/>
    <m/>
  </r>
  <r>
    <x v="1"/>
    <x v="10"/>
    <x v="10"/>
    <s v="WV' Korea"/>
    <x v="2"/>
    <x v="14"/>
    <x v="0"/>
    <x v="190"/>
    <n v="47"/>
    <n v="137"/>
    <d v="2019-01-11T00:00:00"/>
    <d v="2020-09-30T00:00:00"/>
    <m/>
    <m/>
    <m/>
    <m/>
    <m/>
    <m/>
    <m/>
    <m/>
    <m/>
    <m/>
    <x v="0"/>
    <m/>
    <m/>
    <m/>
    <m/>
    <m/>
    <m/>
    <m/>
    <m/>
    <m/>
    <m/>
    <m/>
    <m/>
    <m/>
    <m/>
    <m/>
    <m/>
    <m/>
    <m/>
    <m/>
    <m/>
    <m/>
    <m/>
    <n v="0"/>
    <n v="0"/>
    <n v="0"/>
    <n v="0"/>
    <n v="0"/>
    <n v="0"/>
    <n v="0"/>
    <n v="1"/>
    <n v="137"/>
    <n v="1"/>
    <n v="1"/>
    <n v="0"/>
    <n v="0"/>
    <n v="0"/>
    <n v="23"/>
    <n v="23"/>
    <n v="1"/>
    <n v="0"/>
    <n v="0"/>
    <n v="0"/>
    <n v="0"/>
    <n v="1"/>
    <n v="0"/>
    <n v="0"/>
    <n v="0"/>
    <n v="0"/>
    <x v="0"/>
    <s v="Village"/>
    <x v="0"/>
    <n v="0"/>
    <n v="0"/>
    <n v="0"/>
    <n v="0"/>
    <x v="0"/>
    <m/>
  </r>
  <r>
    <x v="1"/>
    <x v="10"/>
    <x v="10"/>
    <s v="WV' Korea"/>
    <x v="2"/>
    <x v="14"/>
    <x v="0"/>
    <x v="191"/>
    <n v="138"/>
    <n v="578"/>
    <d v="2019-01-11T00:00:00"/>
    <d v="2020-09-30T00:00:00"/>
    <m/>
    <m/>
    <n v="1"/>
    <m/>
    <m/>
    <m/>
    <m/>
    <m/>
    <m/>
    <m/>
    <x v="0"/>
    <m/>
    <m/>
    <m/>
    <m/>
    <m/>
    <m/>
    <m/>
    <m/>
    <m/>
    <m/>
    <m/>
    <m/>
    <m/>
    <m/>
    <m/>
    <m/>
    <m/>
    <m/>
    <m/>
    <m/>
    <m/>
    <m/>
    <n v="1"/>
    <n v="578"/>
    <n v="0"/>
    <n v="0"/>
    <n v="1"/>
    <n v="578"/>
    <n v="2.3119999999999998"/>
    <n v="0"/>
    <n v="0"/>
    <n v="0"/>
    <n v="2"/>
    <n v="0"/>
    <n v="0"/>
    <n v="0"/>
    <n v="96"/>
    <n v="96"/>
    <n v="1"/>
    <n v="0"/>
    <n v="0"/>
    <n v="0"/>
    <n v="0"/>
    <n v="1"/>
    <n v="0"/>
    <n v="0"/>
    <n v="0"/>
    <n v="0"/>
    <x v="0"/>
    <s v="Village"/>
    <x v="0"/>
    <n v="0"/>
    <n v="0"/>
    <n v="0"/>
    <n v="0"/>
    <x v="0"/>
    <m/>
  </r>
  <r>
    <x v="1"/>
    <x v="10"/>
    <x v="10"/>
    <s v="WV' Korea"/>
    <x v="2"/>
    <x v="14"/>
    <x v="0"/>
    <x v="192"/>
    <n v="37"/>
    <n v="68"/>
    <d v="2019-01-11T00:00:00"/>
    <d v="2020-09-30T00:00:00"/>
    <m/>
    <m/>
    <n v="1"/>
    <m/>
    <m/>
    <m/>
    <m/>
    <m/>
    <m/>
    <m/>
    <x v="0"/>
    <m/>
    <m/>
    <m/>
    <m/>
    <m/>
    <m/>
    <m/>
    <m/>
    <m/>
    <m/>
    <m/>
    <m/>
    <m/>
    <m/>
    <m/>
    <m/>
    <m/>
    <m/>
    <m/>
    <m/>
    <m/>
    <m/>
    <n v="1"/>
    <n v="68"/>
    <n v="0"/>
    <n v="0"/>
    <n v="1"/>
    <n v="68"/>
    <n v="0.27200000000000002"/>
    <n v="0"/>
    <n v="0"/>
    <n v="0.72799999999999998"/>
    <n v="1"/>
    <n v="0"/>
    <n v="0"/>
    <n v="0"/>
    <n v="11"/>
    <n v="11"/>
    <n v="1"/>
    <n v="0"/>
    <n v="0"/>
    <n v="0"/>
    <n v="0"/>
    <n v="1"/>
    <n v="0"/>
    <n v="0"/>
    <n v="0"/>
    <n v="0"/>
    <x v="0"/>
    <s v="Village"/>
    <x v="0"/>
    <n v="0"/>
    <n v="0"/>
    <n v="0"/>
    <n v="0"/>
    <x v="0"/>
    <m/>
  </r>
  <r>
    <x v="1"/>
    <x v="10"/>
    <x v="10"/>
    <s v="WV' Korea"/>
    <x v="2"/>
    <x v="14"/>
    <x v="0"/>
    <x v="193"/>
    <n v="55"/>
    <n v="167"/>
    <d v="2019-01-11T00:00:00"/>
    <d v="2020-09-30T00:00:00"/>
    <m/>
    <m/>
    <m/>
    <m/>
    <m/>
    <m/>
    <m/>
    <m/>
    <m/>
    <m/>
    <x v="0"/>
    <m/>
    <m/>
    <m/>
    <m/>
    <m/>
    <m/>
    <m/>
    <m/>
    <m/>
    <m/>
    <m/>
    <m/>
    <m/>
    <m/>
    <m/>
    <m/>
    <m/>
    <m/>
    <m/>
    <m/>
    <m/>
    <m/>
    <n v="0"/>
    <n v="0"/>
    <n v="0"/>
    <n v="0"/>
    <n v="0"/>
    <n v="0"/>
    <n v="0"/>
    <n v="1"/>
    <n v="167"/>
    <n v="1"/>
    <n v="1"/>
    <n v="0"/>
    <n v="0"/>
    <n v="0"/>
    <n v="28"/>
    <n v="28"/>
    <n v="1"/>
    <n v="0"/>
    <n v="0"/>
    <n v="0"/>
    <n v="0"/>
    <n v="1"/>
    <n v="0"/>
    <n v="0"/>
    <n v="0"/>
    <n v="0"/>
    <x v="0"/>
    <s v="Village"/>
    <x v="0"/>
    <n v="0"/>
    <n v="0"/>
    <n v="0"/>
    <n v="0"/>
    <x v="0"/>
    <m/>
  </r>
  <r>
    <x v="1"/>
    <x v="10"/>
    <x v="10"/>
    <s v="WV' Korea"/>
    <x v="2"/>
    <x v="14"/>
    <x v="0"/>
    <x v="194"/>
    <n v="46"/>
    <n v="126"/>
    <d v="2019-01-11T00:00:00"/>
    <d v="2020-09-30T00:00:00"/>
    <m/>
    <m/>
    <m/>
    <m/>
    <m/>
    <m/>
    <m/>
    <m/>
    <m/>
    <m/>
    <x v="0"/>
    <m/>
    <m/>
    <m/>
    <m/>
    <m/>
    <m/>
    <m/>
    <m/>
    <m/>
    <m/>
    <m/>
    <m/>
    <m/>
    <m/>
    <m/>
    <m/>
    <m/>
    <m/>
    <m/>
    <m/>
    <m/>
    <m/>
    <n v="0"/>
    <n v="0"/>
    <n v="0"/>
    <n v="0"/>
    <n v="0"/>
    <n v="0"/>
    <n v="0"/>
    <n v="1"/>
    <n v="126"/>
    <n v="1"/>
    <n v="1"/>
    <n v="0"/>
    <n v="0"/>
    <n v="0"/>
    <n v="21"/>
    <n v="21"/>
    <n v="1"/>
    <n v="0"/>
    <n v="0"/>
    <n v="0"/>
    <n v="0"/>
    <n v="1"/>
    <n v="0"/>
    <n v="0"/>
    <n v="0"/>
    <n v="0"/>
    <x v="0"/>
    <s v="Village"/>
    <x v="0"/>
    <n v="0"/>
    <n v="0"/>
    <n v="0"/>
    <n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HRP_2"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7:H12" firstHeaderRow="0" firstDataRow="1" firstDataCol="1" rowPageCount="3" colPageCount="1"/>
  <pivotFields count="88">
    <pivotField axis="axisPage" subtotalTop="0" showAll="0">
      <items count="17">
        <item m="1" x="14"/>
        <item m="1" x="7"/>
        <item m="1" x="2"/>
        <item m="1" x="4"/>
        <item m="1" x="15"/>
        <item m="1" x="3"/>
        <item m="1" x="13"/>
        <item m="1" x="9"/>
        <item m="1" x="11"/>
        <item m="1" x="12"/>
        <item m="1" x="5"/>
        <item m="1" x="6"/>
        <item m="1" x="8"/>
        <item m="1" x="10"/>
        <item x="0"/>
        <item x="1"/>
        <item t="default"/>
      </items>
    </pivotField>
    <pivotField showAll="0" defaultSubtotal="0"/>
    <pivotField showAll="0" defaultSubtotal="0"/>
    <pivotField subtotalTop="0" showAll="0"/>
    <pivotField axis="axisRow" subtotalTop="0" showAll="0">
      <items count="8">
        <item x="2"/>
        <item m="1" x="5"/>
        <item x="0"/>
        <item m="1" x="4"/>
        <item x="1"/>
        <item m="1" x="6"/>
        <item x="3"/>
        <item t="default"/>
      </items>
    </pivotField>
    <pivotField subtotalTop="0" showAll="0"/>
    <pivotField axis="axisPage" multipleItemSelectionAllowed="1" showAll="0" defaultSubtotal="0">
      <items count="11">
        <item h="1" m="1" x="4"/>
        <item h="1" m="1" x="9"/>
        <item h="1" m="1" x="8"/>
        <item x="0"/>
        <item h="1" m="1" x="10"/>
        <item h="1" m="1" x="3"/>
        <item m="1" x="7"/>
        <item m="1" x="2"/>
        <item h="1" m="1" x="5"/>
        <item m="1" x="6"/>
        <item h="1" m="1" x="1"/>
      </items>
    </pivotField>
    <pivotField showAll="0"/>
    <pivotField subtotalTop="0" showAll="0"/>
    <pivotField dataField="1" subtotalTop="0" showAll="0"/>
    <pivotField showAll="0" defaultSubtotal="0"/>
    <pivotField showAll="0" defaultSubtotal="0"/>
    <pivotField dataField="1"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9" showAll="0"/>
    <pivotField dataField="1" numFmtId="1" showAll="0" defaultSubtotal="0"/>
    <pivotField showAll="0" defaultSubtotal="0"/>
    <pivotField subtotalTop="0" showAll="0"/>
    <pivotField subtotalTop="0" showAll="0"/>
    <pivotField subtotalTop="0" showAll="0"/>
    <pivotField numFmtId="1" showAll="0"/>
    <pivotField numFmtId="1" showAll="0"/>
    <pivotField dataField="1" numFmtId="1" showAll="0" defaultSubtotal="0"/>
    <pivotField subtotalTop="0" showAll="0"/>
    <pivotField subtotalTop="0" showAll="0"/>
    <pivotField subtotalTop="0" showAll="0"/>
    <pivotField numFmtId="1" showAll="0"/>
    <pivotField numFmtId="1" showAll="0"/>
    <pivotField dataField="1" numFmtId="164"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1"/>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5">
    <i>
      <x/>
    </i>
    <i>
      <x v="2"/>
    </i>
    <i>
      <x v="4"/>
    </i>
    <i>
      <x v="6"/>
    </i>
    <i t="grand">
      <x/>
    </i>
  </rowItems>
  <colFields count="1">
    <field x="-2"/>
  </colFields>
  <colItems count="6">
    <i>
      <x/>
    </i>
    <i i="1">
      <x v="1"/>
    </i>
    <i i="2">
      <x v="2"/>
    </i>
    <i i="3">
      <x v="3"/>
    </i>
    <i i="4">
      <x v="4"/>
    </i>
    <i i="5">
      <x v="5"/>
    </i>
  </colItems>
  <pageFields count="3">
    <pageField fld="0" item="15" hier="-1"/>
    <pageField fld="78" item="0" hier="-1"/>
    <pageField fld="6" hier="-1"/>
  </pageFields>
  <dataFields count="6">
    <dataField name="Total Population reached" fld="9" baseField="2" baseItem="0" numFmtId="164"/>
    <dataField name=" HRP1" fld="50" baseField="4" baseItem="0" numFmtId="164"/>
    <dataField name=" HRP2" fld="57" baseField="4" baseItem="0" numFmtId="164"/>
    <dataField name=" HRP3" fld="64" baseField="4" baseItem="0" numFmtId="164"/>
    <dataField name=" # People received regular supply of hygiene items" fld="70" baseField="0" baseItem="0" numFmtId="164"/>
    <dataField name="  #of students in school" fld="12" baseField="0" baseItem="0" numFmtId="164"/>
  </dataFields>
  <formats count="42">
    <format dxfId="456">
      <pivotArea field="4" type="button" dataOnly="0" labelOnly="1" outline="0" axis="axisRow" fieldPosition="0"/>
    </format>
    <format dxfId="455">
      <pivotArea type="all" dataOnly="0" outline="0" fieldPosition="0"/>
    </format>
    <format dxfId="454">
      <pivotArea outline="0" fieldPosition="0">
        <references count="1">
          <reference field="4294967294" count="1">
            <x v="0"/>
          </reference>
        </references>
      </pivotArea>
    </format>
    <format dxfId="453">
      <pivotArea dataOnly="0" labelOnly="1" outline="0" fieldPosition="0">
        <references count="1">
          <reference field="4294967294" count="1">
            <x v="0"/>
          </reference>
        </references>
      </pivotArea>
    </format>
    <format dxfId="452">
      <pivotArea type="all" dataOnly="0" outline="0" fieldPosition="0"/>
    </format>
    <format dxfId="451">
      <pivotArea outline="0" collapsedLevelsAreSubtotals="1" fieldPosition="0"/>
    </format>
    <format dxfId="450">
      <pivotArea field="4" type="button" dataOnly="0" labelOnly="1" outline="0" axis="axisRow" fieldPosition="0"/>
    </format>
    <format dxfId="449">
      <pivotArea dataOnly="0" labelOnly="1" fieldPosition="0">
        <references count="1">
          <reference field="4" count="1">
            <x v="1"/>
          </reference>
        </references>
      </pivotArea>
    </format>
    <format dxfId="448">
      <pivotArea dataOnly="0" labelOnly="1" grandRow="1" outline="0" fieldPosition="0"/>
    </format>
    <format dxfId="447">
      <pivotArea dataOnly="0" labelOnly="1" outline="0" fieldPosition="0">
        <references count="1">
          <reference field="4294967294" count="1">
            <x v="0"/>
          </reference>
        </references>
      </pivotArea>
    </format>
    <format dxfId="446">
      <pivotArea type="all" dataOnly="0" outline="0" fieldPosition="0"/>
    </format>
    <format dxfId="445">
      <pivotArea outline="0" collapsedLevelsAreSubtotals="1" fieldPosition="0"/>
    </format>
    <format dxfId="444">
      <pivotArea field="4" type="button" dataOnly="0" labelOnly="1" outline="0" axis="axisRow" fieldPosition="0"/>
    </format>
    <format dxfId="443">
      <pivotArea dataOnly="0" labelOnly="1" fieldPosition="0">
        <references count="1">
          <reference field="4" count="1">
            <x v="1"/>
          </reference>
        </references>
      </pivotArea>
    </format>
    <format dxfId="442">
      <pivotArea dataOnly="0" labelOnly="1" grandRow="1" outline="0" fieldPosition="0"/>
    </format>
    <format dxfId="441">
      <pivotArea dataOnly="0" labelOnly="1" outline="0" fieldPosition="0">
        <references count="1">
          <reference field="4294967294" count="1">
            <x v="0"/>
          </reference>
        </references>
      </pivotArea>
    </format>
    <format dxfId="440">
      <pivotArea field="0" type="button" dataOnly="0" labelOnly="1" outline="0" axis="axisPage" fieldPosition="0"/>
    </format>
    <format dxfId="439">
      <pivotArea field="0" type="button" dataOnly="0" labelOnly="1" outline="0" axis="axisPage" fieldPosition="0"/>
    </format>
    <format dxfId="438">
      <pivotArea outline="0" collapsedLevelsAreSubtotals="1" fieldPosition="0">
        <references count="1">
          <reference field="4294967294" count="3" selected="0">
            <x v="1"/>
            <x v="2"/>
            <x v="3"/>
          </reference>
        </references>
      </pivotArea>
    </format>
    <format dxfId="437">
      <pivotArea dataOnly="0" labelOnly="1" outline="0" fieldPosition="0">
        <references count="1">
          <reference field="4294967294" count="1">
            <x v="0"/>
          </reference>
        </references>
      </pivotArea>
    </format>
    <format dxfId="436">
      <pivotArea outline="0" collapsedLevelsAreSubtotals="1" fieldPosition="0">
        <references count="1">
          <reference field="4294967294" count="3" selected="0">
            <x v="1"/>
            <x v="2"/>
            <x v="3"/>
          </reference>
        </references>
      </pivotArea>
    </format>
    <format dxfId="435">
      <pivotArea dataOnly="0" labelOnly="1" outline="0" fieldPosition="0">
        <references count="1">
          <reference field="4294967294" count="3">
            <x v="1"/>
            <x v="2"/>
            <x v="3"/>
          </reference>
        </references>
      </pivotArea>
    </format>
    <format dxfId="434">
      <pivotArea outline="0" collapsedLevelsAreSubtotals="1" fieldPosition="0">
        <references count="1">
          <reference field="4294967294" count="1" selected="0">
            <x v="0"/>
          </reference>
        </references>
      </pivotArea>
    </format>
    <format dxfId="433">
      <pivotArea outline="0" collapsedLevelsAreSubtotals="1" fieldPosition="0">
        <references count="1">
          <reference field="4294967294" count="3" selected="0">
            <x v="1"/>
            <x v="2"/>
            <x v="3"/>
          </reference>
        </references>
      </pivotArea>
    </format>
    <format dxfId="432">
      <pivotArea dataOnly="0" labelOnly="1" outline="0" fieldPosition="0">
        <references count="1">
          <reference field="4294967294" count="4">
            <x v="0"/>
            <x v="1"/>
            <x v="2"/>
            <x v="3"/>
          </reference>
        </references>
      </pivotArea>
    </format>
    <format dxfId="431">
      <pivotArea dataOnly="0" labelOnly="1" outline="0" fieldPosition="0">
        <references count="1">
          <reference field="4294967294" count="1">
            <x v="3"/>
          </reference>
        </references>
      </pivotArea>
    </format>
    <format dxfId="430">
      <pivotArea dataOnly="0" labelOnly="1" outline="0" fieldPosition="0">
        <references count="1">
          <reference field="4294967294" count="1">
            <x v="2"/>
          </reference>
        </references>
      </pivotArea>
    </format>
    <format dxfId="429">
      <pivotArea outline="0" collapsedLevelsAreSubtotals="1" fieldPosition="0">
        <references count="1">
          <reference field="4294967294" count="1" selected="0">
            <x v="2"/>
          </reference>
        </references>
      </pivotArea>
    </format>
    <format dxfId="428">
      <pivotArea dataOnly="0" labelOnly="1" outline="0" fieldPosition="0">
        <references count="1">
          <reference field="4294967294" count="1">
            <x v="2"/>
          </reference>
        </references>
      </pivotArea>
    </format>
    <format dxfId="427">
      <pivotArea outline="0" collapsedLevelsAreSubtotals="1" fieldPosition="0">
        <references count="1">
          <reference field="4294967294" count="1" selected="0">
            <x v="3"/>
          </reference>
        </references>
      </pivotArea>
    </format>
    <format dxfId="426">
      <pivotArea dataOnly="0" labelOnly="1" outline="0" fieldPosition="0">
        <references count="1">
          <reference field="4294967294" count="1">
            <x v="3"/>
          </reference>
        </references>
      </pivotArea>
    </format>
    <format dxfId="425">
      <pivotArea outline="0" collapsedLevelsAreSubtotals="1" fieldPosition="0">
        <references count="1">
          <reference field="4294967294" count="1" selected="0">
            <x v="5"/>
          </reference>
        </references>
      </pivotArea>
    </format>
    <format dxfId="424">
      <pivotArea dataOnly="0" labelOnly="1" outline="0" fieldPosition="0">
        <references count="1">
          <reference field="4294967294" count="1">
            <x v="5"/>
          </reference>
        </references>
      </pivotArea>
    </format>
    <format dxfId="423">
      <pivotArea dataOnly="0" labelOnly="1" outline="0" fieldPosition="0">
        <references count="1">
          <reference field="4294967294" count="1">
            <x v="5"/>
          </reference>
        </references>
      </pivotArea>
    </format>
    <format dxfId="422">
      <pivotArea dataOnly="0" labelOnly="1" outline="0" fieldPosition="0">
        <references count="1">
          <reference field="4294967294" count="1">
            <x v="4"/>
          </reference>
        </references>
      </pivotArea>
    </format>
    <format dxfId="421">
      <pivotArea dataOnly="0" labelOnly="1" outline="0" fieldPosition="0">
        <references count="1">
          <reference field="4294967294" count="1">
            <x v="5"/>
          </reference>
        </references>
      </pivotArea>
    </format>
    <format dxfId="420">
      <pivotArea dataOnly="0" labelOnly="1" outline="0" fieldPosition="0">
        <references count="1">
          <reference field="4294967294" count="1">
            <x v="4"/>
          </reference>
        </references>
      </pivotArea>
    </format>
    <format dxfId="419">
      <pivotArea collapsedLevelsAreSubtotals="1" fieldPosition="0">
        <references count="2">
          <reference field="4294967294" count="1" selected="0">
            <x v="4"/>
          </reference>
          <reference field="4" count="1">
            <x v="4"/>
          </reference>
        </references>
      </pivotArea>
    </format>
    <format dxfId="418">
      <pivotArea outline="0" collapsedLevelsAreSubtotals="1" fieldPosition="0">
        <references count="1">
          <reference field="4294967294" count="1" selected="0">
            <x v="4"/>
          </reference>
        </references>
      </pivotArea>
    </format>
    <format dxfId="417">
      <pivotArea outline="0" collapsedLevelsAreSubtotals="1" fieldPosition="0">
        <references count="1">
          <reference field="4294967294" count="1" selected="0">
            <x v="5"/>
          </reference>
        </references>
      </pivotArea>
    </format>
    <format dxfId="416">
      <pivotArea collapsedLevelsAreSubtotals="1" fieldPosition="0">
        <references count="2">
          <reference field="4294967294" count="1" selected="0">
            <x v="4"/>
          </reference>
          <reference field="4" count="1">
            <x v="5"/>
          </reference>
        </references>
      </pivotArea>
    </format>
    <format dxfId="415">
      <pivotArea field="4" grandRow="1" outline="0" collapsedLevelsAreSubtotals="1" axis="axisRow" fieldPosition="0">
        <references count="1">
          <reference field="4294967294" count="1" selected="0">
            <x v="4"/>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D000000}" name="PivotTable9" cacheId="0"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M7:R10" firstHeaderRow="0" firstDataRow="1" firstDataCol="1" rowPageCount="3" colPageCount="1"/>
  <pivotFields count="88">
    <pivotField axis="axisRow" compact="0" outline="0" subtotalTop="0" showAll="0">
      <items count="17">
        <item m="1" x="14"/>
        <item m="1" x="7"/>
        <item m="1" x="2"/>
        <item m="1" x="4"/>
        <item m="1" x="15"/>
        <item m="1" x="3"/>
        <item m="1" x="13"/>
        <item m="1" x="9"/>
        <item m="1" x="11"/>
        <item m="1" x="12"/>
        <item m="1" x="5"/>
        <item m="1" x="6"/>
        <item m="1" x="8"/>
        <item m="1" x="10"/>
        <item x="0"/>
        <item x="1"/>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8">
        <item h="1" x="2"/>
        <item m="1" x="5"/>
        <item h="1" x="0"/>
        <item h="1" m="1" x="4"/>
        <item x="1"/>
        <item m="1" x="6"/>
        <item h="1" x="3"/>
        <item t="default"/>
      </items>
    </pivotField>
    <pivotField compact="0" outline="0" subtotalTop="0" showAll="0"/>
    <pivotField axis="axisPage" compact="0" outline="0" multipleItemSelectionAllowed="1" showAll="0" defaultSubtotal="0">
      <items count="11">
        <item m="1" x="4"/>
        <item m="1" x="9"/>
        <item m="1" x="8"/>
        <item x="0"/>
        <item h="1" m="1" x="10"/>
        <item h="1" m="1" x="3"/>
        <item m="1" x="7"/>
        <item m="1" x="2"/>
        <item h="1" m="1" x="5"/>
        <item h="1" m="1" x="6"/>
        <item h="1" m="1" x="1"/>
      </items>
    </pivotField>
    <pivotField compact="0" outline="0" showAll="0"/>
    <pivotField compact="0" outline="0" subtotalTop="0" showAll="0"/>
    <pivotField dataField="1" compact="0" outline="0" subtotalTop="0" showAll="0"/>
    <pivotField compact="0" outline="0" showAll="0" defaultSubtotal="0"/>
    <pivotField compact="0" outline="0" showAll="0" defaultSubtotal="0"/>
    <pivotField compact="0" outline="0" showAll="0"/>
    <pivotField compact="0" outline="0" subtotalTop="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9" outline="0" showAll="0"/>
    <pivotField dataField="1" compact="0" numFmtId="1" outline="0" showAll="0" defaultSubtotal="0"/>
    <pivotField compact="0" outline="0" showAll="0" defaultSubtotal="0"/>
    <pivotField compact="0" outline="0" subtotalTop="0" showAll="0"/>
    <pivotField compact="0" outline="0" subtotalTop="0" showAll="0"/>
    <pivotField compact="0" outline="0" subtotalTop="0" showAll="0"/>
    <pivotField compact="0" numFmtId="1" outline="0" showAll="0"/>
    <pivotField compact="0" numFmtId="1" outline="0" showAll="0"/>
    <pivotField dataField="1" compact="0" numFmtId="1" outline="0" showAll="0" defaultSubtotal="0"/>
    <pivotField compact="0" outline="0" subtotalTop="0" showAll="0"/>
    <pivotField compact="0" outline="0" subtotalTop="0" showAll="0"/>
    <pivotField compact="0" outline="0" subtotalTop="0" showAll="0"/>
    <pivotField compact="0" numFmtId="1" outline="0" showAll="0"/>
    <pivotField compact="0" numFmtId="1" outline="0" showAll="0"/>
    <pivotField dataField="1" compact="0" numFmtId="164" outline="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m="1" x="3"/>
        <item m="1" x="1"/>
        <item m="1" x="2"/>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3">
    <i>
      <x v="14"/>
    </i>
    <i>
      <x v="15"/>
    </i>
    <i t="grand">
      <x/>
    </i>
  </rowItems>
  <colFields count="1">
    <field x="-2"/>
  </colFields>
  <colItems count="5">
    <i>
      <x/>
    </i>
    <i i="1">
      <x v="1"/>
    </i>
    <i i="2">
      <x v="2"/>
    </i>
    <i i="3">
      <x v="3"/>
    </i>
    <i i="4">
      <x v="4"/>
    </i>
  </colItems>
  <pageFields count="3">
    <pageField fld="78" item="0" hier="-1"/>
    <pageField fld="4" hier="-1"/>
    <pageField fld="6" hier="-1"/>
  </pageFields>
  <dataFields count="5">
    <dataField name="Total Population reached" fld="9" baseField="2" baseItem="0" numFmtId="3"/>
    <dataField name=" HRP1" fld="50" baseField="0" baseItem="9"/>
    <dataField name=" HRP2" fld="57" baseField="0" baseItem="9"/>
    <dataField name=" HRP3" fld="64" baseField="0" baseItem="9"/>
    <dataField name="  # People received regular supply of hygiene items" fld="70" baseField="0" baseItem="0"/>
  </dataFields>
  <formats count="17">
    <format dxfId="473">
      <pivotArea field="4" type="button" dataOnly="0" labelOnly="1" outline="0" axis="axisPage" fieldPosition="1"/>
    </format>
    <format dxfId="472">
      <pivotArea type="all" dataOnly="0" outline="0" fieldPosition="0"/>
    </format>
    <format dxfId="471">
      <pivotArea field="4" type="button" dataOnly="0" labelOnly="1" outline="0" axis="axisPage" fieldPosition="1"/>
    </format>
    <format dxfId="470">
      <pivotArea outline="0" fieldPosition="0">
        <references count="1">
          <reference field="4294967294" count="1">
            <x v="0"/>
          </reference>
        </references>
      </pivotArea>
    </format>
    <format dxfId="469">
      <pivotArea dataOnly="0" labelOnly="1" outline="0" fieldPosition="0">
        <references count="1">
          <reference field="4294967294" count="1">
            <x v="0"/>
          </reference>
        </references>
      </pivotArea>
    </format>
    <format dxfId="468">
      <pivotArea type="all" dataOnly="0" outline="0" fieldPosition="0"/>
    </format>
    <format dxfId="467">
      <pivotArea outline="0" collapsedLevelsAreSubtotals="1" fieldPosition="0"/>
    </format>
    <format dxfId="466">
      <pivotArea dataOnly="0" labelOnly="1" fieldPosition="0">
        <references count="1">
          <reference field="4" count="0"/>
        </references>
      </pivotArea>
    </format>
    <format dxfId="465">
      <pivotArea dataOnly="0" labelOnly="1" grandRow="1" outline="0" fieldPosition="0"/>
    </format>
    <format dxfId="464">
      <pivotArea dataOnly="0" labelOnly="1" outline="0" fieldPosition="0">
        <references count="1">
          <reference field="4294967294" count="1">
            <x v="0"/>
          </reference>
        </references>
      </pivotArea>
    </format>
    <format dxfId="463">
      <pivotArea type="all" dataOnly="0" outline="0" fieldPosition="0"/>
    </format>
    <format dxfId="462">
      <pivotArea outline="0" collapsedLevelsAreSubtotals="1" fieldPosition="0"/>
    </format>
    <format dxfId="461">
      <pivotArea dataOnly="0" labelOnly="1" fieldPosition="0">
        <references count="1">
          <reference field="4" count="0"/>
        </references>
      </pivotArea>
    </format>
    <format dxfId="460">
      <pivotArea dataOnly="0" labelOnly="1" grandRow="1" outline="0" fieldPosition="0"/>
    </format>
    <format dxfId="459">
      <pivotArea dataOnly="0" labelOnly="1" outline="0" fieldPosition="0">
        <references count="1">
          <reference field="4294967294" count="1">
            <x v="0"/>
          </reference>
        </references>
      </pivotArea>
    </format>
    <format dxfId="458">
      <pivotArea dataOnly="0" labelOnly="1" outline="0" fieldPosition="0">
        <references count="1">
          <reference field="4294967294" count="1">
            <x v="1"/>
          </reference>
        </references>
      </pivotArea>
    </format>
    <format dxfId="457">
      <pivotArea field="0" grandRow="1" outline="0" axis="axisRow" fieldPosition="0">
        <references count="1">
          <reference field="4294967294" count="1" selected="0">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6988A54-75B2-41DB-ADCC-569F1645EC75}" name="PivotTable9"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ownship">
  <location ref="B9:F15" firstHeaderRow="0" firstDataRow="1" firstDataCol="1" rowPageCount="4" colPageCount="1"/>
  <pivotFields count="88">
    <pivotField axis="axisPage" subtotalTop="0" showAll="0">
      <items count="17">
        <item m="1" x="14"/>
        <item m="1" x="4"/>
        <item m="1" x="7"/>
        <item m="1" x="2"/>
        <item m="1" x="15"/>
        <item m="1" x="3"/>
        <item m="1" x="13"/>
        <item m="1" x="9"/>
        <item m="1" x="11"/>
        <item m="1" x="12"/>
        <item m="1" x="5"/>
        <item m="1" x="6"/>
        <item m="1" x="8"/>
        <item m="1" x="10"/>
        <item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axis="axisRow" subtotalTop="0" showAll="0" sortType="ascending">
      <items count="53">
        <item x="0"/>
        <item m="1" x="28"/>
        <item m="1" x="31"/>
        <item m="1" x="48"/>
        <item m="1" x="34"/>
        <item m="1" x="43"/>
        <item x="21"/>
        <item m="1" x="39"/>
        <item x="18"/>
        <item m="1" x="37"/>
        <item x="16"/>
        <item x="4"/>
        <item x="7"/>
        <item m="1" x="24"/>
        <item x="9"/>
        <item x="13"/>
        <item x="19"/>
        <item x="20"/>
        <item m="1" x="46"/>
        <item m="1" x="26"/>
        <item m="1" x="30"/>
        <item m="1" x="40"/>
        <item x="11"/>
        <item m="1" x="35"/>
        <item m="1" x="44"/>
        <item m="1" x="23"/>
        <item m="1" x="38"/>
        <item m="1" x="47"/>
        <item m="1" x="29"/>
        <item x="12"/>
        <item x="15"/>
        <item x="2"/>
        <item m="1" x="32"/>
        <item m="1" x="36"/>
        <item m="1" x="41"/>
        <item m="1" x="25"/>
        <item x="3"/>
        <item m="1" x="27"/>
        <item x="8"/>
        <item m="1" x="42"/>
        <item m="1" x="33"/>
        <item m="1" x="50"/>
        <item m="1" x="45"/>
        <item m="1" x="51"/>
        <item x="10"/>
        <item x="6"/>
        <item x="17"/>
        <item m="1" x="49"/>
        <item x="5"/>
        <item x="14"/>
        <item x="1"/>
        <item m="1" x="22"/>
        <item t="default"/>
      </items>
    </pivotField>
    <pivotField axis="axisPage" multipleItemSelectionAllowed="1" showAll="0" defaultSubtotal="0">
      <items count="11">
        <item h="1" m="1" x="4"/>
        <item h="1" m="1" x="9"/>
        <item m="1" x="8"/>
        <item m="1" x="3"/>
        <item h="1" m="1" x="2"/>
        <item x="0"/>
        <item h="1" m="1" x="7"/>
        <item h="1" m="1" x="10"/>
        <item m="1" x="5"/>
        <item m="1" x="6"/>
        <item h="1" m="1" x="1"/>
      </items>
    </pivotField>
    <pivotField showAll="0"/>
    <pivotField subtotalTop="0" showAll="0"/>
    <pivotField dataField="1"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subtotalTop="0" showAll="0"/>
    <pivotField subtotalTop="0" showAll="0"/>
    <pivotField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5"/>
  </rowFields>
  <rowItems count="6">
    <i>
      <x v="15"/>
    </i>
    <i>
      <x v="22"/>
    </i>
    <i>
      <x v="29"/>
    </i>
    <i>
      <x v="38"/>
    </i>
    <i>
      <x v="44"/>
    </i>
    <i t="grand">
      <x/>
    </i>
  </rowItems>
  <colFields count="1">
    <field x="-2"/>
  </colFields>
  <colItems count="4">
    <i>
      <x/>
    </i>
    <i i="1">
      <x v="1"/>
    </i>
    <i i="2">
      <x v="2"/>
    </i>
    <i i="3">
      <x v="3"/>
    </i>
  </colItems>
  <pageFields count="4">
    <pageField fld="0" item="15" hier="-1"/>
    <pageField fld="78" hier="-1"/>
    <pageField fld="4" hier="-1"/>
    <pageField fld="6" hier="-1"/>
  </pageFields>
  <dataFields count="4">
    <dataField name="PoP " fld="9" baseField="0" baseItem="0" numFmtId="164"/>
    <dataField name=" % People benefitting from safe/improved drinking water, meeting demand for domestic purposes, at minimum/agreed standards" fld="84" baseField="0" baseItem="0" numFmtId="9"/>
    <dataField name=" % People benefitting from a functional excreta disposal system, reducing safety/public health/environmental risks" fld="86" baseField="0" baseItem="0" numFmtId="9"/>
    <dataField name=" %People benefitting from personal hygiene items and receiving appropriate hygiene message" fld="83" baseField="0" baseItem="0" numFmtId="9"/>
  </dataFields>
  <formats count="36">
    <format dxfId="102">
      <pivotArea type="all" dataOnly="0" outline="0" fieldPosition="0"/>
    </format>
    <format dxfId="101">
      <pivotArea outline="0" collapsedLevelsAreSubtotals="1" fieldPosition="0"/>
    </format>
    <format dxfId="100">
      <pivotArea field="5" type="button" dataOnly="0" labelOnly="1" outline="0" axis="axisRow" fieldPosition="0"/>
    </format>
    <format dxfId="99">
      <pivotArea dataOnly="0" labelOnly="1" outline="0" axis="axisValues" fieldPosition="0"/>
    </format>
    <format dxfId="98">
      <pivotArea dataOnly="0" labelOnly="1" fieldPosition="0">
        <references count="1">
          <reference field="5" count="0"/>
        </references>
      </pivotArea>
    </format>
    <format dxfId="97">
      <pivotArea dataOnly="0" labelOnly="1" grandRow="1" outline="0" fieldPosition="0"/>
    </format>
    <format dxfId="96">
      <pivotArea dataOnly="0" labelOnly="1" outline="0" axis="axisValues" fieldPosition="0"/>
    </format>
    <format dxfId="95">
      <pivotArea type="all" dataOnly="0" outline="0" fieldPosition="0"/>
    </format>
    <format dxfId="94">
      <pivotArea field="5" type="button" dataOnly="0" labelOnly="1" outline="0" axis="axisRow" fieldPosition="0"/>
    </format>
    <format dxfId="93">
      <pivotArea dataOnly="0" labelOnly="1" outline="0" axis="axisValues" fieldPosition="0"/>
    </format>
    <format dxfId="92">
      <pivotArea dataOnly="0" labelOnly="1" fieldPosition="0">
        <references count="1">
          <reference field="5" count="0"/>
        </references>
      </pivotArea>
    </format>
    <format dxfId="91">
      <pivotArea dataOnly="0" labelOnly="1" outline="0" axis="axisValues" fieldPosition="0"/>
    </format>
    <format dxfId="90">
      <pivotArea field="5" type="button" dataOnly="0" labelOnly="1" outline="0" axis="axisRow" fieldPosition="0"/>
    </format>
    <format dxfId="89">
      <pivotArea type="all" dataOnly="0" outline="0" fieldPosition="0"/>
    </format>
    <format dxfId="88">
      <pivotArea field="5" type="button" dataOnly="0" labelOnly="1" outline="0" axis="axisRow" fieldPosition="0"/>
    </format>
    <format dxfId="87">
      <pivotArea dataOnly="0" labelOnly="1" outline="0" fieldPosition="0">
        <references count="1">
          <reference field="4294967294" count="1">
            <x v="0"/>
          </reference>
        </references>
      </pivotArea>
    </format>
    <format dxfId="86">
      <pivotArea type="all" dataOnly="0" outline="0" fieldPosition="0"/>
    </format>
    <format dxfId="85">
      <pivotArea outline="0" collapsedLevelsAreSubtotals="1" fieldPosition="0"/>
    </format>
    <format dxfId="84">
      <pivotArea field="5" type="button" dataOnly="0" labelOnly="1" outline="0" axis="axisRow" fieldPosition="0"/>
    </format>
    <format dxfId="83">
      <pivotArea dataOnly="0" labelOnly="1" fieldPosition="0">
        <references count="1">
          <reference field="5" count="2">
            <x v="38"/>
            <x v="44"/>
          </reference>
        </references>
      </pivotArea>
    </format>
    <format dxfId="82">
      <pivotArea dataOnly="0" labelOnly="1" outline="0" fieldPosition="0">
        <references count="1">
          <reference field="4294967294" count="1">
            <x v="0"/>
          </reference>
        </references>
      </pivotArea>
    </format>
    <format dxfId="81">
      <pivotArea field="5" type="button" dataOnly="0" labelOnly="1" outline="0" axis="axisRow" fieldPosition="0"/>
    </format>
    <format dxfId="80">
      <pivotArea dataOnly="0" labelOnly="1" outline="0" fieldPosition="0">
        <references count="1">
          <reference field="4294967294" count="1">
            <x v="0"/>
          </reference>
        </references>
      </pivotArea>
    </format>
    <format dxfId="79">
      <pivotArea type="all" dataOnly="0" outline="0" fieldPosition="0"/>
    </format>
    <format dxfId="78">
      <pivotArea outline="0" collapsedLevelsAreSubtotals="1" fieldPosition="0"/>
    </format>
    <format dxfId="77">
      <pivotArea field="5" type="button" dataOnly="0" labelOnly="1" outline="0" axis="axisRow" fieldPosition="0"/>
    </format>
    <format dxfId="76">
      <pivotArea dataOnly="0" labelOnly="1" fieldPosition="0">
        <references count="1">
          <reference field="5" count="5">
            <x v="14"/>
            <x v="15"/>
            <x v="29"/>
            <x v="38"/>
            <x v="44"/>
          </reference>
        </references>
      </pivotArea>
    </format>
    <format dxfId="75">
      <pivotArea dataOnly="0" labelOnly="1" grandRow="1" outline="0" fieldPosition="0"/>
    </format>
    <format dxfId="74">
      <pivotArea dataOnly="0" labelOnly="1" outline="0" fieldPosition="0">
        <references count="1">
          <reference field="4294967294" count="1">
            <x v="0"/>
          </reference>
        </references>
      </pivotArea>
    </format>
    <format dxfId="73">
      <pivotArea field="4" type="button" dataOnly="0" labelOnly="1" outline="0" axis="axisPage" fieldPosition="2"/>
    </format>
    <format dxfId="72">
      <pivotArea dataOnly="0" labelOnly="1" outline="0" fieldPosition="0">
        <references count="2">
          <reference field="0" count="1" selected="0">
            <x v="7"/>
          </reference>
          <reference field="4" count="1">
            <x v="1"/>
          </reference>
        </references>
      </pivotArea>
    </format>
    <format dxfId="71">
      <pivotArea outline="0" collapsedLevelsAreSubtotals="1" fieldPosition="0">
        <references count="1">
          <reference field="4294967294" count="1" selected="0">
            <x v="0"/>
          </reference>
        </references>
      </pivotArea>
    </format>
    <format dxfId="70">
      <pivotArea dataOnly="0" labelOnly="1" outline="0" fieldPosition="0">
        <references count="2">
          <reference field="0" count="1" selected="0">
            <x v="8"/>
          </reference>
          <reference field="4" count="1">
            <x v="1"/>
          </reference>
        </references>
      </pivotArea>
    </format>
    <format dxfId="69">
      <pivotArea dataOnly="0" labelOnly="1" outline="0" fieldPosition="0">
        <references count="2">
          <reference field="0" count="1" selected="0">
            <x v="10"/>
          </reference>
          <reference field="4" count="0"/>
        </references>
      </pivotArea>
    </format>
    <format dxfId="68">
      <pivotArea outline="0" collapsedLevelsAreSubtotals="1" fieldPosition="0">
        <references count="1">
          <reference field="4294967294" count="3" selected="0">
            <x v="1"/>
            <x v="2"/>
            <x v="3"/>
          </reference>
        </references>
      </pivotArea>
    </format>
    <format dxfId="67">
      <pivotArea dataOnly="0" labelOnly="1" outline="0" fieldPosition="0">
        <references count="1">
          <reference field="4294967294" count="3">
            <x v="1"/>
            <x v="2"/>
            <x v="3"/>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800-000014000000}" name="R_H_CG_V"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2" rowHeaderCaption="State" colHeaderCaption=" ">
  <location ref="B166:D171" firstHeaderRow="0" firstDataRow="1" firstDataCol="1" rowPageCount="4" colPageCount="1"/>
  <pivotFields count="88">
    <pivotField axis="axisPage" subtotalTop="0" multipleItemSelectionAllowed="1" showAll="0">
      <items count="17">
        <item m="1" x="14"/>
        <item m="1" x="4"/>
        <item h="1" m="1" x="7"/>
        <item h="1" m="1" x="2"/>
        <item m="1" x="15"/>
        <item m="1" x="3"/>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axis="axisRow" subtotalTop="0" showAll="0">
      <items count="53">
        <item m="1" x="28"/>
        <item m="1" x="31"/>
        <item m="1" x="48"/>
        <item m="1" x="43"/>
        <item m="1" x="39"/>
        <item x="18"/>
        <item m="1" x="37"/>
        <item m="1" x="24"/>
        <item x="9"/>
        <item x="13"/>
        <item x="19"/>
        <item m="1" x="46"/>
        <item m="1" x="26"/>
        <item m="1" x="30"/>
        <item m="1" x="40"/>
        <item x="11"/>
        <item m="1" x="35"/>
        <item m="1" x="44"/>
        <item m="1" x="38"/>
        <item m="1" x="47"/>
        <item m="1" x="29"/>
        <item x="12"/>
        <item x="15"/>
        <item m="1" x="32"/>
        <item m="1" x="36"/>
        <item m="1" x="41"/>
        <item m="1" x="27"/>
        <item x="8"/>
        <item m="1" x="42"/>
        <item m="1" x="33"/>
        <item m="1" x="50"/>
        <item m="1" x="45"/>
        <item m="1" x="51"/>
        <item x="10"/>
        <item x="17"/>
        <item m="1" x="49"/>
        <item x="14"/>
        <item m="1" x="23"/>
        <item m="1" x="25"/>
        <item m="1" x="22"/>
        <item m="1" x="34"/>
        <item x="0"/>
        <item x="1"/>
        <item x="2"/>
        <item x="3"/>
        <item x="4"/>
        <item x="5"/>
        <item x="6"/>
        <item x="7"/>
        <item x="20"/>
        <item x="16"/>
        <item x="21"/>
        <item t="default"/>
      </items>
    </pivotField>
    <pivotField axis="axisPage" multipleItemSelectionAllowed="1" showAll="0" defaultSubtotal="0">
      <items count="11">
        <item h="1" m="1" x="4"/>
        <item h="1" m="1" x="9"/>
        <item m="1" x="8"/>
        <item m="1" x="6"/>
        <item m="1" x="3"/>
        <item m="1" x="2"/>
        <item x="0"/>
        <item m="1" x="7"/>
        <item h="1" m="1" x="10"/>
        <item m="1" x="5"/>
        <item h="1" m="1" x="1"/>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9"/>
    </i>
    <i>
      <x v="15"/>
    </i>
    <i>
      <x v="21"/>
    </i>
    <i>
      <x v="27"/>
    </i>
    <i>
      <x v="33"/>
    </i>
  </rowItems>
  <colFields count="1">
    <field x="-2"/>
  </colFields>
  <colItems count="2">
    <i>
      <x/>
    </i>
    <i i="1">
      <x v="1"/>
    </i>
  </colItems>
  <pageFields count="4">
    <pageField fld="0" hier="-1"/>
    <pageField fld="78" item="0" hier="-1"/>
    <pageField fld="4" hier="-1"/>
    <pageField fld="6" hier="-1"/>
  </pageFields>
  <dataFields count="2">
    <dataField name="  % Hygiene Coverage" fld="83" baseField="0" baseItem="0" numFmtId="1"/>
    <dataField name="  % Hygiene Gap" fld="82" baseField="0" baseItem="0" numFmtId="1"/>
  </dataFields>
  <formats count="11">
    <format dxfId="113">
      <pivotArea type="all" dataOnly="0" outline="0" fieldPosition="0"/>
    </format>
    <format dxfId="112">
      <pivotArea outline="0" collapsedLevelsAreSubtotals="1" fieldPosition="0"/>
    </format>
    <format dxfId="111">
      <pivotArea field="4" type="button" dataOnly="0" labelOnly="1" outline="0" axis="axisPage" fieldPosition="2"/>
    </format>
    <format dxfId="110">
      <pivotArea type="all" dataOnly="0" outline="0" fieldPosition="0"/>
    </format>
    <format dxfId="109">
      <pivotArea outline="0" collapsedLevelsAreSubtotals="1" fieldPosition="0"/>
    </format>
    <format dxfId="108">
      <pivotArea outline="0" collapsedLevelsAreSubtotals="1" fieldPosition="0"/>
    </format>
    <format dxfId="107">
      <pivotArea field="5" type="button" dataOnly="0" labelOnly="1" outline="0" axis="axisRow" fieldPosition="0"/>
    </format>
    <format dxfId="106">
      <pivotArea field="5" type="button" dataOnly="0" labelOnly="1" outline="0" axis="axisRow" fieldPosition="0"/>
    </format>
    <format dxfId="105">
      <pivotArea field="5" type="button" dataOnly="0" labelOnly="1" outline="0" axis="axisRow" fieldPosition="0"/>
    </format>
    <format dxfId="104">
      <pivotArea field="4" type="button" dataOnly="0" labelOnly="1" outline="0" axis="axisPage" fieldPosition="2"/>
    </format>
    <format dxfId="103">
      <pivotArea dataOnly="0" labelOnly="1" outline="0" fieldPosition="0">
        <references count="2">
          <reference field="4" count="0"/>
          <reference field="78" count="1" selected="0">
            <x v="0"/>
          </reference>
        </references>
      </pivotArea>
    </format>
  </formats>
  <chartFormats count="2">
    <chartFormat chart="49" format="4" series="1">
      <pivotArea type="data" outline="0" fieldPosition="0">
        <references count="1">
          <reference field="4294967294" count="1" selected="0">
            <x v="0"/>
          </reference>
        </references>
      </pivotArea>
    </chartFormat>
    <chartFormat chart="49" format="5"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23000000}" name="W_R_C_G_V"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7" rowHeaderCaption="State" colHeaderCaption=" ">
  <location ref="B54:D59" firstHeaderRow="0" firstDataRow="1" firstDataCol="1" rowPageCount="4" colPageCount="1"/>
  <pivotFields count="88">
    <pivotField axis="axisPage" subtotalTop="0" multipleItemSelectionAllowed="1" showAll="0">
      <items count="17">
        <item m="1" x="14"/>
        <item m="1" x="4"/>
        <item h="1" m="1" x="7"/>
        <item h="1" m="1" x="2"/>
        <item m="1" x="15"/>
        <item m="1" x="3"/>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axis="axisRow" subtotalTop="0" showAll="0">
      <items count="53">
        <item m="1" x="28"/>
        <item m="1" x="31"/>
        <item m="1" x="48"/>
        <item m="1" x="43"/>
        <item m="1" x="39"/>
        <item x="18"/>
        <item m="1" x="37"/>
        <item m="1" x="24"/>
        <item x="9"/>
        <item x="13"/>
        <item x="19"/>
        <item m="1" x="46"/>
        <item m="1" x="26"/>
        <item m="1" x="30"/>
        <item m="1" x="40"/>
        <item x="11"/>
        <item m="1" x="35"/>
        <item m="1" x="44"/>
        <item m="1" x="38"/>
        <item m="1" x="47"/>
        <item m="1" x="29"/>
        <item x="12"/>
        <item x="15"/>
        <item m="1" x="32"/>
        <item m="1" x="36"/>
        <item m="1" x="41"/>
        <item m="1" x="27"/>
        <item x="8"/>
        <item m="1" x="42"/>
        <item m="1" x="33"/>
        <item m="1" x="50"/>
        <item m="1" x="45"/>
        <item m="1" x="51"/>
        <item x="10"/>
        <item x="17"/>
        <item m="1" x="49"/>
        <item x="14"/>
        <item m="1" x="23"/>
        <item m="1" x="25"/>
        <item m="1" x="22"/>
        <item m="1" x="34"/>
        <item x="0"/>
        <item x="1"/>
        <item x="2"/>
        <item x="3"/>
        <item x="4"/>
        <item x="5"/>
        <item x="6"/>
        <item x="7"/>
        <item x="20"/>
        <item x="16"/>
        <item x="21"/>
        <item t="default"/>
      </items>
    </pivotField>
    <pivotField axis="axisPage" multipleItemSelectionAllowed="1" showAll="0" defaultSubtotal="0">
      <items count="11">
        <item h="1" m="1" x="4"/>
        <item h="1" m="1" x="9"/>
        <item m="1" x="8"/>
        <item m="1" x="6"/>
        <item m="1" x="3"/>
        <item m="1" x="2"/>
        <item x="0"/>
        <item m="1" x="7"/>
        <item h="1" m="1" x="10"/>
        <item m="1" x="5"/>
        <item h="1" m="1" x="1"/>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5">
    <i>
      <x v="9"/>
    </i>
    <i>
      <x v="15"/>
    </i>
    <i>
      <x v="21"/>
    </i>
    <i>
      <x v="27"/>
    </i>
    <i>
      <x v="33"/>
    </i>
  </rowItems>
  <colFields count="1">
    <field x="-2"/>
  </colFields>
  <colItems count="2">
    <i>
      <x/>
    </i>
    <i i="1">
      <x v="1"/>
    </i>
  </colItems>
  <pageFields count="4">
    <pageField fld="0" hier="-1"/>
    <pageField fld="78" item="0" hier="-1"/>
    <pageField fld="4" hier="-1"/>
    <pageField fld="6" hier="-1"/>
  </pageFields>
  <dataFields count="2">
    <dataField name="Accessed" fld="84" baseField="0" baseItem="0"/>
    <dataField name="No Access" fld="85" baseField="0" baseItem="0"/>
  </dataFields>
  <formats count="13">
    <format dxfId="126">
      <pivotArea field="4" type="button" dataOnly="0" labelOnly="1" outline="0" axis="axisPage" fieldPosition="2"/>
    </format>
    <format dxfId="125">
      <pivotArea type="all" dataOnly="0" outline="0" fieldPosition="0"/>
    </format>
    <format dxfId="124">
      <pivotArea outline="0" collapsedLevelsAreSubtotals="1" fieldPosition="0"/>
    </format>
    <format dxfId="123">
      <pivotArea field="4" type="button" dataOnly="0" labelOnly="1" outline="0" axis="axisPage" fieldPosition="2"/>
    </format>
    <format dxfId="122">
      <pivotArea type="all" dataOnly="0" outline="0" fieldPosition="0"/>
    </format>
    <format dxfId="121">
      <pivotArea outline="0" collapsedLevelsAreSubtotals="1" fieldPosition="0"/>
    </format>
    <format dxfId="120">
      <pivotArea outline="0" collapsedLevelsAreSubtotals="1" fieldPosition="0"/>
    </format>
    <format dxfId="119">
      <pivotArea field="5" type="button" dataOnly="0" labelOnly="1" outline="0" axis="axisRow" fieldPosition="0"/>
    </format>
    <format dxfId="118">
      <pivotArea field="5" type="button" dataOnly="0" labelOnly="1" outline="0" axis="axisRow" fieldPosition="0"/>
    </format>
    <format dxfId="117">
      <pivotArea field="5" type="button" dataOnly="0" labelOnly="1" outline="0" axis="axisRow" fieldPosition="0"/>
    </format>
    <format dxfId="116">
      <pivotArea field="4" type="button" dataOnly="0" labelOnly="1" outline="0" axis="axisPage" fieldPosition="2"/>
    </format>
    <format dxfId="115">
      <pivotArea dataOnly="0" labelOnly="1" outline="0" fieldPosition="0">
        <references count="2">
          <reference field="4" count="1">
            <x v="1"/>
          </reference>
          <reference field="78" count="1" selected="0">
            <x v="0"/>
          </reference>
        </references>
      </pivotArea>
    </format>
    <format dxfId="114">
      <pivotArea dataOnly="0" labelOnly="1" outline="0" fieldPosition="0">
        <references count="2">
          <reference field="4" count="1">
            <x v="2"/>
          </reference>
          <reference field="78" count="1" selected="0">
            <x v="0"/>
          </reference>
        </references>
      </pivotArea>
    </format>
  </formats>
  <chartFormats count="10">
    <chartFormat chart="44" format="3" series="1">
      <pivotArea type="data" outline="0" fieldPosition="0">
        <references count="1">
          <reference field="4294967294" count="1" selected="0">
            <x v="0"/>
          </reference>
        </references>
      </pivotArea>
    </chartFormat>
    <chartFormat chart="44" format="4" series="1">
      <pivotArea type="data" outline="0" fieldPosition="0">
        <references count="1">
          <reference field="4294967294" count="1" selected="0">
            <x v="1"/>
          </reference>
        </references>
      </pivotArea>
    </chartFormat>
    <chartFormat chart="47" format="5" series="1">
      <pivotArea type="data" outline="0" fieldPosition="0">
        <references count="1">
          <reference field="4294967294" count="1" selected="0">
            <x v="0"/>
          </reference>
        </references>
      </pivotArea>
    </chartFormat>
    <chartFormat chart="47" format="6" series="1">
      <pivotArea type="data" outline="0" fieldPosition="0">
        <references count="1">
          <reference field="4294967294" count="1" selected="0">
            <x v="1"/>
          </reference>
        </references>
      </pivotArea>
    </chartFormat>
    <chartFormat chart="48" format="7" series="1">
      <pivotArea type="data" outline="0" fieldPosition="0">
        <references count="1">
          <reference field="4294967294" count="1" selected="0">
            <x v="0"/>
          </reference>
        </references>
      </pivotArea>
    </chartFormat>
    <chartFormat chart="48" format="8" series="1">
      <pivotArea type="data" outline="0" fieldPosition="0">
        <references count="1">
          <reference field="4294967294" count="1" selected="0">
            <x v="1"/>
          </reference>
        </references>
      </pivotArea>
    </chartFormat>
    <chartFormat chart="55" format="5" series="1">
      <pivotArea type="data" outline="0" fieldPosition="0">
        <references count="1">
          <reference field="4294967294" count="1" selected="0">
            <x v="0"/>
          </reference>
        </references>
      </pivotArea>
    </chartFormat>
    <chartFormat chart="55" format="6" series="1">
      <pivotArea type="data" outline="0" fieldPosition="0">
        <references count="1">
          <reference field="4294967294" count="1" selected="0">
            <x v="1"/>
          </reference>
        </references>
      </pivotArea>
    </chartFormat>
    <chartFormat chart="56" format="7" series="1">
      <pivotArea type="data" outline="0" fieldPosition="0">
        <references count="1">
          <reference field="4294967294" count="1" selected="0">
            <x v="0"/>
          </reference>
        </references>
      </pivotArea>
    </chartFormat>
    <chartFormat chart="56" format="8"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EB54D17-4EA8-497B-94A9-BE4E9F388C7C}" name="PivotTable13"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4">
  <location ref="B44:B45" firstHeaderRow="1" firstDataRow="1" firstDataCol="0" rowPageCount="3" colPageCount="1"/>
  <pivotFields count="88">
    <pivotField axis="axisPage" subtotalTop="0" multipleItemSelectionAllowed="1" showAll="0">
      <items count="17">
        <item m="1" x="14"/>
        <item m="1" x="4"/>
        <item h="1" m="1" x="7"/>
        <item h="1" m="1" x="2"/>
        <item m="1" x="15"/>
        <item m="1" x="3"/>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subtotalTop="0" showAll="0"/>
    <pivotField multipleItemSelectionAllowed="1" showAll="0" defaultSubtotal="0"/>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3">
    <pageField fld="0" hier="-1"/>
    <pageField fld="4" hier="-1"/>
    <pageField fld="78" hier="-1"/>
  </pageFields>
  <dataFields count="1">
    <dataField name="Sum of #_of_people_accessing_to_other_types_of_un-improved_water_sources_(river,_spring)" fld="18" baseField="0" baseItem="0"/>
  </dataFields>
  <formats count="8">
    <format dxfId="134">
      <pivotArea type="all" dataOnly="0" outline="0" fieldPosition="0"/>
    </format>
    <format dxfId="133">
      <pivotArea outline="0" collapsedLevelsAreSubtotals="1" fieldPosition="0"/>
    </format>
    <format dxfId="132">
      <pivotArea type="all" dataOnly="0" outline="0" fieldPosition="0"/>
    </format>
    <format dxfId="131">
      <pivotArea type="all" dataOnly="0" outline="0" fieldPosition="0"/>
    </format>
    <format dxfId="130">
      <pivotArea outline="0" collapsedLevelsAreSubtotals="1" fieldPosition="0"/>
    </format>
    <format dxfId="129">
      <pivotArea field="4" type="button" dataOnly="0" labelOnly="1" outline="0" axis="axisPage" fieldPosition="1"/>
    </format>
    <format dxfId="128">
      <pivotArea dataOnly="0" labelOnly="1" outline="0" fieldPosition="0">
        <references count="1">
          <reference field="4" count="1">
            <x v="1"/>
          </reference>
        </references>
      </pivotArea>
    </format>
    <format dxfId="127">
      <pivotArea outline="0" collapsedLevelsAreSubtotals="1" fieldPosition="0"/>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18000000}" name="R_water1"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4">
  <location ref="B35:D36" firstHeaderRow="0" firstDataRow="1" firstDataCol="0" rowPageCount="3" colPageCount="1"/>
  <pivotFields count="88">
    <pivotField axis="axisPage" subtotalTop="0" multipleItemSelectionAllowed="1" showAll="0">
      <items count="17">
        <item m="1" x="14"/>
        <item m="1" x="4"/>
        <item h="1" m="1" x="7"/>
        <item h="1" m="1" x="2"/>
        <item m="1" x="15"/>
        <item m="1" x="3"/>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subtotalTop="0" showAll="0"/>
    <pivotField multipleItemSelectionAllowed="1" showAll="0" defaultSubtotal="0"/>
    <pivotField showAll="0"/>
    <pivotField subtotalTop="0" showAll="0"/>
    <pivotField subtotalTop="0" showAll="0"/>
    <pivotField showAll="0" defaultSubtotal="0"/>
    <pivotField showAll="0" defaultSubtotal="0"/>
    <pivotField showAll="0"/>
    <pivotField subtotalTop="0"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3">
    <pageField fld="0" hier="-1"/>
    <pageField fld="4" hier="-1"/>
    <pageField fld="78" hier="-1"/>
  </pageFields>
  <dataFields count="3">
    <dataField name=" # Functioning protected hand dug well/open well" fld="14" baseField="0" baseItem="0"/>
    <dataField name=" # Functioning Tube wells/boreholes/hand_pumps" fld="15" baseField="0" baseItem="0"/>
    <dataField name="  # Existing protected/fenced_ponds" fld="16" baseField="0" baseItem="0"/>
  </dataFields>
  <formats count="9">
    <format dxfId="143">
      <pivotArea type="all" dataOnly="0" outline="0" fieldPosition="0"/>
    </format>
    <format dxfId="142">
      <pivotArea outline="0" collapsedLevelsAreSubtotals="1" fieldPosition="0"/>
    </format>
    <format dxfId="141">
      <pivotArea type="all" dataOnly="0" outline="0" fieldPosition="0"/>
    </format>
    <format dxfId="140">
      <pivotArea type="all" dataOnly="0" outline="0" fieldPosition="0"/>
    </format>
    <format dxfId="139">
      <pivotArea outline="0" collapsedLevelsAreSubtotals="1" fieldPosition="0"/>
    </format>
    <format dxfId="138">
      <pivotArea field="4" type="button" dataOnly="0" labelOnly="1" outline="0" axis="axisPage" fieldPosition="1"/>
    </format>
    <format dxfId="137">
      <pivotArea dataOnly="0" labelOnly="1" outline="0" fieldPosition="0">
        <references count="1">
          <reference field="4" count="1">
            <x v="1"/>
          </reference>
        </references>
      </pivotArea>
    </format>
    <format dxfId="136">
      <pivotArea outline="0" collapsedLevelsAreSubtotals="1" fieldPosition="0"/>
    </format>
    <format dxfId="135">
      <pivotArea dataOnly="0" outline="0" fieldPosition="0">
        <references count="1">
          <reference field="4294967294" count="3">
            <x v="0"/>
            <x v="1"/>
            <x v="2"/>
          </reference>
        </references>
      </pivotArea>
    </format>
  </formats>
  <chartFormats count="3">
    <chartFormat chart="51" format="0" series="1">
      <pivotArea type="data" outline="0" fieldPosition="0">
        <references count="1">
          <reference field="4294967294" count="1" selected="0">
            <x v="0"/>
          </reference>
        </references>
      </pivotArea>
    </chartFormat>
    <chartFormat chart="51" format="1" series="1">
      <pivotArea type="data" outline="0" fieldPosition="0">
        <references count="1">
          <reference field="4294967294" count="1" selected="0">
            <x v="1"/>
          </reference>
        </references>
      </pivotArea>
    </chartFormat>
    <chartFormat chart="51" format="2" series="1">
      <pivotArea type="data" outline="0" fieldPosition="0">
        <references count="1">
          <reference field="4294967294" count="1" selected="0">
            <x v="2"/>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F000000}" name="PivotTable2"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8" rowHeaderCaption="State">
  <location ref="C285:D287" firstHeaderRow="1" firstDataRow="1" firstDataCol="1" rowPageCount="4" colPageCount="1"/>
  <pivotFields count="88">
    <pivotField axis="axisPage" subtotalTop="0" showAll="0">
      <items count="17">
        <item m="1" x="14"/>
        <item m="1" x="4"/>
        <item m="1" x="15"/>
        <item m="1" x="7"/>
        <item m="1" x="3"/>
        <item m="1" x="2"/>
        <item m="1" x="13"/>
        <item m="1" x="9"/>
        <item m="1" x="11"/>
        <item m="1" x="12"/>
        <item m="1" x="5"/>
        <item m="1" x="6"/>
        <item m="1" x="8"/>
        <item m="1" x="10"/>
        <item x="0"/>
        <item x="1"/>
        <item t="default"/>
      </items>
    </pivotField>
    <pivotField showAll="0" defaultSubtotal="0"/>
    <pivotField showAll="0" defaultSubtotal="0"/>
    <pivotField subtotalTop="0" showAll="0"/>
    <pivotField axis="axisPage" subtotalTop="0" multipleItemSelectionAllowed="1" showAll="0">
      <items count="8">
        <item x="2"/>
        <item m="1" x="5"/>
        <item h="1" x="0"/>
        <item m="1" x="4"/>
        <item x="1"/>
        <item m="1" x="6"/>
        <item h="1" x="3"/>
        <item t="default"/>
      </items>
    </pivotField>
    <pivotField subtotalTop="0" showAll="0"/>
    <pivotField axis="axisPage" multipleItemSelectionAllowed="1" showAll="0" defaultSubtotal="0">
      <items count="11">
        <item m="1" x="4"/>
        <item m="1" x="9"/>
        <item m="1" x="8"/>
        <item h="1" m="1" x="6"/>
        <item m="1" x="3"/>
        <item m="1" x="2"/>
        <item x="0"/>
        <item m="1" x="7"/>
        <item h="1" m="1" x="10"/>
        <item m="1" x="5"/>
        <item h="1" m="1" x="1"/>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numFmtId="1" showAll="0"/>
    <pivotField numFmtId="1" showAll="0"/>
    <pivotField numFmtId="164" showAll="0"/>
    <pivotField axis="axisRow" dataField="1" showAll="0" sortType="descending">
      <items count="3">
        <item x="1"/>
        <item x="0"/>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71"/>
  </rowFields>
  <rowItems count="2">
    <i>
      <x/>
    </i>
    <i>
      <x v="1"/>
    </i>
  </rowItems>
  <colItems count="1">
    <i/>
  </colItems>
  <pageFields count="4">
    <pageField fld="0" item="15" hier="-1"/>
    <pageField fld="4" hier="-1"/>
    <pageField fld="78" hier="-1"/>
    <pageField fld="6" hier="-1"/>
  </pageFields>
  <dataFields count="1">
    <dataField name="Count of Village with School" fld="71" subtotal="count" baseField="62" baseItem="1" numFmtId="164"/>
  </dataFields>
  <formats count="15">
    <format dxfId="158">
      <pivotArea type="all" dataOnly="0" outline="0" fieldPosition="0"/>
    </format>
    <format dxfId="157">
      <pivotArea outline="0" collapsedLevelsAreSubtotals="1" fieldPosition="0"/>
    </format>
    <format dxfId="156">
      <pivotArea field="4" type="button" dataOnly="0" labelOnly="1" outline="0" axis="axisPage" fieldPosition="1"/>
    </format>
    <format dxfId="155">
      <pivotArea dataOnly="0" labelOnly="1" grandRow="1" outline="0" fieldPosition="0"/>
    </format>
    <format dxfId="154">
      <pivotArea type="all" dataOnly="0" outline="0" fieldPosition="0"/>
    </format>
    <format dxfId="153">
      <pivotArea outline="0" collapsedLevelsAreSubtotals="1" fieldPosition="0"/>
    </format>
    <format dxfId="152">
      <pivotArea type="origin" dataOnly="0" labelOnly="1" outline="0" fieldPosition="0"/>
    </format>
    <format dxfId="151">
      <pivotArea field="78" type="button" dataOnly="0" labelOnly="1" outline="0" axis="axisPage" fieldPosition="2"/>
    </format>
    <format dxfId="150">
      <pivotArea type="topRight" dataOnly="0" labelOnly="1" outline="0" fieldPosition="0"/>
    </format>
    <format dxfId="149">
      <pivotArea dataOnly="0" labelOnly="1" fieldPosition="0">
        <references count="1">
          <reference field="78" count="0"/>
        </references>
      </pivotArea>
    </format>
    <format dxfId="148">
      <pivotArea type="all" dataOnly="0" outline="0" fieldPosition="0"/>
    </format>
    <format dxfId="147">
      <pivotArea outline="0" collapsedLevelsAreSubtotals="1" fieldPosition="0"/>
    </format>
    <format dxfId="146">
      <pivotArea field="4" type="button" dataOnly="0" labelOnly="1" outline="0" axis="axisPage" fieldPosition="1"/>
    </format>
    <format dxfId="145">
      <pivotArea outline="0" fieldPosition="0">
        <references count="1">
          <reference field="4294967294" count="1">
            <x v="0"/>
          </reference>
        </references>
      </pivotArea>
    </format>
    <format dxfId="144">
      <pivotArea outline="0" collapsedLevelsAreSubtotals="1" fieldPosition="0"/>
    </format>
  </formats>
  <chartFormats count="9">
    <chartFormat chart="12" format="0" series="1">
      <pivotArea type="data" outline="0" fieldPosition="0">
        <references count="1">
          <reference field="4294967294" count="1" selected="0">
            <x v="0"/>
          </reference>
        </references>
      </pivotArea>
    </chartFormat>
    <chartFormat chart="12" format="1">
      <pivotArea type="data" outline="0" fieldPosition="0">
        <references count="2">
          <reference field="4294967294" count="1" selected="0">
            <x v="0"/>
          </reference>
          <reference field="71" count="1" selected="0">
            <x v="0"/>
          </reference>
        </references>
      </pivotArea>
    </chartFormat>
    <chartFormat chart="12" format="2">
      <pivotArea type="data" outline="0" fieldPosition="0">
        <references count="2">
          <reference field="4294967294" count="1" selected="0">
            <x v="0"/>
          </reference>
          <reference field="71" count="1" selected="0">
            <x v="1"/>
          </reference>
        </references>
      </pivotArea>
    </chartFormat>
    <chartFormat chart="15" format="6" series="1">
      <pivotArea type="data" outline="0" fieldPosition="0">
        <references count="1">
          <reference field="4294967294" count="1" selected="0">
            <x v="0"/>
          </reference>
        </references>
      </pivotArea>
    </chartFormat>
    <chartFormat chart="15" format="7">
      <pivotArea type="data" outline="0" fieldPosition="0">
        <references count="2">
          <reference field="4294967294" count="1" selected="0">
            <x v="0"/>
          </reference>
          <reference field="71" count="1" selected="0">
            <x v="0"/>
          </reference>
        </references>
      </pivotArea>
    </chartFormat>
    <chartFormat chart="15" format="8">
      <pivotArea type="data" outline="0" fieldPosition="0">
        <references count="2">
          <reference field="4294967294" count="1" selected="0">
            <x v="0"/>
          </reference>
          <reference field="71" count="1" selected="0">
            <x v="1"/>
          </reference>
        </references>
      </pivotArea>
    </chartFormat>
    <chartFormat chart="17" format="12" series="1">
      <pivotArea type="data" outline="0" fieldPosition="0">
        <references count="1">
          <reference field="4294967294" count="1" selected="0">
            <x v="0"/>
          </reference>
        </references>
      </pivotArea>
    </chartFormat>
    <chartFormat chart="17" format="13">
      <pivotArea type="data" outline="0" fieldPosition="0">
        <references count="2">
          <reference field="4294967294" count="1" selected="0">
            <x v="0"/>
          </reference>
          <reference field="71" count="1" selected="0">
            <x v="0"/>
          </reference>
        </references>
      </pivotArea>
    </chartFormat>
    <chartFormat chart="17" format="14">
      <pivotArea type="data" outline="0" fieldPosition="0">
        <references count="2">
          <reference field="4294967294" count="1" selected="0">
            <x v="0"/>
          </reference>
          <reference field="71" count="1" selected="0">
            <x v="1"/>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7D8611E-D9D7-4442-B182-B1A118D1E03A}" name="PivotTable4"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B123:C125" firstHeaderRow="1" firstDataRow="1" firstDataCol="1" rowPageCount="4" colPageCount="1"/>
  <pivotFields count="88">
    <pivotField axis="axisPage" subtotalTop="0" multipleItemSelectionAllowed="1" showAll="0">
      <items count="17">
        <item m="1" x="14"/>
        <item m="1" x="4"/>
        <item m="1" x="15"/>
        <item h="1" m="1" x="7"/>
        <item m="1" x="3"/>
        <item h="1" m="1" x="2"/>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subtotalTop="0" showAll="0"/>
    <pivotField axis="axisPage" multipleItemSelectionAllowed="1" showAll="0" defaultSubtotal="0">
      <items count="11">
        <item m="1" x="4"/>
        <item m="1" x="9"/>
        <item m="1" x="8"/>
        <item m="1" x="6"/>
        <item m="1" x="3"/>
        <item m="1" x="2"/>
        <item x="0"/>
        <item m="1" x="7"/>
        <item h="1" m="1" x="10"/>
        <item m="1" x="5"/>
        <item h="1" m="1" x="1"/>
      </items>
    </pivotField>
    <pivotField showAll="0"/>
    <pivotField subtotalTop="0" showAll="0"/>
    <pivotField subtotalTop="0" showAll="0"/>
    <pivotField showAll="0" defaultSubtotal="0"/>
    <pivotField showAll="0" defaultSubtotal="0"/>
    <pivotField dataField="1" showAll="0"/>
    <pivotField subtotalTop="0"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Items count="1">
    <i/>
  </colItems>
  <pageFields count="4">
    <pageField fld="0" hier="-1"/>
    <pageField fld="4" hier="-1"/>
    <pageField fld="78" hier="-1"/>
    <pageField fld="6" hier="-1"/>
  </pageFields>
  <dataFields count="2">
    <dataField name="Sum of #of students in school" fld="12" baseField="0" baseItem="0"/>
    <dataField name="Sum of #_of_Functioning_latrines_in_school" fld="23" baseField="0" baseItem="0"/>
  </dataFields>
  <formats count="11">
    <format dxfId="169">
      <pivotArea field="4" type="button" dataOnly="0" labelOnly="1" outline="0" axis="axisPage" fieldPosition="1"/>
    </format>
    <format dxfId="168">
      <pivotArea type="all" dataOnly="0" outline="0" fieldPosition="0"/>
    </format>
    <format dxfId="167">
      <pivotArea outline="0" collapsedLevelsAreSubtotals="1" fieldPosition="0"/>
    </format>
    <format dxfId="166">
      <pivotArea type="origin" dataOnly="0" labelOnly="1" outline="0" fieldPosition="0"/>
    </format>
    <format dxfId="165">
      <pivotArea type="topRight" dataOnly="0" labelOnly="1" outline="0" fieldPosition="0"/>
    </format>
    <format dxfId="164">
      <pivotArea field="-2" type="button" dataOnly="0" labelOnly="1" outline="0" axis="axisRow" fieldPosition="0"/>
    </format>
    <format dxfId="163">
      <pivotArea type="all" dataOnly="0" outline="0" fieldPosition="0"/>
    </format>
    <format dxfId="162">
      <pivotArea outline="0" collapsedLevelsAreSubtotals="1" fieldPosition="0"/>
    </format>
    <format dxfId="161">
      <pivotArea field="4" type="button" dataOnly="0" labelOnly="1" outline="0" axis="axisPage" fieldPosition="1"/>
    </format>
    <format dxfId="160">
      <pivotArea dataOnly="0" labelOnly="1" outline="0" fieldPosition="0">
        <references count="1">
          <reference field="4" count="1">
            <x v="1"/>
          </reference>
        </references>
      </pivotArea>
    </format>
    <format dxfId="159">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253:E254" firstHeaderRow="0" firstDataRow="1" firstDataCol="0" rowPageCount="2" colPageCount="1"/>
  <pivotFields count="88">
    <pivotField axis="axisPage" subtotalTop="0" showAll="0">
      <items count="17">
        <item m="1" x="14"/>
        <item m="1" x="4"/>
        <item m="1" x="15"/>
        <item m="1" x="7"/>
        <item m="1" x="3"/>
        <item m="1" x="2"/>
        <item m="1" x="13"/>
        <item m="1" x="9"/>
        <item m="1" x="11"/>
        <item m="1" x="12"/>
        <item m="1" x="5"/>
        <item m="1" x="6"/>
        <item m="1" x="8"/>
        <item m="1" x="10"/>
        <item x="0"/>
        <item x="1"/>
        <item t="default"/>
      </items>
    </pivotField>
    <pivotField showAll="0" defaultSubtotal="0"/>
    <pivotField showAll="0" defaultSubtotal="0"/>
    <pivotField subtotalTop="0" showAll="0"/>
    <pivotField subtotalTop="0" multipleItemSelectionAllowed="1" showAll="0">
      <items count="8">
        <item x="2"/>
        <item m="1" x="5"/>
        <item x="0"/>
        <item h="1" m="1" x="4"/>
        <item x="1"/>
        <item m="1" x="6"/>
        <item h="1" x="3"/>
        <item t="default"/>
      </items>
    </pivotField>
    <pivotField subtotalTop="0" showAll="0"/>
    <pivotField showAll="0" defaultSubtotal="0"/>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dataField="1"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item="15" hier="-1"/>
    <pageField fld="78" hier="-1"/>
  </pageFields>
  <dataFields count="3">
    <dataField name="Sum of #_of_functional_handwashing_facilities_at_school" fld="36" baseField="0" baseItem="0"/>
    <dataField name="Sum of #_of_Functioning_latrines_in_school" fld="23" baseField="0" baseItem="0"/>
    <dataField name="Sum of #_Functioning_water_points_at_school" fld="19" baseField="0" baseItem="0"/>
  </dataFields>
  <formats count="17">
    <format dxfId="186">
      <pivotArea type="all" dataOnly="0" outline="0" fieldPosition="0"/>
    </format>
    <format dxfId="185">
      <pivotArea outline="0" collapsedLevelsAreSubtotals="1" fieldPosition="0"/>
    </format>
    <format dxfId="184">
      <pivotArea field="4" type="button" dataOnly="0" labelOnly="1" outline="0"/>
    </format>
    <format dxfId="183">
      <pivotArea dataOnly="0" labelOnly="1" grandRow="1" outline="0" fieldPosition="0"/>
    </format>
    <format dxfId="182">
      <pivotArea type="all" dataOnly="0" outline="0" fieldPosition="0"/>
    </format>
    <format dxfId="181">
      <pivotArea outline="0" collapsedLevelsAreSubtotals="1" fieldPosition="0"/>
    </format>
    <format dxfId="180">
      <pivotArea type="origin" dataOnly="0" labelOnly="1" outline="0" fieldPosition="0"/>
    </format>
    <format dxfId="179">
      <pivotArea field="78" type="button" dataOnly="0" labelOnly="1" outline="0" axis="axisPage" fieldPosition="1"/>
    </format>
    <format dxfId="178">
      <pivotArea type="topRight" dataOnly="0" labelOnly="1" outline="0" fieldPosition="0"/>
    </format>
    <format dxfId="177">
      <pivotArea dataOnly="0" labelOnly="1" fieldPosition="0">
        <references count="1">
          <reference field="78" count="0"/>
        </references>
      </pivotArea>
    </format>
    <format dxfId="176">
      <pivotArea type="all" dataOnly="0" outline="0" fieldPosition="0"/>
    </format>
    <format dxfId="175">
      <pivotArea outline="0" collapsedLevelsAreSubtotals="1" fieldPosition="0"/>
    </format>
    <format dxfId="174">
      <pivotArea field="4" type="button" dataOnly="0" labelOnly="1" outline="0"/>
    </format>
    <format dxfId="173">
      <pivotArea outline="0" collapsedLevelsAreSubtotals="1" fieldPosition="0"/>
    </format>
    <format dxfId="172">
      <pivotArea field="4" type="button" dataOnly="0" labelOnly="1" outline="0"/>
    </format>
    <format dxfId="171">
      <pivotArea field="4" type="button" dataOnly="0" labelOnly="1" outline="0"/>
    </format>
    <format dxfId="170">
      <pivotArea field="4" type="button" dataOnly="0" labelOnly="1" outline="0"/>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800-000012000000}" name="R_Geo"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8">
  <location ref="H189:I191" firstHeaderRow="1" firstDataRow="2" firstDataCol="1" rowPageCount="2" colPageCount="1"/>
  <pivotFields count="88">
    <pivotField axis="axisPage" subtotalTop="0" showAll="0">
      <items count="17">
        <item m="1" x="14"/>
        <item m="1" x="4"/>
        <item m="1" x="15"/>
        <item m="1" x="7"/>
        <item m="1" x="3"/>
        <item m="1" x="2"/>
        <item m="1" x="13"/>
        <item m="1" x="9"/>
        <item m="1" x="11"/>
        <item m="1" x="12"/>
        <item m="1" x="5"/>
        <item m="1" x="6"/>
        <item m="1" x="8"/>
        <item m="1" x="10"/>
        <item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subtotalTop="0" showAll="0"/>
    <pivotField axis="axisRow" showAll="0" defaultSubtotal="0">
      <items count="11">
        <item m="1" x="4"/>
        <item m="1" x="9"/>
        <item m="1" x="8"/>
        <item m="1" x="3"/>
        <item m="1" x="2"/>
        <item x="0"/>
        <item m="1" x="7"/>
        <item m="1" x="10"/>
        <item m="1" x="5"/>
        <item m="1" x="6"/>
        <item m="1" x="1"/>
      </items>
    </pivotField>
    <pivotField dataField="1"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v="5"/>
    </i>
  </rowItems>
  <colFields count="1">
    <field x="78"/>
  </colFields>
  <colItems count="1">
    <i>
      <x/>
    </i>
  </colItems>
  <pageFields count="2">
    <pageField fld="0" item="15" hier="-1"/>
    <pageField fld="4" hier="-1"/>
  </pageFields>
  <dataFields count="1">
    <dataField name="Count of Village  Name" fld="7" subtotal="count" baseField="6" baseItem="5"/>
  </dataFields>
  <formats count="18">
    <format dxfId="204">
      <pivotArea type="all" dataOnly="0" outline="0" fieldPosition="0"/>
    </format>
    <format dxfId="203">
      <pivotArea outline="0" collapsedLevelsAreSubtotals="1" fieldPosition="0"/>
    </format>
    <format dxfId="202">
      <pivotArea field="4" type="button" dataOnly="0" labelOnly="1" outline="0" axis="axisPage" fieldPosition="1"/>
    </format>
    <format dxfId="201">
      <pivotArea dataOnly="0" labelOnly="1" fieldPosition="0">
        <references count="1">
          <reference field="4" count="0"/>
        </references>
      </pivotArea>
    </format>
    <format dxfId="200">
      <pivotArea dataOnly="0" labelOnly="1" grandRow="1" outline="0" fieldPosition="0"/>
    </format>
    <format dxfId="199">
      <pivotArea type="all" dataOnly="0" outline="0" fieldPosition="0"/>
    </format>
    <format dxfId="198">
      <pivotArea outline="0" collapsedLevelsAreSubtotals="1" fieldPosition="0"/>
    </format>
    <format dxfId="197">
      <pivotArea type="origin" dataOnly="0" labelOnly="1" outline="0" fieldPosition="0"/>
    </format>
    <format dxfId="196">
      <pivotArea field="78" type="button" dataOnly="0" labelOnly="1" outline="0" axis="axisCol" fieldPosition="0"/>
    </format>
    <format dxfId="195">
      <pivotArea type="topRight" dataOnly="0" labelOnly="1" outline="0" fieldPosition="0"/>
    </format>
    <format dxfId="194">
      <pivotArea dataOnly="0" labelOnly="1" fieldPosition="0">
        <references count="1">
          <reference field="78" count="0"/>
        </references>
      </pivotArea>
    </format>
    <format dxfId="193">
      <pivotArea type="all" dataOnly="0" outline="0" fieldPosition="0"/>
    </format>
    <format dxfId="192">
      <pivotArea outline="0" collapsedLevelsAreSubtotals="1" fieldPosition="0"/>
    </format>
    <format dxfId="191">
      <pivotArea dataOnly="0" labelOnly="1" fieldPosition="0">
        <references count="1">
          <reference field="78" count="0"/>
        </references>
      </pivotArea>
    </format>
    <format dxfId="190">
      <pivotArea field="4" type="button" dataOnly="0" labelOnly="1" outline="0" axis="axisPage" fieldPosition="1"/>
    </format>
    <format dxfId="189">
      <pivotArea dataOnly="0" labelOnly="1" outline="0" fieldPosition="0">
        <references count="2">
          <reference field="0" count="1" selected="0">
            <x v="7"/>
          </reference>
          <reference field="4" count="0"/>
        </references>
      </pivotArea>
    </format>
    <format dxfId="188">
      <pivotArea dataOnly="0" labelOnly="1" outline="0" fieldPosition="0">
        <references count="2">
          <reference field="0" count="1" selected="0">
            <x v="8"/>
          </reference>
          <reference field="4" count="0"/>
        </references>
      </pivotArea>
    </format>
    <format dxfId="187">
      <pivotArea dataOnly="0" labelOnly="1" outline="0" fieldPosition="0">
        <references count="2">
          <reference field="0" count="1" selected="0">
            <x v="9"/>
          </reference>
          <reference field="4" count="0"/>
        </references>
      </pivotArea>
    </format>
  </formats>
  <chartFormats count="15">
    <chartFormat chart="9" format="11" series="1">
      <pivotArea type="data" outline="0" fieldPosition="0">
        <references count="1">
          <reference field="78" count="1" selected="0">
            <x v="0"/>
          </reference>
        </references>
      </pivotArea>
    </chartFormat>
    <chartFormat chart="9" format="12" series="1">
      <pivotArea type="data" outline="0" fieldPosition="0">
        <references count="1">
          <reference field="78" count="1" selected="0">
            <x v="1"/>
          </reference>
        </references>
      </pivotArea>
    </chartFormat>
    <chartFormat chart="16" format="11" series="1">
      <pivotArea type="data" outline="0" fieldPosition="0">
        <references count="1">
          <reference field="78" count="1" selected="0">
            <x v="0"/>
          </reference>
        </references>
      </pivotArea>
    </chartFormat>
    <chartFormat chart="16" format="12" series="1">
      <pivotArea type="data" outline="0" fieldPosition="0">
        <references count="1">
          <reference field="78" count="1" selected="0">
            <x v="1"/>
          </reference>
        </references>
      </pivotArea>
    </chartFormat>
    <chartFormat chart="16" format="13" series="1">
      <pivotArea type="data" outline="0" fieldPosition="0"/>
    </chartFormat>
    <chartFormat chart="9" format="13" series="1">
      <pivotArea type="data" outline="0" fieldPosition="0"/>
    </chartFormat>
    <chartFormat chart="16" format="14" series="1">
      <pivotArea type="data" outline="0" fieldPosition="0">
        <references count="1">
          <reference field="4294967294" count="1" selected="0">
            <x v="0"/>
          </reference>
        </references>
      </pivotArea>
    </chartFormat>
    <chartFormat chart="9" format="14" series="1">
      <pivotArea type="data" outline="0" fieldPosition="0">
        <references count="1">
          <reference field="4294967294" count="1" selected="0">
            <x v="0"/>
          </reference>
        </references>
      </pivotArea>
    </chartFormat>
    <chartFormat chart="16" format="15" series="1">
      <pivotArea type="data" outline="0" fieldPosition="0">
        <references count="2">
          <reference field="4294967294" count="1" selected="0">
            <x v="0"/>
          </reference>
          <reference field="78" count="1" selected="0">
            <x v="0"/>
          </reference>
        </references>
      </pivotArea>
    </chartFormat>
    <chartFormat chart="16" format="16" series="1">
      <pivotArea type="data" outline="0" fieldPosition="0">
        <references count="2">
          <reference field="4294967294" count="1" selected="0">
            <x v="0"/>
          </reference>
          <reference field="78" count="1" selected="0">
            <x v="1"/>
          </reference>
        </references>
      </pivotArea>
    </chartFormat>
    <chartFormat chart="9" format="15" series="1">
      <pivotArea type="data" outline="0" fieldPosition="0">
        <references count="2">
          <reference field="4294967294" count="1" selected="0">
            <x v="0"/>
          </reference>
          <reference field="78" count="1" selected="0">
            <x v="0"/>
          </reference>
        </references>
      </pivotArea>
    </chartFormat>
    <chartFormat chart="9" format="16" series="1">
      <pivotArea type="data" outline="0" fieldPosition="0">
        <references count="2">
          <reference field="4294967294" count="1" selected="0">
            <x v="0"/>
          </reference>
          <reference field="78" count="1" selected="0">
            <x v="1"/>
          </reference>
        </references>
      </pivotArea>
    </chartFormat>
    <chartFormat chart="33" format="19" series="1">
      <pivotArea type="data" outline="0" fieldPosition="0">
        <references count="2">
          <reference field="4294967294" count="1" selected="0">
            <x v="0"/>
          </reference>
          <reference field="78" count="1" selected="0">
            <x v="0"/>
          </reference>
        </references>
      </pivotArea>
    </chartFormat>
    <chartFormat chart="33" format="20" series="1">
      <pivotArea type="data" outline="0" fieldPosition="0">
        <references count="2">
          <reference field="4294967294" count="1" selected="0">
            <x v="0"/>
          </reference>
          <reference field="78" count="1" selected="0">
            <x v="1"/>
          </reference>
        </references>
      </pivotArea>
    </chartFormat>
    <chartFormat chart="33" format="21" series="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5CA713E-8BC9-4E1C-A536-E9072B8486A9}" name="W_items"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0">
  <location ref="J34:K37" firstHeaderRow="1" firstDataRow="1" firstDataCol="1" rowPageCount="3" colPageCount="1"/>
  <pivotFields count="88">
    <pivotField axis="axisPage" subtotalTop="0" multipleItemSelectionAllowed="1" showAll="0">
      <items count="17">
        <item m="1" x="14"/>
        <item m="1" x="4"/>
        <item h="1" m="1" x="7"/>
        <item h="1" m="1" x="2"/>
        <item m="1" x="15"/>
        <item m="1" x="3"/>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subtotalTop="0" showAll="0"/>
    <pivotField multipleItemSelectionAllowed="1" showAll="0" defaultSubtotal="0"/>
    <pivotField showAll="0"/>
    <pivotField subtotalTop="0" showAll="0"/>
    <pivotField dataField="1"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dataField="1" showAll="0" defaultSubtotal="0"/>
    <pivotField showAll="0"/>
    <pivotField dataField="1"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3">
    <pageField fld="0" hier="-1"/>
    <pageField fld="4" hier="-1"/>
    <pageField fld="78" hier="-1"/>
  </pageFields>
  <dataFields count="3">
    <dataField name="Sum of #People access to unimproved water sources" fld="48" baseField="0" baseItem="0"/>
    <dataField name="Sum of # people with equitable and continuous access to sufficient quantity of safe drinking water" fld="46" baseField="0" baseItem="0"/>
    <dataField name="Sum of Total PoP " fld="9" baseField="0" baseItem="0"/>
  </dataFields>
  <formats count="8">
    <format dxfId="212">
      <pivotArea type="all" dataOnly="0" outline="0" fieldPosition="0"/>
    </format>
    <format dxfId="211">
      <pivotArea outline="0" collapsedLevelsAreSubtotals="1" fieldPosition="0"/>
    </format>
    <format dxfId="210">
      <pivotArea type="all" dataOnly="0" outline="0" fieldPosition="0"/>
    </format>
    <format dxfId="209">
      <pivotArea type="all" dataOnly="0" outline="0" fieldPosition="0"/>
    </format>
    <format dxfId="208">
      <pivotArea outline="0" collapsedLevelsAreSubtotals="1" fieldPosition="0"/>
    </format>
    <format dxfId="207">
      <pivotArea field="4" type="button" dataOnly="0" labelOnly="1" outline="0" axis="axisPage" fieldPosition="1"/>
    </format>
    <format dxfId="206">
      <pivotArea dataOnly="0" labelOnly="1" outline="0" fieldPosition="0">
        <references count="1">
          <reference field="4" count="1">
            <x v="1"/>
          </reference>
        </references>
      </pivotArea>
    </format>
    <format dxfId="205">
      <pivotArea outline="0" collapsedLevelsAreSubtotals="1" fieldPosition="0"/>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800-00000A000000}" name="latrine_Rak"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B75:C78" firstHeaderRow="1" firstDataRow="2" firstDataCol="1" rowPageCount="3" colPageCount="1"/>
  <pivotFields count="88">
    <pivotField axis="axisPage" subtotalTop="0" multipleItemSelectionAllowed="1" showAll="0">
      <items count="17">
        <item m="1" x="14"/>
        <item m="1" x="4"/>
        <item m="1" x="15"/>
        <item h="1" m="1" x="7"/>
        <item m="1" x="3"/>
        <item h="1" m="1" x="2"/>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subtotalTop="0" showAll="0"/>
    <pivotField axis="axisCol" multipleItemSelectionAllowed="1" showAll="0" defaultSubtotal="0">
      <items count="11">
        <item n="# in active camps (20:1)" m="1" x="4"/>
        <item m="1" x="9"/>
        <item m="1" x="8"/>
        <item h="1" m="1" x="6"/>
        <item m="1" x="3"/>
        <item m="1" x="2"/>
        <item n="# in villages (6:1)" x="0"/>
        <item m="1" x="7"/>
        <item h="1" m="1" x="10"/>
        <item m="1" x="5"/>
        <item h="1" m="1" x="1"/>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dataField="1"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Fields count="1">
    <field x="6"/>
  </colFields>
  <colItems count="1">
    <i>
      <x v="6"/>
    </i>
  </colItems>
  <pageFields count="3">
    <pageField fld="0" hier="-1"/>
    <pageField fld="4" hier="-1"/>
    <pageField fld="78" hier="-1"/>
  </pageFields>
  <dataFields count="2">
    <dataField name="# latrines (target)" fld="59" baseField="0" baseItem="0"/>
    <dataField name="Sum of #_of_sanitary_fly-proof_HH_latrines" fld="21" baseField="0" baseItem="0"/>
  </dataFields>
  <formats count="12">
    <format dxfId="224">
      <pivotArea field="4" type="button" dataOnly="0" labelOnly="1" outline="0" axis="axisPage" fieldPosition="1"/>
    </format>
    <format dxfId="223">
      <pivotArea type="all" dataOnly="0" outline="0" fieldPosition="0"/>
    </format>
    <format dxfId="222">
      <pivotArea outline="0" collapsedLevelsAreSubtotals="1" fieldPosition="0"/>
    </format>
    <format dxfId="221">
      <pivotArea type="origin" dataOnly="0" labelOnly="1" outline="0" fieldPosition="0"/>
    </format>
    <format dxfId="220">
      <pivotArea type="topRight" dataOnly="0" labelOnly="1" outline="0" fieldPosition="0"/>
    </format>
    <format dxfId="219">
      <pivotArea field="-2" type="button" dataOnly="0" labelOnly="1" outline="0" axis="axisRow" fieldPosition="0"/>
    </format>
    <format dxfId="218">
      <pivotArea type="all" dataOnly="0" outline="0" fieldPosition="0"/>
    </format>
    <format dxfId="217">
      <pivotArea outline="0" collapsedLevelsAreSubtotals="1" fieldPosition="0"/>
    </format>
    <format dxfId="216">
      <pivotArea dataOnly="0" labelOnly="1" outline="0" fieldPosition="0">
        <references count="1">
          <reference field="4294967294" count="1">
            <x v="0"/>
          </reference>
        </references>
      </pivotArea>
    </format>
    <format dxfId="215">
      <pivotArea field="4" type="button" dataOnly="0" labelOnly="1" outline="0" axis="axisPage" fieldPosition="1"/>
    </format>
    <format dxfId="214">
      <pivotArea dataOnly="0" labelOnly="1" outline="0" fieldPosition="0">
        <references count="1">
          <reference field="4" count="1">
            <x v="1"/>
          </reference>
        </references>
      </pivotArea>
    </format>
    <format dxfId="213">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B1FC6499-5435-4825-9D31-2FE89506D820}" name="PivotTable5" cacheId="0"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8">
  <location ref="B149:C151" firstHeaderRow="1" firstDataRow="1" firstDataCol="1" rowPageCount="4" colPageCount="1"/>
  <pivotFields count="88">
    <pivotField axis="axisPage" subtotalTop="0" multipleItemSelectionAllowed="1" showAll="0">
      <items count="17">
        <item h="1" m="1" x="14"/>
        <item m="1" x="4"/>
        <item m="1" x="15"/>
        <item h="1" m="1" x="7"/>
        <item m="1" x="3"/>
        <item h="1" m="1" x="2"/>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x="2"/>
        <item m="1" x="5"/>
        <item h="1" x="0"/>
        <item m="1" x="4"/>
        <item x="1"/>
        <item m="1" x="6"/>
        <item h="1" x="3"/>
        <item t="default"/>
      </items>
    </pivotField>
    <pivotField subtotalTop="0" showAll="0"/>
    <pivotField axis="axisPage" multipleItemSelectionAllowed="1" showAll="0" defaultSubtotal="0">
      <items count="11">
        <item m="1" x="4"/>
        <item m="1" x="9"/>
        <item m="1" x="8"/>
        <item m="1" x="6"/>
        <item m="1" x="3"/>
        <item m="1" x="2"/>
        <item x="0"/>
        <item m="1" x="7"/>
        <item h="1" m="1" x="10"/>
        <item m="1" x="5"/>
        <item h="1" m="1" x="1"/>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Items count="1">
    <i/>
  </colItems>
  <pageFields count="4">
    <pageField fld="0" hier="-1"/>
    <pageField fld="4" hier="-1"/>
    <pageField fld="78" item="0" hier="-1"/>
    <pageField fld="6" hier="-1"/>
  </pageFields>
  <dataFields count="2">
    <dataField name="Boys" fld="33" baseField="0" baseItem="0"/>
    <dataField name="Girls" fld="34" baseField="0" baseItem="0"/>
  </dataFields>
  <formats count="9">
    <format dxfId="233">
      <pivotArea type="all" dataOnly="0" outline="0" fieldPosition="0"/>
    </format>
    <format dxfId="232">
      <pivotArea type="all" dataOnly="0" outline="0" fieldPosition="0"/>
    </format>
    <format dxfId="231">
      <pivotArea outline="0" collapsedLevelsAreSubtotals="1" fieldPosition="0"/>
    </format>
    <format dxfId="230">
      <pivotArea field="4" type="button" dataOnly="0" labelOnly="1" outline="0" axis="axisPage" fieldPosition="1"/>
    </format>
    <format dxfId="229">
      <pivotArea dataOnly="0" labelOnly="1" grandRow="1" outline="0" fieldPosition="0"/>
    </format>
    <format dxfId="228">
      <pivotArea type="all" dataOnly="0" outline="0" fieldPosition="0"/>
    </format>
    <format dxfId="227">
      <pivotArea outline="0" collapsedLevelsAreSubtotals="1" fieldPosition="0"/>
    </format>
    <format dxfId="226">
      <pivotArea field="4" type="button" dataOnly="0" labelOnly="1" outline="0" axis="axisPage" fieldPosition="1"/>
    </format>
    <format dxfId="225">
      <pivotArea dataOnly="0" labelOnly="1" grandRow="1" outline="0" fieldPosition="0"/>
    </format>
  </formats>
  <chartFormats count="9">
    <chartFormat chart="5" format="0" series="1">
      <pivotArea type="data" outline="0" fieldPosition="0">
        <references count="1">
          <reference field="4294967294" count="1" selected="0">
            <x v="0"/>
          </reference>
        </references>
      </pivotArea>
    </chartFormat>
    <chartFormat chart="5" format="1">
      <pivotArea type="data" outline="0" fieldPosition="0">
        <references count="1">
          <reference field="4294967294" count="1" selected="0">
            <x v="1"/>
          </reference>
        </references>
      </pivotArea>
    </chartFormat>
    <chartFormat chart="5" format="2">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 chart="6" format="4">
      <pivotArea type="data" outline="0" fieldPosition="0">
        <references count="1">
          <reference field="4294967294" count="1" selected="0">
            <x v="0"/>
          </reference>
        </references>
      </pivotArea>
    </chartFormat>
    <chartFormat chart="6" format="5">
      <pivotArea type="data" outline="0" fieldPosition="0">
        <references count="1">
          <reference field="4294967294" count="1" selected="0">
            <x v="1"/>
          </reference>
        </references>
      </pivotArea>
    </chartFormat>
    <chartFormat chart="17" format="12" series="1">
      <pivotArea type="data" outline="0" fieldPosition="0">
        <references count="1">
          <reference field="4294967294" count="1" selected="0">
            <x v="0"/>
          </reference>
        </references>
      </pivotArea>
    </chartFormat>
    <chartFormat chart="17" format="13">
      <pivotArea type="data" outline="0" fieldPosition="0">
        <references count="1">
          <reference field="4294967294" count="1" selected="0">
            <x v="0"/>
          </reference>
        </references>
      </pivotArea>
    </chartFormat>
    <chartFormat chart="17" format="14">
      <pivotArea type="data" outline="0" fieldPosition="0">
        <references count="1">
          <reference field="4294967294" count="1" selected="0">
            <x v="1"/>
          </reference>
        </references>
      </pivotArea>
    </chartFormat>
  </chart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0" rowHeaderCaption="State" colHeaderCaption=" ">
  <location ref="B102:D111" firstHeaderRow="0" firstDataRow="1" firstDataCol="1" rowPageCount="4" colPageCount="1"/>
  <pivotFields count="88">
    <pivotField axis="axisPage" subtotalTop="0" multipleItemSelectionAllowed="1" showAll="0">
      <items count="17">
        <item m="1" x="14"/>
        <item m="1" x="4"/>
        <item h="1" m="1" x="7"/>
        <item h="1" m="1" x="2"/>
        <item m="1" x="15"/>
        <item m="1" x="3"/>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x="2"/>
        <item m="1" x="5"/>
        <item h="1" x="0"/>
        <item m="1" x="4"/>
        <item x="1"/>
        <item m="1" x="6"/>
        <item h="1" x="3"/>
        <item t="default"/>
      </items>
    </pivotField>
    <pivotField axis="axisRow" subtotalTop="0" showAll="0">
      <items count="53">
        <item m="1" x="28"/>
        <item m="1" x="31"/>
        <item m="1" x="48"/>
        <item m="1" x="43"/>
        <item m="1" x="39"/>
        <item x="18"/>
        <item m="1" x="37"/>
        <item m="1" x="24"/>
        <item x="9"/>
        <item x="13"/>
        <item x="19"/>
        <item m="1" x="46"/>
        <item m="1" x="26"/>
        <item m="1" x="30"/>
        <item m="1" x="40"/>
        <item x="11"/>
        <item m="1" x="35"/>
        <item m="1" x="44"/>
        <item m="1" x="38"/>
        <item m="1" x="47"/>
        <item m="1" x="29"/>
        <item x="12"/>
        <item x="15"/>
        <item m="1" x="32"/>
        <item m="1" x="36"/>
        <item m="1" x="41"/>
        <item m="1" x="27"/>
        <item x="8"/>
        <item m="1" x="42"/>
        <item m="1" x="33"/>
        <item m="1" x="50"/>
        <item m="1" x="45"/>
        <item m="1" x="51"/>
        <item x="10"/>
        <item x="17"/>
        <item m="1" x="49"/>
        <item x="14"/>
        <item m="1" x="23"/>
        <item m="1" x="25"/>
        <item m="1" x="22"/>
        <item m="1" x="34"/>
        <item x="0"/>
        <item x="1"/>
        <item x="2"/>
        <item x="3"/>
        <item x="4"/>
        <item x="5"/>
        <item x="6"/>
        <item x="7"/>
        <item x="20"/>
        <item x="16"/>
        <item x="21"/>
        <item t="default"/>
      </items>
    </pivotField>
    <pivotField axis="axisPage" multipleItemSelectionAllowed="1" showAll="0" defaultSubtotal="0">
      <items count="11">
        <item m="1" x="4"/>
        <item m="1" x="9"/>
        <item m="1" x="8"/>
        <item m="1" x="6"/>
        <item m="1" x="3"/>
        <item m="1" x="2"/>
        <item x="0"/>
        <item m="1" x="7"/>
        <item h="1" m="1" x="10"/>
        <item m="1" x="5"/>
        <item h="1" m="1" x="1"/>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s>
  <rowFields count="1">
    <field x="5"/>
  </rowFields>
  <rowItems count="9">
    <i>
      <x v="9"/>
    </i>
    <i>
      <x v="15"/>
    </i>
    <i>
      <x v="21"/>
    </i>
    <i>
      <x v="22"/>
    </i>
    <i>
      <x v="27"/>
    </i>
    <i>
      <x v="33"/>
    </i>
    <i>
      <x v="34"/>
    </i>
    <i>
      <x v="36"/>
    </i>
    <i>
      <x v="50"/>
    </i>
  </rowItems>
  <colFields count="1">
    <field x="-2"/>
  </colFields>
  <colItems count="2">
    <i>
      <x/>
    </i>
    <i i="1">
      <x v="1"/>
    </i>
  </colItems>
  <pageFields count="4">
    <pageField fld="0" hier="-1"/>
    <pageField fld="78" item="0" hier="-1"/>
    <pageField fld="4" hier="-1"/>
    <pageField fld="6" hier="-1"/>
  </pageFields>
  <dataFields count="2">
    <dataField name="  % Latrine Coverage" fld="86" baseField="0" baseItem="0" numFmtId="1"/>
    <dataField name="  % Latrine GAP" fld="87" baseField="0" baseItem="0" numFmtId="1"/>
  </dataFields>
  <formats count="12">
    <format dxfId="245">
      <pivotArea type="all" dataOnly="0" outline="0" fieldPosition="0"/>
    </format>
    <format dxfId="244">
      <pivotArea outline="0" collapsedLevelsAreSubtotals="1" fieldPosition="0"/>
    </format>
    <format dxfId="243">
      <pivotArea field="4" type="button" dataOnly="0" labelOnly="1" outline="0" axis="axisPage" fieldPosition="2"/>
    </format>
    <format dxfId="242">
      <pivotArea type="all" dataOnly="0" outline="0" fieldPosition="0"/>
    </format>
    <format dxfId="241">
      <pivotArea outline="0" collapsedLevelsAreSubtotals="1" fieldPosition="0"/>
    </format>
    <format dxfId="240">
      <pivotArea outline="0" collapsedLevelsAreSubtotals="1" fieldPosition="0"/>
    </format>
    <format dxfId="239">
      <pivotArea field="5" type="button" dataOnly="0" labelOnly="1" outline="0" axis="axisRow" fieldPosition="0"/>
    </format>
    <format dxfId="238">
      <pivotArea field="5" type="button" dataOnly="0" labelOnly="1" outline="0" axis="axisRow" fieldPosition="0"/>
    </format>
    <format dxfId="237">
      <pivotArea field="5" type="button" dataOnly="0" labelOnly="1" outline="0" axis="axisRow" fieldPosition="0"/>
    </format>
    <format dxfId="236">
      <pivotArea field="4" type="button" dataOnly="0" labelOnly="1" outline="0" axis="axisPage" fieldPosition="2"/>
    </format>
    <format dxfId="235">
      <pivotArea dataOnly="0" labelOnly="1" outline="0" fieldPosition="0">
        <references count="2">
          <reference field="4" count="1">
            <x v="0"/>
          </reference>
          <reference field="78" count="1" selected="0">
            <x v="0"/>
          </reference>
        </references>
      </pivotArea>
    </format>
    <format dxfId="234">
      <pivotArea dataOnly="0" labelOnly="1" outline="0" fieldPosition="0">
        <references count="2">
          <reference field="4" count="1">
            <x v="2"/>
          </reference>
          <reference field="78" count="1" selected="0">
            <x v="0"/>
          </reference>
        </references>
      </pivotArea>
    </format>
  </formats>
  <chartFormats count="6">
    <chartFormat chart="43" format="8" series="1">
      <pivotArea type="data" outline="0" fieldPosition="0">
        <references count="1">
          <reference field="4294967294" count="1" selected="0">
            <x v="0"/>
          </reference>
        </references>
      </pivotArea>
    </chartFormat>
    <chartFormat chart="43" format="9" series="1">
      <pivotArea type="data" outline="0" fieldPosition="0">
        <references count="1">
          <reference field="4294967294" count="1" selected="0">
            <x v="1"/>
          </reference>
        </references>
      </pivotArea>
    </chartFormat>
    <chartFormat chart="44" format="6" series="1">
      <pivotArea type="data" outline="0" fieldPosition="0">
        <references count="1">
          <reference field="4294967294" count="1" selected="0">
            <x v="0"/>
          </reference>
        </references>
      </pivotArea>
    </chartFormat>
    <chartFormat chart="44" format="7" series="1">
      <pivotArea type="data" outline="0" fieldPosition="0">
        <references count="1">
          <reference field="4294967294" count="1" selected="0">
            <x v="1"/>
          </reference>
        </references>
      </pivotArea>
    </chartFormat>
    <chartFormat chart="49" format="12" series="1">
      <pivotArea type="data" outline="0" fieldPosition="0">
        <references count="1">
          <reference field="4294967294" count="1" selected="0">
            <x v="0"/>
          </reference>
        </references>
      </pivotArea>
    </chartFormat>
    <chartFormat chart="49" format="13"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A4D6E0BE-6C20-4AC9-8992-EC6648BDC7D8}" name="PivotTable3"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H90:J92" firstHeaderRow="1" firstDataRow="2" firstDataCol="1" rowPageCount="4" colPageCount="1"/>
  <pivotFields count="88">
    <pivotField axis="axisPage" subtotalTop="0" multipleItemSelectionAllowed="1" showAll="0">
      <items count="17">
        <item m="1" x="14"/>
        <item m="1" x="4"/>
        <item m="1" x="15"/>
        <item h="1" m="1" x="7"/>
        <item m="1" x="3"/>
        <item h="1" m="1" x="2"/>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subtotalTop="0" showAll="0"/>
    <pivotField axis="axisPage" multipleItemSelectionAllowed="1" showAll="0" defaultSubtotal="0">
      <items count="11">
        <item m="1" x="4"/>
        <item m="1" x="9"/>
        <item m="1" x="8"/>
        <item m="1" x="6"/>
        <item m="1" x="3"/>
        <item m="1" x="2"/>
        <item x="0"/>
        <item m="1" x="7"/>
        <item h="1" m="1" x="10"/>
        <item m="1" x="5"/>
        <item h="1" m="1" x="1"/>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axis="axisCol" dataField="1" showAll="0">
      <items count="3">
        <item x="0"/>
        <item x="1"/>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71"/>
  </colFields>
  <colItems count="2">
    <i>
      <x/>
    </i>
    <i>
      <x v="1"/>
    </i>
  </colItems>
  <pageFields count="4">
    <pageField fld="0" hier="-1"/>
    <pageField fld="4" hier="-1"/>
    <pageField fld="78" hier="-1"/>
    <pageField fld="6" hier="-1"/>
  </pageFields>
  <dataFields count="1">
    <dataField name="Count of Village with School" fld="71" subtotal="count" baseField="0" baseItem="0"/>
  </dataFields>
  <formats count="11">
    <format dxfId="256">
      <pivotArea field="4" type="button" dataOnly="0" labelOnly="1" outline="0" axis="axisPage" fieldPosition="1"/>
    </format>
    <format dxfId="255">
      <pivotArea type="all" dataOnly="0" outline="0" fieldPosition="0"/>
    </format>
    <format dxfId="254">
      <pivotArea outline="0" collapsedLevelsAreSubtotals="1" fieldPosition="0"/>
    </format>
    <format dxfId="253">
      <pivotArea type="origin" dataOnly="0" labelOnly="1" outline="0" fieldPosition="0"/>
    </format>
    <format dxfId="252">
      <pivotArea type="topRight" dataOnly="0" labelOnly="1" outline="0" fieldPosition="0"/>
    </format>
    <format dxfId="251">
      <pivotArea field="-2" type="button" dataOnly="0" labelOnly="1" outline="0" axis="axisValues" fieldPosition="0"/>
    </format>
    <format dxfId="250">
      <pivotArea type="all" dataOnly="0" outline="0" fieldPosition="0"/>
    </format>
    <format dxfId="249">
      <pivotArea outline="0" collapsedLevelsAreSubtotals="1" fieldPosition="0"/>
    </format>
    <format dxfId="248">
      <pivotArea field="4" type="button" dataOnly="0" labelOnly="1" outline="0" axis="axisPage" fieldPosition="1"/>
    </format>
    <format dxfId="247">
      <pivotArea dataOnly="0" labelOnly="1" outline="0" fieldPosition="0">
        <references count="1">
          <reference field="4" count="1">
            <x v="1"/>
          </reference>
        </references>
      </pivotArea>
    </format>
    <format dxfId="246">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C46D4926-CEBC-46A9-93E1-A428FB77EACF}" name="PivotTable11"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Q76:R78" firstHeaderRow="1" firstDataRow="1" firstDataCol="1" rowPageCount="3" colPageCount="1"/>
  <pivotFields count="88">
    <pivotField axis="axisPage" subtotalTop="0" multipleItemSelectionAllowed="1" showAll="0">
      <items count="17">
        <item m="1" x="14"/>
        <item m="1" x="4"/>
        <item m="1" x="15"/>
        <item h="1" m="1" x="7"/>
        <item m="1" x="3"/>
        <item h="1" m="1" x="2"/>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subtotalTop="0" showAll="0"/>
    <pivotField multipleItemSelectionAllowed="1" showAll="0" defaultSubtotal="0"/>
    <pivotField showAll="0"/>
    <pivotField subtotalTop="0" showAll="0"/>
    <pivotField dataField="1"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dataField="1"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Items count="1">
    <i/>
  </colItems>
  <pageFields count="3">
    <pageField fld="0" hier="-1"/>
    <pageField fld="4" hier="-1"/>
    <pageField fld="78" hier="-1"/>
  </pageFields>
  <dataFields count="2">
    <dataField name="Sum of Total PoP " fld="9" baseField="0" baseItem="0"/>
    <dataField name="Sum of HRP2" fld="57" baseField="0" baseItem="0"/>
  </dataFields>
  <formats count="11">
    <format dxfId="267">
      <pivotArea field="4" type="button" dataOnly="0" labelOnly="1" outline="0" axis="axisPage" fieldPosition="1"/>
    </format>
    <format dxfId="266">
      <pivotArea type="all" dataOnly="0" outline="0" fieldPosition="0"/>
    </format>
    <format dxfId="265">
      <pivotArea outline="0" collapsedLevelsAreSubtotals="1" fieldPosition="0"/>
    </format>
    <format dxfId="264">
      <pivotArea type="origin" dataOnly="0" labelOnly="1" outline="0" fieldPosition="0"/>
    </format>
    <format dxfId="263">
      <pivotArea type="topRight" dataOnly="0" labelOnly="1" outline="0" fieldPosition="0"/>
    </format>
    <format dxfId="262">
      <pivotArea field="-2" type="button" dataOnly="0" labelOnly="1" outline="0" axis="axisRow" fieldPosition="0"/>
    </format>
    <format dxfId="261">
      <pivotArea type="all" dataOnly="0" outline="0" fieldPosition="0"/>
    </format>
    <format dxfId="260">
      <pivotArea outline="0" collapsedLevelsAreSubtotals="1" fieldPosition="0"/>
    </format>
    <format dxfId="259">
      <pivotArea field="4" type="button" dataOnly="0" labelOnly="1" outline="0" axis="axisPage" fieldPosition="1"/>
    </format>
    <format dxfId="258">
      <pivotArea dataOnly="0" labelOnly="1" outline="0" fieldPosition="0">
        <references count="1">
          <reference field="4" count="1">
            <x v="1"/>
          </reference>
        </references>
      </pivotArea>
    </format>
    <format dxfId="257">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BBB69935-A2AC-49B8-9F2C-F7765F4C3CC2}" name="PivotTable1"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H77:K79" firstHeaderRow="1" firstDataRow="2" firstDataCol="1" rowPageCount="5" colPageCount="1"/>
  <pivotFields count="88">
    <pivotField axis="axisPage" subtotalTop="0" multipleItemSelectionAllowed="1" showAll="0">
      <items count="17">
        <item m="1" x="14"/>
        <item m="1" x="4"/>
        <item m="1" x="15"/>
        <item h="1" m="1" x="7"/>
        <item m="1" x="3"/>
        <item h="1" m="1" x="2"/>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subtotalTop="0" showAll="0"/>
    <pivotField axis="axisPage" multipleItemSelectionAllowed="1" showAll="0" defaultSubtotal="0">
      <items count="11">
        <item m="1" x="4"/>
        <item m="1" x="9"/>
        <item m="1" x="8"/>
        <item m="1" x="6"/>
        <item m="1" x="3"/>
        <item m="1" x="2"/>
        <item x="0"/>
        <item m="1" x="7"/>
        <item h="1" m="1" x="10"/>
        <item m="1" x="5"/>
        <item h="1" m="1" x="1"/>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axis="axisCol" dataField="1" showAll="0">
      <items count="7">
        <item x="2"/>
        <item x="1"/>
        <item x="0"/>
        <item x="3"/>
        <item m="1" x="5"/>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axis="axisPage" showAll="0">
      <items count="3">
        <item x="0"/>
        <item x="1"/>
        <item t="default"/>
      </items>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2"/>
  </colFields>
  <colItems count="3">
    <i>
      <x/>
    </i>
    <i>
      <x v="1"/>
    </i>
    <i>
      <x v="3"/>
    </i>
  </colItems>
  <pageFields count="5">
    <pageField fld="0" hier="-1"/>
    <pageField fld="4" hier="-1"/>
    <pageField fld="78" hier="-1"/>
    <pageField fld="6" hier="-1"/>
    <pageField fld="71" item="1" hier="-1"/>
  </pageFields>
  <dataFields count="1">
    <dataField name="Count of Availability_of_drainage_in_school_compound_(Yes_or_No)" fld="22" subtotal="count" baseField="0" baseItem="0"/>
  </dataFields>
  <formats count="11">
    <format dxfId="278">
      <pivotArea field="4" type="button" dataOnly="0" labelOnly="1" outline="0" axis="axisPage" fieldPosition="1"/>
    </format>
    <format dxfId="277">
      <pivotArea type="all" dataOnly="0" outline="0" fieldPosition="0"/>
    </format>
    <format dxfId="276">
      <pivotArea outline="0" collapsedLevelsAreSubtotals="1" fieldPosition="0"/>
    </format>
    <format dxfId="275">
      <pivotArea type="origin" dataOnly="0" labelOnly="1" outline="0" fieldPosition="0"/>
    </format>
    <format dxfId="274">
      <pivotArea type="topRight" dataOnly="0" labelOnly="1" outline="0" fieldPosition="0"/>
    </format>
    <format dxfId="273">
      <pivotArea field="-2" type="button" dataOnly="0" labelOnly="1" outline="0" axis="axisValues" fieldPosition="0"/>
    </format>
    <format dxfId="272">
      <pivotArea type="all" dataOnly="0" outline="0" fieldPosition="0"/>
    </format>
    <format dxfId="271">
      <pivotArea outline="0" collapsedLevelsAreSubtotals="1" fieldPosition="0"/>
    </format>
    <format dxfId="270">
      <pivotArea field="4" type="button" dataOnly="0" labelOnly="1" outline="0" axis="axisPage" fieldPosition="1"/>
    </format>
    <format dxfId="269">
      <pivotArea dataOnly="0" labelOnly="1" outline="0" fieldPosition="0">
        <references count="1">
          <reference field="4" count="1">
            <x v="1"/>
          </reference>
        </references>
      </pivotArea>
    </format>
    <format dxfId="268">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2F08ED1D-5C00-46B6-A7D9-D8B1EB6AAA35}" name="PivotTable12" cacheId="0"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0">
  <location ref="K147:L150" firstHeaderRow="1" firstDataRow="1" firstDataCol="1" rowPageCount="4" colPageCount="1"/>
  <pivotFields count="88">
    <pivotField axis="axisPage" subtotalTop="0" multipleItemSelectionAllowed="1" showAll="0">
      <items count="17">
        <item h="1" m="1" x="14"/>
        <item m="1" x="4"/>
        <item m="1" x="15"/>
        <item h="1" m="1" x="7"/>
        <item m="1" x="3"/>
        <item h="1" m="1" x="2"/>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x="2"/>
        <item m="1" x="5"/>
        <item h="1" x="0"/>
        <item m="1" x="4"/>
        <item x="1"/>
        <item m="1" x="6"/>
        <item h="1" x="3"/>
        <item t="default"/>
      </items>
    </pivotField>
    <pivotField subtotalTop="0" showAll="0"/>
    <pivotField axis="axisPage" multipleItemSelectionAllowed="1" showAll="0" defaultSubtotal="0">
      <items count="11">
        <item m="1" x="4"/>
        <item m="1" x="9"/>
        <item m="1" x="8"/>
        <item m="1" x="6"/>
        <item m="1" x="3"/>
        <item m="1" x="2"/>
        <item x="0"/>
        <item m="1" x="7"/>
        <item h="1" m="1" x="10"/>
        <item m="1" x="5"/>
        <item h="1" m="1" x="1"/>
      </items>
    </pivotField>
    <pivotField showAll="0"/>
    <pivotField subtotalTop="0" showAll="0"/>
    <pivotField dataField="1"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dataField="1" numFmtId="1" showAll="0"/>
    <pivotField dataField="1"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4">
    <pageField fld="0" hier="-1"/>
    <pageField fld="4" hier="-1"/>
    <pageField fld="78" item="0" hier="-1"/>
    <pageField fld="6" hier="-1"/>
  </pageFields>
  <dataFields count="3">
    <dataField name="Sum of Total PoP " fld="9" baseField="0" baseItem="0"/>
    <dataField name="Sum of # People with access to soap" fld="68" baseField="0" baseItem="0"/>
    <dataField name="Sum of # People with access to Sanity Pads" fld="69" baseField="0" baseItem="0"/>
  </dataFields>
  <formats count="9">
    <format dxfId="287">
      <pivotArea type="all" dataOnly="0" outline="0" fieldPosition="0"/>
    </format>
    <format dxfId="286">
      <pivotArea type="all" dataOnly="0" outline="0" fieldPosition="0"/>
    </format>
    <format dxfId="285">
      <pivotArea outline="0" collapsedLevelsAreSubtotals="1" fieldPosition="0"/>
    </format>
    <format dxfId="284">
      <pivotArea field="4" type="button" dataOnly="0" labelOnly="1" outline="0" axis="axisPage" fieldPosition="1"/>
    </format>
    <format dxfId="283">
      <pivotArea dataOnly="0" labelOnly="1" grandRow="1" outline="0" fieldPosition="0"/>
    </format>
    <format dxfId="282">
      <pivotArea type="all" dataOnly="0" outline="0" fieldPosition="0"/>
    </format>
    <format dxfId="281">
      <pivotArea outline="0" collapsedLevelsAreSubtotals="1" fieldPosition="0"/>
    </format>
    <format dxfId="280">
      <pivotArea field="4" type="button" dataOnly="0" labelOnly="1" outline="0" axis="axisPage" fieldPosition="1"/>
    </format>
    <format dxfId="279">
      <pivotArea dataOnly="0" labelOnly="1" grandRow="1" outline="0"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22B1C949-AC94-42C8-8B07-7E0DD59D9B4A}" name="PivotTable6" cacheId="0" applyNumberFormats="0" applyBorderFormats="0" applyFontFormats="0" applyPatternFormats="0" applyAlignmentFormats="0" applyWidthHeightFormats="1" dataCaption="Values" updatedVersion="6" minRefreshableVersion="3" itemPrintTitles="1" createdVersion="6" indent="0" compact="0" compactData="0" multipleFieldFilters="0" rowHeaderCaption="Township">
  <location ref="I9:N13" firstHeaderRow="0" firstDataRow="1" firstDataCol="2" rowPageCount="4" colPageCount="1"/>
  <pivotFields count="88">
    <pivotField axis="axisPage" compact="0" outline="0" subtotalTop="0" showAll="0" defaultSubtotal="0">
      <items count="16">
        <item m="1" x="14"/>
        <item m="1" x="4"/>
        <item m="1" x="7"/>
        <item m="1" x="2"/>
        <item m="1" x="15"/>
        <item m="1" x="3"/>
        <item m="1" x="13"/>
        <item m="1" x="9"/>
        <item m="1" x="11"/>
        <item m="1" x="12"/>
        <item m="1" x="5"/>
        <item m="1" x="6"/>
        <item m="1" x="8"/>
        <item m="1" x="10"/>
        <item x="0"/>
        <item x="1"/>
      </items>
    </pivotField>
    <pivotField axis="axisRow" compact="0" outline="0" showAll="0" defaultSubtotal="0">
      <items count="51">
        <item x="3"/>
        <item m="1" x="27"/>
        <item m="1" x="46"/>
        <item m="1" x="47"/>
        <item x="2"/>
        <item x="9"/>
        <item m="1" x="36"/>
        <item m="1" x="43"/>
        <item x="0"/>
        <item m="1" x="15"/>
        <item m="1" x="31"/>
        <item m="1" x="17"/>
        <item x="8"/>
        <item x="13"/>
        <item m="1" x="41"/>
        <item m="1" x="20"/>
        <item m="1" x="18"/>
        <item m="1" x="42"/>
        <item m="1" x="38"/>
        <item m="1" x="34"/>
        <item m="1" x="26"/>
        <item m="1" x="45"/>
        <item m="1" x="24"/>
        <item m="1" x="21"/>
        <item m="1" x="48"/>
        <item m="1" x="40"/>
        <item m="1" x="33"/>
        <item m="1" x="32"/>
        <item m="1" x="30"/>
        <item x="4"/>
        <item m="1" x="28"/>
        <item x="6"/>
        <item m="1" x="49"/>
        <item m="1" x="16"/>
        <item m="1" x="25"/>
        <item m="1" x="23"/>
        <item x="5"/>
        <item x="1"/>
        <item m="1" x="50"/>
        <item m="1" x="19"/>
        <item x="7"/>
        <item m="1" x="35"/>
        <item m="1" x="39"/>
        <item m="1" x="29"/>
        <item m="1" x="37"/>
        <item m="1" x="44"/>
        <item x="10"/>
        <item m="1" x="14"/>
        <item x="12"/>
        <item x="11"/>
        <item m="1" x="22"/>
      </items>
    </pivotField>
    <pivotField compact="0" outline="0" showAll="0" defaultSubtotal="0"/>
    <pivotField compact="0" outline="0" subtotalTop="0" showAll="0" defaultSubtotal="0"/>
    <pivotField axis="axisPage" compact="0" outline="0" subtotalTop="0" multipleItemSelectionAllowed="1" showAll="0" defaultSubtotal="0">
      <items count="7">
        <item h="1" x="2"/>
        <item m="1" x="5"/>
        <item x="0"/>
        <item m="1" x="4"/>
        <item h="1" x="1"/>
        <item h="1" m="1" x="6"/>
        <item h="1" x="3"/>
      </items>
    </pivotField>
    <pivotField axis="axisRow" compact="0" outline="0" subtotalTop="0" showAll="0" sortType="ascending" defaultSubtotal="0">
      <items count="52">
        <item x="0"/>
        <item m="1" x="28"/>
        <item m="1" x="31"/>
        <item m="1" x="48"/>
        <item m="1" x="34"/>
        <item m="1" x="43"/>
        <item x="21"/>
        <item m="1" x="39"/>
        <item x="18"/>
        <item m="1" x="37"/>
        <item x="16"/>
        <item x="4"/>
        <item x="7"/>
        <item m="1" x="24"/>
        <item x="9"/>
        <item x="13"/>
        <item x="19"/>
        <item x="20"/>
        <item m="1" x="46"/>
        <item m="1" x="26"/>
        <item m="1" x="30"/>
        <item m="1" x="40"/>
        <item x="11"/>
        <item m="1" x="35"/>
        <item m="1" x="44"/>
        <item m="1" x="23"/>
        <item m="1" x="38"/>
        <item m="1" x="47"/>
        <item m="1" x="29"/>
        <item x="12"/>
        <item x="15"/>
        <item x="2"/>
        <item m="1" x="32"/>
        <item m="1" x="36"/>
        <item m="1" x="41"/>
        <item m="1" x="25"/>
        <item x="3"/>
        <item m="1" x="27"/>
        <item x="8"/>
        <item m="1" x="42"/>
        <item m="1" x="33"/>
        <item m="1" x="50"/>
        <item m="1" x="45"/>
        <item m="1" x="51"/>
        <item x="10"/>
        <item x="6"/>
        <item x="17"/>
        <item m="1" x="49"/>
        <item x="5"/>
        <item x="14"/>
        <item x="1"/>
        <item m="1" x="22"/>
      </items>
    </pivotField>
    <pivotField axis="axisPage" compact="0" outline="0" multipleItemSelectionAllowed="1" showAll="0" defaultSubtotal="0">
      <items count="11">
        <item h="1" m="1" x="4"/>
        <item h="1" m="1" x="9"/>
        <item m="1" x="8"/>
        <item m="1" x="3"/>
        <item h="1" m="1" x="2"/>
        <item x="0"/>
        <item h="1" m="1" x="7"/>
        <item h="1" m="1" x="10"/>
        <item m="1" x="5"/>
        <item m="1" x="6"/>
        <item h="1" m="1" x="1"/>
      </items>
    </pivotField>
    <pivotField compact="0" outline="0" showAll="0" defaultSubtotal="0"/>
    <pivotField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numFmtId="9" outline="0" showAll="0" defaultSubtotal="0"/>
    <pivotField compact="0" numFmtId="1"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compact="0" numFmtId="1" outline="0" showAll="0" defaultSubtotal="0"/>
    <pivotField compact="0" numFmtId="1" outline="0" showAll="0" defaultSubtotal="0"/>
    <pivotField compact="0" numFmtId="164"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4">
        <item x="0"/>
        <item h="1" m="1" x="3"/>
        <item m="1" x="2"/>
        <item m="1" x="1"/>
      </items>
    </pivotField>
    <pivotField compact="0" outline="0" subtotalTop="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5"/>
    <field x="1"/>
  </rowFields>
  <rowItems count="4">
    <i>
      <x v="8"/>
      <x v="49"/>
    </i>
    <i>
      <x v="16"/>
      <x v="49"/>
    </i>
    <i>
      <x v="17"/>
      <x v="8"/>
    </i>
    <i t="grand">
      <x/>
    </i>
  </rowItems>
  <colFields count="1">
    <field x="-2"/>
  </colFields>
  <colItems count="4">
    <i>
      <x/>
    </i>
    <i i="1">
      <x v="1"/>
    </i>
    <i i="2">
      <x v="2"/>
    </i>
    <i i="3">
      <x v="3"/>
    </i>
  </colItems>
  <pageFields count="4">
    <pageField fld="0" item="15" hier="-1"/>
    <pageField fld="78" hier="-1"/>
    <pageField fld="4" hier="-1"/>
    <pageField fld="6" hier="-1"/>
  </pageFields>
  <dataFields count="4">
    <dataField name="PoP " fld="9" baseField="0" baseItem="0" numFmtId="164"/>
    <dataField name=" % Water GAP" fld="85" baseField="0" baseItem="0" numFmtId="9"/>
    <dataField name=" % Sanitation GAP" fld="87" baseField="0" baseItem="0" numFmtId="9"/>
    <dataField name=" % Hygiene Gap" fld="82" baseField="0" baseItem="0" numFmtId="9"/>
  </dataFields>
  <formats count="35">
    <format dxfId="322">
      <pivotArea type="all" dataOnly="0" outline="0" fieldPosition="0"/>
    </format>
    <format dxfId="321">
      <pivotArea outline="0" collapsedLevelsAreSubtotals="1" fieldPosition="0"/>
    </format>
    <format dxfId="320">
      <pivotArea field="5" type="button" dataOnly="0" labelOnly="1" outline="0" axis="axisRow" fieldPosition="0"/>
    </format>
    <format dxfId="319">
      <pivotArea dataOnly="0" labelOnly="1" outline="0" axis="axisValues" fieldPosition="0"/>
    </format>
    <format dxfId="318">
      <pivotArea dataOnly="0" labelOnly="1" fieldPosition="0">
        <references count="1">
          <reference field="5" count="0"/>
        </references>
      </pivotArea>
    </format>
    <format dxfId="317">
      <pivotArea dataOnly="0" labelOnly="1" grandRow="1" outline="0" fieldPosition="0"/>
    </format>
    <format dxfId="316">
      <pivotArea dataOnly="0" labelOnly="1" outline="0" axis="axisValues" fieldPosition="0"/>
    </format>
    <format dxfId="315">
      <pivotArea type="all" dataOnly="0" outline="0" fieldPosition="0"/>
    </format>
    <format dxfId="314">
      <pivotArea field="5" type="button" dataOnly="0" labelOnly="1" outline="0" axis="axisRow" fieldPosition="0"/>
    </format>
    <format dxfId="313">
      <pivotArea dataOnly="0" labelOnly="1" outline="0" axis="axisValues" fieldPosition="0"/>
    </format>
    <format dxfId="312">
      <pivotArea dataOnly="0" labelOnly="1" fieldPosition="0">
        <references count="1">
          <reference field="5" count="0"/>
        </references>
      </pivotArea>
    </format>
    <format dxfId="311">
      <pivotArea dataOnly="0" labelOnly="1" outline="0" axis="axisValues" fieldPosition="0"/>
    </format>
    <format dxfId="310">
      <pivotArea field="5" type="button" dataOnly="0" labelOnly="1" outline="0" axis="axisRow" fieldPosition="0"/>
    </format>
    <format dxfId="309">
      <pivotArea type="all" dataOnly="0" outline="0" fieldPosition="0"/>
    </format>
    <format dxfId="308">
      <pivotArea field="5" type="button" dataOnly="0" labelOnly="1" outline="0" axis="axisRow" fieldPosition="0"/>
    </format>
    <format dxfId="307">
      <pivotArea dataOnly="0" labelOnly="1" outline="0" fieldPosition="0">
        <references count="1">
          <reference field="4294967294" count="1">
            <x v="0"/>
          </reference>
        </references>
      </pivotArea>
    </format>
    <format dxfId="306">
      <pivotArea type="all" dataOnly="0" outline="0" fieldPosition="0"/>
    </format>
    <format dxfId="305">
      <pivotArea outline="0" collapsedLevelsAreSubtotals="1" fieldPosition="0"/>
    </format>
    <format dxfId="304">
      <pivotArea field="5" type="button" dataOnly="0" labelOnly="1" outline="0" axis="axisRow" fieldPosition="0"/>
    </format>
    <format dxfId="303">
      <pivotArea dataOnly="0" labelOnly="1" fieldPosition="0">
        <references count="1">
          <reference field="5" count="2">
            <x v="38"/>
            <x v="44"/>
          </reference>
        </references>
      </pivotArea>
    </format>
    <format dxfId="302">
      <pivotArea dataOnly="0" labelOnly="1" outline="0" fieldPosition="0">
        <references count="1">
          <reference field="4294967294" count="1">
            <x v="0"/>
          </reference>
        </references>
      </pivotArea>
    </format>
    <format dxfId="301">
      <pivotArea field="5" type="button" dataOnly="0" labelOnly="1" outline="0" axis="axisRow" fieldPosition="0"/>
    </format>
    <format dxfId="300">
      <pivotArea dataOnly="0" labelOnly="1" outline="0" fieldPosition="0">
        <references count="1">
          <reference field="4294967294" count="1">
            <x v="0"/>
          </reference>
        </references>
      </pivotArea>
    </format>
    <format dxfId="299">
      <pivotArea type="all" dataOnly="0" outline="0" fieldPosition="0"/>
    </format>
    <format dxfId="298">
      <pivotArea outline="0" collapsedLevelsAreSubtotals="1" fieldPosition="0"/>
    </format>
    <format dxfId="297">
      <pivotArea field="5" type="button" dataOnly="0" labelOnly="1" outline="0" axis="axisRow" fieldPosition="0"/>
    </format>
    <format dxfId="296">
      <pivotArea dataOnly="0" labelOnly="1" fieldPosition="0">
        <references count="1">
          <reference field="5" count="5">
            <x v="14"/>
            <x v="15"/>
            <x v="29"/>
            <x v="38"/>
            <x v="44"/>
          </reference>
        </references>
      </pivotArea>
    </format>
    <format dxfId="295">
      <pivotArea dataOnly="0" labelOnly="1" grandRow="1" outline="0" fieldPosition="0"/>
    </format>
    <format dxfId="294">
      <pivotArea dataOnly="0" labelOnly="1" outline="0" fieldPosition="0">
        <references count="1">
          <reference field="4294967294" count="1">
            <x v="0"/>
          </reference>
        </references>
      </pivotArea>
    </format>
    <format dxfId="293">
      <pivotArea field="4" type="button" dataOnly="0" labelOnly="1" outline="0" axis="axisPage" fieldPosition="2"/>
    </format>
    <format dxfId="292">
      <pivotArea dataOnly="0" labelOnly="1" outline="0" fieldPosition="0">
        <references count="2">
          <reference field="0" count="1" selected="0">
            <x v="7"/>
          </reference>
          <reference field="4" count="1">
            <x v="1"/>
          </reference>
        </references>
      </pivotArea>
    </format>
    <format dxfId="291">
      <pivotArea outline="0" collapsedLevelsAreSubtotals="1" fieldPosition="0">
        <references count="1">
          <reference field="4294967294" count="1" selected="0">
            <x v="0"/>
          </reference>
        </references>
      </pivotArea>
    </format>
    <format dxfId="290">
      <pivotArea dataOnly="0" labelOnly="1" outline="0" fieldPosition="0">
        <references count="2">
          <reference field="0" count="1" selected="0">
            <x v="8"/>
          </reference>
          <reference field="4" count="1">
            <x v="1"/>
          </reference>
        </references>
      </pivotArea>
    </format>
    <format dxfId="289">
      <pivotArea dataOnly="0" labelOnly="1" outline="0" fieldPosition="0">
        <references count="2">
          <reference field="0" count="1" selected="0">
            <x v="10"/>
          </reference>
          <reference field="4" count="0"/>
        </references>
      </pivotArea>
    </format>
    <format dxfId="288">
      <pivotArea outline="0" collapsedLevelsAreSubtotals="1" fieldPosition="0">
        <references count="1">
          <reference field="4294967294" count="3" selected="0">
            <x v="1"/>
            <x v="2"/>
            <x v="3"/>
          </reference>
        </references>
      </pivotArea>
    </format>
  </formats>
  <conditionalFormats count="1">
    <conditionalFormat priority="3">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0"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4">
  <location ref="B137:C142" firstHeaderRow="1" firstDataRow="1" firstDataCol="1" rowPageCount="4" colPageCount="1"/>
  <pivotFields count="88">
    <pivotField axis="axisPage" subtotalTop="0" multipleItemSelectionAllowed="1" showAll="0">
      <items count="17">
        <item h="1" m="1" x="14"/>
        <item m="1" x="4"/>
        <item m="1" x="15"/>
        <item h="1" m="1" x="7"/>
        <item m="1" x="3"/>
        <item h="1" m="1" x="2"/>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x="2"/>
        <item m="1" x="5"/>
        <item h="1" x="0"/>
        <item m="1" x="4"/>
        <item x="1"/>
        <item m="1" x="6"/>
        <item h="1" x="3"/>
        <item t="default"/>
      </items>
    </pivotField>
    <pivotField subtotalTop="0" showAll="0"/>
    <pivotField axis="axisPage" multipleItemSelectionAllowed="1" showAll="0" defaultSubtotal="0">
      <items count="11">
        <item m="1" x="4"/>
        <item m="1" x="9"/>
        <item m="1" x="8"/>
        <item m="1" x="6"/>
        <item m="1" x="3"/>
        <item m="1" x="2"/>
        <item x="0"/>
        <item m="1" x="7"/>
        <item h="1" m="1" x="10"/>
        <item m="1" x="5"/>
        <item h="1" m="1" x="1"/>
      </items>
    </pivotField>
    <pivotField showAll="0"/>
    <pivotField subtotalTop="0" showAll="0"/>
    <pivotField dataField="1"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5">
    <i>
      <x/>
    </i>
    <i i="1">
      <x v="1"/>
    </i>
    <i i="2">
      <x v="2"/>
    </i>
    <i i="3">
      <x v="3"/>
    </i>
    <i i="4">
      <x v="4"/>
    </i>
  </rowItems>
  <colItems count="1">
    <i/>
  </colItems>
  <pageFields count="4">
    <pageField fld="0" hier="-1"/>
    <pageField fld="4" hier="-1"/>
    <pageField fld="78" item="0" hier="-1"/>
    <pageField fld="6" hier="-1"/>
  </pageFields>
  <dataFields count="5">
    <dataField name="Sum of Total PoP " fld="9" baseField="0" baseItem="0"/>
    <dataField name="Men" fld="29" baseField="0" baseItem="0"/>
    <dataField name="Women" fld="30" baseField="0" baseItem="0"/>
    <dataField name="Boys" fld="31" baseField="0" baseItem="0"/>
    <dataField name="Girls" fld="32" baseField="0" baseItem="0"/>
  </dataFields>
  <formats count="9">
    <format dxfId="331">
      <pivotArea type="all" dataOnly="0" outline="0" fieldPosition="0"/>
    </format>
    <format dxfId="330">
      <pivotArea type="all" dataOnly="0" outline="0" fieldPosition="0"/>
    </format>
    <format dxfId="329">
      <pivotArea outline="0" collapsedLevelsAreSubtotals="1" fieldPosition="0"/>
    </format>
    <format dxfId="328">
      <pivotArea field="4" type="button" dataOnly="0" labelOnly="1" outline="0" axis="axisPage" fieldPosition="1"/>
    </format>
    <format dxfId="327">
      <pivotArea dataOnly="0" labelOnly="1" grandRow="1" outline="0" fieldPosition="0"/>
    </format>
    <format dxfId="326">
      <pivotArea type="all" dataOnly="0" outline="0" fieldPosition="0"/>
    </format>
    <format dxfId="325">
      <pivotArea outline="0" collapsedLevelsAreSubtotals="1" fieldPosition="0"/>
    </format>
    <format dxfId="324">
      <pivotArea field="4" type="button" dataOnly="0" labelOnly="1" outline="0" axis="axisPage" fieldPosition="1"/>
    </format>
    <format dxfId="323">
      <pivotArea dataOnly="0" labelOnly="1" grandRow="1" outline="0"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B85B7807-1E1E-4E05-B412-22F3CC74F405}" name="PivotTable26" cacheId="0"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0">
  <location ref="K137:L139" firstHeaderRow="1" firstDataRow="1" firstDataCol="1" rowPageCount="4" colPageCount="1"/>
  <pivotFields count="88">
    <pivotField axis="axisPage" subtotalTop="0" multipleItemSelectionAllowed="1" showAll="0">
      <items count="17">
        <item h="1" m="1" x="14"/>
        <item m="1" x="4"/>
        <item m="1" x="15"/>
        <item h="1" m="1" x="7"/>
        <item m="1" x="3"/>
        <item h="1" m="1" x="2"/>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x="2"/>
        <item m="1" x="5"/>
        <item h="1" x="0"/>
        <item m="1" x="4"/>
        <item x="1"/>
        <item m="1" x="6"/>
        <item h="1" x="3"/>
        <item t="default"/>
      </items>
    </pivotField>
    <pivotField subtotalTop="0" showAll="0"/>
    <pivotField axis="axisPage" multipleItemSelectionAllowed="1" showAll="0" defaultSubtotal="0">
      <items count="11">
        <item m="1" x="4"/>
        <item m="1" x="9"/>
        <item m="1" x="8"/>
        <item m="1" x="6"/>
        <item m="1" x="3"/>
        <item m="1" x="2"/>
        <item x="0"/>
        <item m="1" x="7"/>
        <item h="1" m="1" x="10"/>
        <item m="1" x="5"/>
        <item h="1" m="1" x="1"/>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1" showAll="0"/>
    <pivotField numFmtId="1" showAll="0"/>
    <pivotField numFmtId="1" showAll="0" defaultSubtotal="0"/>
    <pivotField numFmtId="9" subtotalTop="0" showAll="0"/>
    <pivotField numFmtId="9" subtotalTop="0" showAll="0"/>
    <pivotField numFmtId="9"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Items count="1">
    <i/>
  </colItems>
  <pageFields count="4">
    <pageField fld="0" hier="-1"/>
    <pageField fld="4" hier="-1"/>
    <pageField fld="78" item="0" hier="-1"/>
    <pageField fld="6" hier="-1"/>
  </pageFields>
  <dataFields count="2">
    <dataField name="Sum of #_of_functional_handwashing_facilities_at_HH_level" fld="35" baseField="0" baseItem="0"/>
    <dataField name="Sum of #_of_functional_handwashing_facilities_at_school" fld="36" baseField="0" baseItem="0"/>
  </dataFields>
  <formats count="9">
    <format dxfId="340">
      <pivotArea type="all" dataOnly="0" outline="0" fieldPosition="0"/>
    </format>
    <format dxfId="339">
      <pivotArea type="all" dataOnly="0" outline="0" fieldPosition="0"/>
    </format>
    <format dxfId="338">
      <pivotArea outline="0" collapsedLevelsAreSubtotals="1" fieldPosition="0"/>
    </format>
    <format dxfId="337">
      <pivotArea field="4" type="button" dataOnly="0" labelOnly="1" outline="0" axis="axisPage" fieldPosition="1"/>
    </format>
    <format dxfId="336">
      <pivotArea dataOnly="0" labelOnly="1" grandRow="1" outline="0" fieldPosition="0"/>
    </format>
    <format dxfId="335">
      <pivotArea type="all" dataOnly="0" outline="0" fieldPosition="0"/>
    </format>
    <format dxfId="334">
      <pivotArea outline="0" collapsedLevelsAreSubtotals="1" fieldPosition="0"/>
    </format>
    <format dxfId="333">
      <pivotArea field="4" type="button" dataOnly="0" labelOnly="1" outline="0" axis="axisPage" fieldPosition="1"/>
    </format>
    <format dxfId="332">
      <pivotArea dataOnly="0" labelOnly="1" grandRow="1" outline="0"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chartFormat="8">
  <location ref="C213:J232" firstHeaderRow="0" firstDataRow="1" firstDataCol="3" rowPageCount="1" colPageCount="1"/>
  <pivotFields count="88">
    <pivotField axis="axisPage" compact="0" outline="0" subtotalTop="0" showAll="0" defaultSubtotal="0">
      <items count="16">
        <item m="1" x="14"/>
        <item m="1" x="4"/>
        <item m="1" x="15"/>
        <item m="1" x="7"/>
        <item m="1" x="3"/>
        <item m="1" x="2"/>
        <item m="1" x="13"/>
        <item m="1" x="9"/>
        <item m="1" x="11"/>
        <item m="1" x="12"/>
        <item m="1" x="5"/>
        <item m="1" x="6"/>
        <item m="1" x="8"/>
        <item m="1" x="10"/>
        <item x="0"/>
        <item x="1"/>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8">
        <item x="2"/>
        <item m="1" x="5"/>
        <item x="0"/>
        <item m="1" x="4"/>
        <item x="1"/>
        <item m="1" x="6"/>
        <item x="3"/>
        <item t="default"/>
      </items>
    </pivotField>
    <pivotField axis="axisRow" compact="0" outline="0" subtotalTop="0" showAll="0" defaultSubtotal="0">
      <items count="52">
        <item m="1" x="28"/>
        <item m="1" x="31"/>
        <item m="1" x="48"/>
        <item m="1" x="43"/>
        <item m="1" x="39"/>
        <item x="18"/>
        <item m="1" x="37"/>
        <item m="1" x="24"/>
        <item x="9"/>
        <item x="13"/>
        <item x="19"/>
        <item m="1" x="46"/>
        <item m="1" x="26"/>
        <item m="1" x="30"/>
        <item m="1" x="40"/>
        <item x="11"/>
        <item m="1" x="35"/>
        <item m="1" x="44"/>
        <item m="1" x="38"/>
        <item m="1" x="47"/>
        <item m="1" x="29"/>
        <item x="12"/>
        <item x="15"/>
        <item m="1" x="36"/>
        <item m="1" x="41"/>
        <item m="1" x="27"/>
        <item x="8"/>
        <item m="1" x="42"/>
        <item m="1" x="33"/>
        <item m="1" x="50"/>
        <item m="1" x="45"/>
        <item m="1" x="51"/>
        <item x="10"/>
        <item x="17"/>
        <item m="1" x="49"/>
        <item x="14"/>
        <item m="1" x="32"/>
        <item m="1" x="23"/>
        <item m="1" x="25"/>
        <item m="1" x="22"/>
        <item m="1" x="34"/>
        <item x="0"/>
        <item x="1"/>
        <item x="2"/>
        <item x="3"/>
        <item x="4"/>
        <item x="5"/>
        <item x="6"/>
        <item x="7"/>
        <item x="20"/>
        <item x="16"/>
        <item x="21"/>
      </items>
    </pivotField>
    <pivotField compact="0" outline="0" showAll="0" defaultSubtotal="0"/>
    <pivotField compact="0" outline="0" showAll="0"/>
    <pivotField dataField="1"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pivotField compact="0" outline="0" subtotalTop="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ubtotalTop="0" showAll="0" defaultSubtotal="0"/>
    <pivotField compact="0" outline="0" showAll="0" defaultSubtotal="0"/>
    <pivotField compact="0" outline="0" showAll="0"/>
    <pivotField compact="0" numFmtId="1" outline="0" subtotalTop="0" showAll="0" defaultSubtotal="0"/>
    <pivotField compact="0" outline="0" showAll="0" defaultSubtota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9" outline="0" showAll="0"/>
    <pivotField compact="0" numFmtId="1" outline="0" showAll="0" defaultSubtotal="0"/>
    <pivotField compact="0" outline="0" showAll="0" defaultSubtotal="0"/>
    <pivotField compact="0" outline="0" subtotalTop="0" showAll="0" defaultSubtotal="0"/>
    <pivotField compact="0" outline="0" subtotalTop="0" showAll="0" defaultSubtotal="0"/>
    <pivotField dataField="1" compact="0" outline="0" subtotalTop="0" showAll="0" defaultSubtotal="0"/>
    <pivotField compact="0" numFmtId="1" outline="0" showAll="0"/>
    <pivotField compact="0" numFmtId="1" outline="0" showAl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1" outline="0" showAll="0"/>
    <pivotField compact="0" numFmtId="1" outline="0" showAll="0"/>
    <pivotField compact="0" numFmtId="164" outline="0" showAll="0"/>
    <pivotField compact="0" outline="0" showAll="0"/>
    <pivotField compact="0" outline="0" subtotalTop="0" showAll="0" defaultSubtotal="0"/>
    <pivotField axis="axisRow" compact="0" outline="0" subtotalTop="0" showAll="0" defaultSubtotal="0">
      <items count="4">
        <item m="1" x="3"/>
        <item x="0"/>
        <item x="2"/>
        <item x="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4">
        <item x="0"/>
        <item n="Gap" m="1" x="3"/>
        <item m="1" x="2"/>
        <item m="1" x="1"/>
      </items>
    </pivotField>
    <pivotField compact="0" outline="0" subtotalTop="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3">
    <field x="4"/>
    <field x="5"/>
    <field x="73"/>
  </rowFields>
  <rowItems count="19">
    <i>
      <x/>
      <x v="22"/>
      <x v="1"/>
    </i>
    <i r="1">
      <x v="33"/>
      <x v="1"/>
    </i>
    <i r="1">
      <x v="35"/>
      <x v="1"/>
    </i>
    <i r="1">
      <x v="50"/>
      <x v="1"/>
    </i>
    <i t="default">
      <x/>
    </i>
    <i>
      <x v="2"/>
      <x v="5"/>
      <x v="1"/>
    </i>
    <i r="1">
      <x v="10"/>
      <x v="1"/>
    </i>
    <i r="1">
      <x v="49"/>
      <x v="1"/>
    </i>
    <i t="default">
      <x v="2"/>
    </i>
    <i>
      <x v="4"/>
      <x v="9"/>
      <x v="1"/>
    </i>
    <i r="1">
      <x v="15"/>
      <x v="1"/>
    </i>
    <i r="2">
      <x v="3"/>
    </i>
    <i r="1">
      <x v="21"/>
      <x v="2"/>
    </i>
    <i r="1">
      <x v="26"/>
      <x v="1"/>
    </i>
    <i r="1">
      <x v="32"/>
      <x v="1"/>
    </i>
    <i r="2">
      <x v="2"/>
    </i>
    <i t="default">
      <x v="4"/>
    </i>
    <i>
      <x v="6"/>
      <x v="51"/>
      <x v="1"/>
    </i>
    <i t="default">
      <x v="6"/>
    </i>
  </rowItems>
  <colFields count="1">
    <field x="-2"/>
  </colFields>
  <colItems count="5">
    <i>
      <x/>
    </i>
    <i i="1">
      <x v="1"/>
    </i>
    <i i="2">
      <x v="2"/>
    </i>
    <i i="3">
      <x v="3"/>
    </i>
    <i i="4">
      <x v="4"/>
    </i>
  </colItems>
  <pageFields count="1">
    <pageField fld="0" item="15" hier="-1"/>
  </pageFields>
  <dataFields count="5">
    <dataField name="HHs" fld="8" baseField="0" baseItem="0" numFmtId="164"/>
    <dataField name="Pops" fld="9" baseField="0" baseItem="0" numFmtId="164"/>
    <dataField name="% WATER GAP" fld="52" subtotal="average" baseField="0" baseItem="0" numFmtId="9"/>
    <dataField name="% LATRINE GAP" fld="61" subtotal="average" baseField="0" baseItem="0" numFmtId="9"/>
    <dataField name="% HYGIENE GAP" fld="66" subtotal="average" baseField="0" baseItem="0" numFmtId="9"/>
  </dataFields>
  <formats count="28">
    <format dxfId="368">
      <pivotArea type="all" dataOnly="0" outline="0" fieldPosition="0"/>
    </format>
    <format dxfId="367">
      <pivotArea outline="0" collapsedLevelsAreSubtotals="1" fieldPosition="0"/>
    </format>
    <format dxfId="366">
      <pivotArea field="4" type="button" dataOnly="0" labelOnly="1" outline="0" axis="axisRow" fieldPosition="0"/>
    </format>
    <format dxfId="365">
      <pivotArea dataOnly="0" labelOnly="1" grandRow="1" outline="0" fieldPosition="0"/>
    </format>
    <format dxfId="364">
      <pivotArea type="all" dataOnly="0" outline="0" fieldPosition="0"/>
    </format>
    <format dxfId="363">
      <pivotArea dataOnly="0" labelOnly="1" grandRow="1" outline="0" fieldPosition="0"/>
    </format>
    <format dxfId="362">
      <pivotArea type="all" dataOnly="0" outline="0" fieldPosition="0"/>
    </format>
    <format dxfId="361">
      <pivotArea type="origin" dataOnly="0" labelOnly="1" outline="0" fieldPosition="0"/>
    </format>
    <format dxfId="360">
      <pivotArea field="78" type="button" dataOnly="0" labelOnly="1" outline="0"/>
    </format>
    <format dxfId="359">
      <pivotArea type="topRight" dataOnly="0" labelOnly="1" outline="0" fieldPosition="0"/>
    </format>
    <format dxfId="358">
      <pivotArea type="all" dataOnly="0" outline="0" fieldPosition="0"/>
    </format>
    <format dxfId="357">
      <pivotArea outline="0" collapsedLevelsAreSubtotals="1" fieldPosition="0"/>
    </format>
    <format dxfId="356">
      <pivotArea type="origin" dataOnly="0" labelOnly="1" outline="0" fieldPosition="0"/>
    </format>
    <format dxfId="355">
      <pivotArea field="78" type="button" dataOnly="0" labelOnly="1" outline="0"/>
    </format>
    <format dxfId="354">
      <pivotArea type="topRight" dataOnly="0" labelOnly="1" outline="0" fieldPosition="0"/>
    </format>
    <format dxfId="353">
      <pivotArea outline="0" fieldPosition="0">
        <references count="1">
          <reference field="4294967294" count="3" selected="0">
            <x v="2"/>
            <x v="3"/>
            <x v="4"/>
          </reference>
        </references>
      </pivotArea>
    </format>
    <format dxfId="352">
      <pivotArea outline="0" fieldPosition="0">
        <references count="1">
          <reference field="4294967294" count="2" selected="0">
            <x v="0"/>
            <x v="1"/>
          </reference>
        </references>
      </pivotArea>
    </format>
    <format dxfId="351">
      <pivotArea type="all" dataOnly="0" outline="0" fieldPosition="0"/>
    </format>
    <format dxfId="350">
      <pivotArea outline="0" collapsedLevelsAreSubtotals="1" fieldPosition="0"/>
    </format>
    <format dxfId="349">
      <pivotArea field="4" type="button" dataOnly="0" labelOnly="1" outline="0" axis="axisRow" fieldPosition="0"/>
    </format>
    <format dxfId="348">
      <pivotArea field="5" type="button" dataOnly="0" labelOnly="1" outline="0" axis="axisRow" fieldPosition="1"/>
    </format>
    <format dxfId="347">
      <pivotArea field="73" type="button" dataOnly="0" labelOnly="1" outline="0" axis="axisRow" fieldPosition="2"/>
    </format>
    <format dxfId="346">
      <pivotArea dataOnly="0" labelOnly="1" outline="0" fieldPosition="0">
        <references count="1">
          <reference field="4" count="0"/>
        </references>
      </pivotArea>
    </format>
    <format dxfId="345">
      <pivotArea dataOnly="0" labelOnly="1" outline="0" fieldPosition="0">
        <references count="1">
          <reference field="4" count="0" defaultSubtotal="1"/>
        </references>
      </pivotArea>
    </format>
    <format dxfId="344">
      <pivotArea dataOnly="0" labelOnly="1" outline="0" fieldPosition="0">
        <references count="2">
          <reference field="4" count="1" selected="0">
            <x v="0"/>
          </reference>
          <reference field="5" count="8">
            <x v="1"/>
            <x v="12"/>
            <x v="17"/>
            <x v="18"/>
            <x v="28"/>
            <x v="31"/>
            <x v="33"/>
            <x v="35"/>
          </reference>
        </references>
      </pivotArea>
    </format>
    <format dxfId="343">
      <pivotArea dataOnly="0" labelOnly="1" outline="0" fieldPosition="0">
        <references count="2">
          <reference field="4" count="1" selected="0">
            <x v="1"/>
          </reference>
          <reference field="5" count="7">
            <x v="8"/>
            <x v="9"/>
            <x v="15"/>
            <x v="19"/>
            <x v="27"/>
            <x v="30"/>
            <x v="32"/>
          </reference>
        </references>
      </pivotArea>
    </format>
    <format dxfId="342">
      <pivotArea dataOnly="0" labelOnly="1" outline="0" fieldPosition="0">
        <references count="2">
          <reference field="4" count="1" selected="0">
            <x v="2"/>
          </reference>
          <reference field="5" count="4">
            <x v="6"/>
            <x v="7"/>
            <x v="13"/>
            <x v="20"/>
          </reference>
        </references>
      </pivotArea>
    </format>
    <format dxfId="341">
      <pivotArea dataOnly="0" labelOnly="1" outline="0" fieldPosition="0">
        <references count="1">
          <reference field="4294967294" count="5">
            <x v="0"/>
            <x v="1"/>
            <x v="2"/>
            <x v="3"/>
            <x v="4"/>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C3C565C7-00A5-4A89-9477-F535CE6ABE09}" name="PivotTable10"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M122:N124" firstHeaderRow="1" firstDataRow="1" firstDataCol="1" rowPageCount="4" colPageCount="1"/>
  <pivotFields count="88">
    <pivotField axis="axisPage" subtotalTop="0" multipleItemSelectionAllowed="1" showAll="0">
      <items count="17">
        <item m="1" x="14"/>
        <item m="1" x="4"/>
        <item m="1" x="15"/>
        <item h="1" m="1" x="7"/>
        <item m="1" x="3"/>
        <item h="1" m="1" x="2"/>
        <item h="1" m="1" x="13"/>
        <item h="1" m="1" x="9"/>
        <item h="1" m="1" x="11"/>
        <item m="1" x="12"/>
        <item h="1" m="1" x="5"/>
        <item h="1" m="1" x="6"/>
        <item h="1" m="1" x="8"/>
        <item h="1" m="1" x="10"/>
        <item h="1" x="0"/>
        <item x="1"/>
        <item t="default"/>
      </items>
    </pivotField>
    <pivotField showAll="0" defaultSubtotal="0"/>
    <pivotField showAll="0" defaultSubtotal="0"/>
    <pivotField subtotalTop="0" showAll="0"/>
    <pivotField axis="axisPage" subtotalTop="0" multipleItemSelectionAllowed="1" showAll="0">
      <items count="8">
        <item h="1" x="2"/>
        <item m="1" x="5"/>
        <item h="1" x="0"/>
        <item m="1" x="4"/>
        <item x="1"/>
        <item m="1" x="6"/>
        <item h="1" x="3"/>
        <item t="default"/>
      </items>
    </pivotField>
    <pivotField subtotalTop="0" showAll="0"/>
    <pivotField axis="axisPage" multipleItemSelectionAllowed="1" showAll="0" defaultSubtotal="0">
      <items count="11">
        <item m="1" x="4"/>
        <item m="1" x="9"/>
        <item m="1" x="8"/>
        <item m="1" x="6"/>
        <item m="1" x="3"/>
        <item m="1" x="2"/>
        <item x="0"/>
        <item m="1" x="7"/>
        <item h="1" m="1" x="10"/>
        <item m="1" x="5"/>
        <item h="1" m="1" x="1"/>
      </items>
    </pivotField>
    <pivotField showAll="0"/>
    <pivotField subtotalTop="0" showAll="0"/>
    <pivotField subtotalTop="0" showAll="0"/>
    <pivotField showAll="0" defaultSubtotal="0"/>
    <pivotField showAll="0" defaultSubtotal="0"/>
    <pivotField showAll="0"/>
    <pivotField subtotalTop="0"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1" showAll="0"/>
    <pivotField numFmtId="1" showAll="0"/>
    <pivotField numFmtId="1" showAll="0" defaultSubtotal="0"/>
    <pivotField numFmtId="9" subtotalTop="0" showAll="0"/>
    <pivotField subtotalTop="0" showAll="0"/>
    <pivotField subtotalTop="0" showAll="0"/>
    <pivotField numFmtId="1" showAll="0"/>
    <pivotField numFmtId="1" showAll="0"/>
    <pivotField numFmtId="164" showAll="0"/>
    <pivotField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Items count="1">
    <i/>
  </colItems>
  <pageFields count="4">
    <pageField fld="0" hier="-1"/>
    <pageField fld="4" hier="-1"/>
    <pageField fld="78" hier="-1"/>
    <pageField fld="6" hier="-1"/>
  </pageFields>
  <dataFields count="2">
    <dataField name="Sum of #_of_PWD_at_village" fld="24" baseField="0" baseItem="0"/>
    <dataField name="Sum of #_of_PWD_with_adapted_sanitation_option_at_HH_level_" fld="25" baseField="0" baseItem="0"/>
  </dataFields>
  <formats count="11">
    <format dxfId="379">
      <pivotArea field="4" type="button" dataOnly="0" labelOnly="1" outline="0" axis="axisPage" fieldPosition="1"/>
    </format>
    <format dxfId="378">
      <pivotArea type="all" dataOnly="0" outline="0" fieldPosition="0"/>
    </format>
    <format dxfId="377">
      <pivotArea outline="0" collapsedLevelsAreSubtotals="1" fieldPosition="0"/>
    </format>
    <format dxfId="376">
      <pivotArea type="origin" dataOnly="0" labelOnly="1" outline="0" fieldPosition="0"/>
    </format>
    <format dxfId="375">
      <pivotArea type="topRight" dataOnly="0" labelOnly="1" outline="0" fieldPosition="0"/>
    </format>
    <format dxfId="374">
      <pivotArea field="-2" type="button" dataOnly="0" labelOnly="1" outline="0" axis="axisRow" fieldPosition="0"/>
    </format>
    <format dxfId="373">
      <pivotArea type="all" dataOnly="0" outline="0" fieldPosition="0"/>
    </format>
    <format dxfId="372">
      <pivotArea outline="0" collapsedLevelsAreSubtotals="1" fieldPosition="0"/>
    </format>
    <format dxfId="371">
      <pivotArea field="4" type="button" dataOnly="0" labelOnly="1" outline="0" axis="axisPage" fieldPosition="1"/>
    </format>
    <format dxfId="370">
      <pivotArea dataOnly="0" labelOnly="1" outline="0" fieldPosition="0">
        <references count="1">
          <reference field="4" count="1">
            <x v="1"/>
          </reference>
        </references>
      </pivotArea>
    </format>
    <format dxfId="369">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7C1A5984-1947-4046-99FC-88F298486FE6}" name="PivotTable7" cacheId="0" applyNumberFormats="0" applyBorderFormats="0" applyFontFormats="0" applyPatternFormats="0" applyAlignmentFormats="0" applyWidthHeightFormats="1" dataCaption="Values" updatedVersion="6" minRefreshableVersion="3" itemPrintTitles="1" createdVersion="6" indent="0" compact="0" compactData="0" multipleFieldFilters="0" rowHeaderCaption="Township">
  <location ref="P9:U14" firstHeaderRow="0" firstDataRow="1" firstDataCol="2" rowPageCount="4" colPageCount="1"/>
  <pivotFields count="88">
    <pivotField axis="axisPage" compact="0" outline="0" subtotalTop="0" showAll="0" defaultSubtotal="0">
      <items count="16">
        <item m="1" x="14"/>
        <item m="1" x="4"/>
        <item m="1" x="7"/>
        <item m="1" x="2"/>
        <item m="1" x="15"/>
        <item m="1" x="3"/>
        <item m="1" x="13"/>
        <item m="1" x="9"/>
        <item m="1" x="11"/>
        <item m="1" x="12"/>
        <item m="1" x="5"/>
        <item m="1" x="6"/>
        <item m="1" x="8"/>
        <item m="1" x="10"/>
        <item x="0"/>
        <item x="1"/>
      </items>
    </pivotField>
    <pivotField axis="axisRow" compact="0" outline="0" showAll="0" defaultSubtotal="0">
      <items count="51">
        <item x="3"/>
        <item m="1" x="27"/>
        <item m="1" x="46"/>
        <item m="1" x="47"/>
        <item x="2"/>
        <item x="9"/>
        <item m="1" x="36"/>
        <item m="1" x="43"/>
        <item x="0"/>
        <item m="1" x="15"/>
        <item m="1" x="31"/>
        <item m="1" x="17"/>
        <item x="8"/>
        <item x="13"/>
        <item m="1" x="41"/>
        <item m="1" x="20"/>
        <item m="1" x="18"/>
        <item m="1" x="42"/>
        <item m="1" x="38"/>
        <item m="1" x="34"/>
        <item m="1" x="26"/>
        <item m="1" x="45"/>
        <item m="1" x="24"/>
        <item m="1" x="21"/>
        <item m="1" x="48"/>
        <item m="1" x="40"/>
        <item m="1" x="33"/>
        <item m="1" x="32"/>
        <item m="1" x="30"/>
        <item x="4"/>
        <item m="1" x="28"/>
        <item x="6"/>
        <item m="1" x="49"/>
        <item m="1" x="16"/>
        <item m="1" x="25"/>
        <item m="1" x="23"/>
        <item x="5"/>
        <item x="1"/>
        <item m="1" x="50"/>
        <item m="1" x="19"/>
        <item x="7"/>
        <item m="1" x="35"/>
        <item m="1" x="39"/>
        <item m="1" x="29"/>
        <item m="1" x="37"/>
        <item m="1" x="44"/>
        <item x="10"/>
        <item m="1" x="14"/>
        <item x="12"/>
        <item x="11"/>
        <item m="1" x="22"/>
      </items>
    </pivotField>
    <pivotField compact="0" outline="0" showAll="0" defaultSubtotal="0"/>
    <pivotField compact="0" outline="0" subtotalTop="0" showAll="0" defaultSubtotal="0"/>
    <pivotField axis="axisPage" compact="0" outline="0" subtotalTop="0" multipleItemSelectionAllowed="1" showAll="0" defaultSubtotal="0">
      <items count="7">
        <item x="2"/>
        <item m="1" x="5"/>
        <item h="1" x="0"/>
        <item m="1" x="4"/>
        <item h="1" x="1"/>
        <item h="1" m="1" x="6"/>
        <item h="1" x="3"/>
      </items>
    </pivotField>
    <pivotField axis="axisRow" compact="0" outline="0" subtotalTop="0" showAll="0" sortType="ascending" defaultSubtotal="0">
      <items count="52">
        <item x="0"/>
        <item m="1" x="28"/>
        <item m="1" x="31"/>
        <item m="1" x="48"/>
        <item m="1" x="34"/>
        <item m="1" x="43"/>
        <item x="21"/>
        <item m="1" x="39"/>
        <item x="18"/>
        <item m="1" x="37"/>
        <item x="16"/>
        <item x="4"/>
        <item x="7"/>
        <item m="1" x="24"/>
        <item x="9"/>
        <item x="13"/>
        <item x="19"/>
        <item x="20"/>
        <item m="1" x="46"/>
        <item m="1" x="26"/>
        <item m="1" x="30"/>
        <item m="1" x="40"/>
        <item x="11"/>
        <item m="1" x="35"/>
        <item m="1" x="44"/>
        <item m="1" x="23"/>
        <item m="1" x="38"/>
        <item m="1" x="47"/>
        <item m="1" x="29"/>
        <item x="12"/>
        <item x="15"/>
        <item x="2"/>
        <item m="1" x="32"/>
        <item m="1" x="36"/>
        <item m="1" x="41"/>
        <item m="1" x="25"/>
        <item x="3"/>
        <item m="1" x="27"/>
        <item x="8"/>
        <item m="1" x="42"/>
        <item m="1" x="33"/>
        <item m="1" x="50"/>
        <item m="1" x="45"/>
        <item m="1" x="51"/>
        <item x="10"/>
        <item x="6"/>
        <item x="17"/>
        <item m="1" x="49"/>
        <item x="5"/>
        <item x="14"/>
        <item x="1"/>
        <item m="1" x="22"/>
      </items>
    </pivotField>
    <pivotField axis="axisPage" compact="0" outline="0" multipleItemSelectionAllowed="1" showAll="0" defaultSubtotal="0">
      <items count="11">
        <item h="1" m="1" x="4"/>
        <item h="1" m="1" x="9"/>
        <item m="1" x="8"/>
        <item m="1" x="3"/>
        <item h="1" m="1" x="2"/>
        <item x="0"/>
        <item h="1" m="1" x="7"/>
        <item h="1" m="1" x="10"/>
        <item m="1" x="5"/>
        <item m="1" x="6"/>
        <item h="1" m="1" x="1"/>
      </items>
    </pivotField>
    <pivotField compact="0" outline="0" showAll="0" defaultSubtotal="0"/>
    <pivotField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numFmtId="9" outline="0" showAll="0" defaultSubtotal="0"/>
    <pivotField compact="0" numFmtId="1"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compact="0" numFmtId="1" outline="0" showAll="0" defaultSubtotal="0"/>
    <pivotField compact="0" numFmtId="1" outline="0" showAll="0" defaultSubtotal="0"/>
    <pivotField compact="0" numFmtId="164"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4">
        <item x="0"/>
        <item h="1" m="1" x="3"/>
        <item m="1" x="2"/>
        <item m="1" x="1"/>
      </items>
    </pivotField>
    <pivotField compact="0" outline="0" subtotalTop="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5"/>
    <field x="1"/>
  </rowFields>
  <rowItems count="5">
    <i>
      <x v="10"/>
      <x v="49"/>
    </i>
    <i>
      <x v="30"/>
      <x v="46"/>
    </i>
    <i>
      <x v="46"/>
      <x v="49"/>
    </i>
    <i>
      <x v="49"/>
      <x v="46"/>
    </i>
    <i t="grand">
      <x/>
    </i>
  </rowItems>
  <colFields count="1">
    <field x="-2"/>
  </colFields>
  <colItems count="4">
    <i>
      <x/>
    </i>
    <i i="1">
      <x v="1"/>
    </i>
    <i i="2">
      <x v="2"/>
    </i>
    <i i="3">
      <x v="3"/>
    </i>
  </colItems>
  <pageFields count="4">
    <pageField fld="0" item="15" hier="-1"/>
    <pageField fld="78" hier="-1"/>
    <pageField fld="4" hier="-1"/>
    <pageField fld="6" hier="-1"/>
  </pageFields>
  <dataFields count="4">
    <dataField name="PoP " fld="9" baseField="0" baseItem="0" numFmtId="164"/>
    <dataField name=" % Water GAP" fld="85" baseField="0" baseItem="0" numFmtId="9"/>
    <dataField name=" % Sanitation GAP" fld="87" baseField="0" baseItem="0" numFmtId="9"/>
    <dataField name=" % Hygiene Gap" fld="82" baseField="0" baseItem="0" numFmtId="9"/>
  </dataFields>
  <formats count="35">
    <format dxfId="414">
      <pivotArea type="all" dataOnly="0" outline="0" fieldPosition="0"/>
    </format>
    <format dxfId="413">
      <pivotArea outline="0" collapsedLevelsAreSubtotals="1" fieldPosition="0"/>
    </format>
    <format dxfId="412">
      <pivotArea field="5" type="button" dataOnly="0" labelOnly="1" outline="0" axis="axisRow" fieldPosition="0"/>
    </format>
    <format dxfId="411">
      <pivotArea dataOnly="0" labelOnly="1" outline="0" axis="axisValues" fieldPosition="0"/>
    </format>
    <format dxfId="410">
      <pivotArea dataOnly="0" labelOnly="1" fieldPosition="0">
        <references count="1">
          <reference field="5" count="0"/>
        </references>
      </pivotArea>
    </format>
    <format dxfId="409">
      <pivotArea dataOnly="0" labelOnly="1" grandRow="1" outline="0" fieldPosition="0"/>
    </format>
    <format dxfId="408">
      <pivotArea dataOnly="0" labelOnly="1" outline="0" axis="axisValues" fieldPosition="0"/>
    </format>
    <format dxfId="407">
      <pivotArea type="all" dataOnly="0" outline="0" fieldPosition="0"/>
    </format>
    <format dxfId="406">
      <pivotArea field="5" type="button" dataOnly="0" labelOnly="1" outline="0" axis="axisRow" fieldPosition="0"/>
    </format>
    <format dxfId="405">
      <pivotArea dataOnly="0" labelOnly="1" outline="0" axis="axisValues" fieldPosition="0"/>
    </format>
    <format dxfId="404">
      <pivotArea dataOnly="0" labelOnly="1" fieldPosition="0">
        <references count="1">
          <reference field="5" count="0"/>
        </references>
      </pivotArea>
    </format>
    <format dxfId="403">
      <pivotArea dataOnly="0" labelOnly="1" outline="0" axis="axisValues" fieldPosition="0"/>
    </format>
    <format dxfId="402">
      <pivotArea field="5" type="button" dataOnly="0" labelOnly="1" outline="0" axis="axisRow" fieldPosition="0"/>
    </format>
    <format dxfId="401">
      <pivotArea type="all" dataOnly="0" outline="0" fieldPosition="0"/>
    </format>
    <format dxfId="400">
      <pivotArea field="5" type="button" dataOnly="0" labelOnly="1" outline="0" axis="axisRow" fieldPosition="0"/>
    </format>
    <format dxfId="399">
      <pivotArea dataOnly="0" labelOnly="1" outline="0" fieldPosition="0">
        <references count="1">
          <reference field="4294967294" count="1">
            <x v="0"/>
          </reference>
        </references>
      </pivotArea>
    </format>
    <format dxfId="398">
      <pivotArea type="all" dataOnly="0" outline="0" fieldPosition="0"/>
    </format>
    <format dxfId="397">
      <pivotArea outline="0" collapsedLevelsAreSubtotals="1" fieldPosition="0"/>
    </format>
    <format dxfId="396">
      <pivotArea field="5" type="button" dataOnly="0" labelOnly="1" outline="0" axis="axisRow" fieldPosition="0"/>
    </format>
    <format dxfId="395">
      <pivotArea dataOnly="0" labelOnly="1" fieldPosition="0">
        <references count="1">
          <reference field="5" count="2">
            <x v="38"/>
            <x v="44"/>
          </reference>
        </references>
      </pivotArea>
    </format>
    <format dxfId="394">
      <pivotArea dataOnly="0" labelOnly="1" outline="0" fieldPosition="0">
        <references count="1">
          <reference field="4294967294" count="1">
            <x v="0"/>
          </reference>
        </references>
      </pivotArea>
    </format>
    <format dxfId="393">
      <pivotArea field="5" type="button" dataOnly="0" labelOnly="1" outline="0" axis="axisRow" fieldPosition="0"/>
    </format>
    <format dxfId="392">
      <pivotArea dataOnly="0" labelOnly="1" outline="0" fieldPosition="0">
        <references count="1">
          <reference field="4294967294" count="1">
            <x v="0"/>
          </reference>
        </references>
      </pivotArea>
    </format>
    <format dxfId="391">
      <pivotArea type="all" dataOnly="0" outline="0" fieldPosition="0"/>
    </format>
    <format dxfId="390">
      <pivotArea outline="0" collapsedLevelsAreSubtotals="1" fieldPosition="0"/>
    </format>
    <format dxfId="389">
      <pivotArea field="5" type="button" dataOnly="0" labelOnly="1" outline="0" axis="axisRow" fieldPosition="0"/>
    </format>
    <format dxfId="388">
      <pivotArea dataOnly="0" labelOnly="1" fieldPosition="0">
        <references count="1">
          <reference field="5" count="5">
            <x v="14"/>
            <x v="15"/>
            <x v="29"/>
            <x v="38"/>
            <x v="44"/>
          </reference>
        </references>
      </pivotArea>
    </format>
    <format dxfId="387">
      <pivotArea dataOnly="0" labelOnly="1" grandRow="1" outline="0" fieldPosition="0"/>
    </format>
    <format dxfId="386">
      <pivotArea dataOnly="0" labelOnly="1" outline="0" fieldPosition="0">
        <references count="1">
          <reference field="4294967294" count="1">
            <x v="0"/>
          </reference>
        </references>
      </pivotArea>
    </format>
    <format dxfId="385">
      <pivotArea field="4" type="button" dataOnly="0" labelOnly="1" outline="0" axis="axisPage" fieldPosition="2"/>
    </format>
    <format dxfId="384">
      <pivotArea dataOnly="0" labelOnly="1" outline="0" fieldPosition="0">
        <references count="2">
          <reference field="0" count="1" selected="0">
            <x v="7"/>
          </reference>
          <reference field="4" count="1">
            <x v="1"/>
          </reference>
        </references>
      </pivotArea>
    </format>
    <format dxfId="383">
      <pivotArea outline="0" collapsedLevelsAreSubtotals="1" fieldPosition="0">
        <references count="1">
          <reference field="4294967294" count="1" selected="0">
            <x v="0"/>
          </reference>
        </references>
      </pivotArea>
    </format>
    <format dxfId="382">
      <pivotArea dataOnly="0" labelOnly="1" outline="0" fieldPosition="0">
        <references count="2">
          <reference field="0" count="1" selected="0">
            <x v="8"/>
          </reference>
          <reference field="4" count="1">
            <x v="1"/>
          </reference>
        </references>
      </pivotArea>
    </format>
    <format dxfId="381">
      <pivotArea dataOnly="0" labelOnly="1" outline="0" fieldPosition="0">
        <references count="2">
          <reference field="0" count="1" selected="0">
            <x v="10"/>
          </reference>
          <reference field="4" count="0"/>
        </references>
      </pivotArea>
    </format>
    <format dxfId="380">
      <pivotArea outline="0" collapsedLevelsAreSubtotals="1" fieldPosition="0">
        <references count="1">
          <reference field="4294967294" count="3" selected="0">
            <x v="1"/>
            <x v="2"/>
            <x v="3"/>
          </reference>
        </references>
      </pivotArea>
    </format>
  </formats>
  <conditionalFormats count="1">
    <conditionalFormat priority="1">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5">
  <location ref="A29:F56" firstHeaderRow="0" firstDataRow="1" firstDataCol="2" rowPageCount="1" colPageCount="1"/>
  <pivotFields count="88">
    <pivotField axis="axisPage" compact="0" outline="0" multipleItemSelectionAllowed="1" showAll="0">
      <items count="17">
        <item m="1" x="13"/>
        <item m="1" x="14"/>
        <item m="1" x="4"/>
        <item m="1" x="15"/>
        <item m="1" x="7"/>
        <item m="1" x="3"/>
        <item m="1" x="2"/>
        <item m="1" x="9"/>
        <item m="1" x="11"/>
        <item m="1" x="12"/>
        <item m="1" x="5"/>
        <item m="1" x="6"/>
        <item m="1" x="8"/>
        <item m="1" x="10"/>
        <item x="0"/>
        <item x="1"/>
        <item t="default"/>
      </items>
    </pivotField>
    <pivotField compact="0" outline="0" showAll="0" defaultSubtotal="0">
      <items count="51">
        <item x="3"/>
        <item m="1" x="27"/>
        <item m="1" x="46"/>
        <item m="1" x="47"/>
        <item x="2"/>
        <item x="9"/>
        <item m="1" x="36"/>
        <item m="1" x="43"/>
        <item x="0"/>
        <item m="1" x="22"/>
        <item m="1" x="15"/>
        <item m="1" x="31"/>
        <item m="1" x="17"/>
        <item x="8"/>
        <item x="13"/>
        <item x="12"/>
        <item m="1" x="41"/>
        <item m="1" x="20"/>
        <item m="1" x="18"/>
        <item m="1" x="42"/>
        <item m="1" x="38"/>
        <item m="1" x="34"/>
        <item m="1" x="26"/>
        <item m="1" x="45"/>
        <item m="1" x="24"/>
        <item m="1" x="21"/>
        <item m="1" x="48"/>
        <item m="1" x="40"/>
        <item m="1" x="33"/>
        <item m="1" x="32"/>
        <item m="1" x="30"/>
        <item x="4"/>
        <item m="1" x="28"/>
        <item x="6"/>
        <item m="1" x="49"/>
        <item m="1" x="16"/>
        <item m="1" x="25"/>
        <item m="1" x="23"/>
        <item x="5"/>
        <item x="1"/>
        <item m="1" x="50"/>
        <item m="1" x="19"/>
        <item x="7"/>
        <item m="1" x="35"/>
        <item m="1" x="39"/>
        <item m="1" x="29"/>
        <item m="1" x="37"/>
        <item x="11"/>
        <item m="1" x="44"/>
        <item x="10"/>
        <item m="1" x="14"/>
      </items>
    </pivotField>
    <pivotField compact="0" outline="0" showAll="0" defaultSubtotal="0"/>
    <pivotField compact="0" outline="0" showAll="0"/>
    <pivotField axis="axisRow" compact="0" outline="0" showAll="0">
      <items count="8">
        <item x="2"/>
        <item m="1" x="5"/>
        <item x="0"/>
        <item m="1" x="4"/>
        <item x="1"/>
        <item m="1" x="6"/>
        <item x="3"/>
        <item t="default"/>
      </items>
    </pivotField>
    <pivotField axis="axisRow" compact="0" outline="0" showAll="0">
      <items count="53">
        <item m="1" x="28"/>
        <item m="1" x="31"/>
        <item m="1" x="48"/>
        <item m="1" x="43"/>
        <item m="1" x="39"/>
        <item x="18"/>
        <item m="1" x="37"/>
        <item m="1" x="24"/>
        <item x="9"/>
        <item x="13"/>
        <item x="19"/>
        <item m="1" x="46"/>
        <item m="1" x="26"/>
        <item m="1" x="30"/>
        <item m="1" x="40"/>
        <item x="11"/>
        <item m="1" x="35"/>
        <item m="1" x="44"/>
        <item m="1" x="38"/>
        <item m="1" x="47"/>
        <item m="1" x="29"/>
        <item x="12"/>
        <item x="15"/>
        <item m="1" x="36"/>
        <item m="1" x="41"/>
        <item m="1" x="27"/>
        <item x="8"/>
        <item m="1" x="42"/>
        <item m="1" x="33"/>
        <item m="1" x="50"/>
        <item m="1" x="45"/>
        <item m="1" x="51"/>
        <item x="10"/>
        <item x="17"/>
        <item m="1" x="49"/>
        <item x="14"/>
        <item m="1" x="32"/>
        <item m="1" x="23"/>
        <item m="1" x="25"/>
        <item m="1" x="22"/>
        <item m="1" x="34"/>
        <item x="0"/>
        <item x="1"/>
        <item x="2"/>
        <item x="3"/>
        <item x="4"/>
        <item x="5"/>
        <item x="6"/>
        <item x="7"/>
        <item x="20"/>
        <item x="16"/>
        <item x="21"/>
        <item t="default"/>
      </items>
    </pivotField>
    <pivotField compact="0" outline="0" showAll="0" defaultSubtotal="0">
      <items count="11">
        <item m="1" x="4"/>
        <item m="1" x="9"/>
        <item m="1" x="8"/>
        <item m="1" x="6"/>
        <item m="1" x="3"/>
        <item m="1" x="2"/>
        <item x="0"/>
        <item m="1" x="7"/>
        <item m="1" x="10"/>
        <item m="1" x="5"/>
        <item m="1" x="1"/>
      </items>
    </pivotField>
    <pivotField compact="0" outline="0" showAll="0"/>
    <pivotField compact="0" outline="0" showAll="0"/>
    <pivotField dataField="1" compact="0" numFmtId="1"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1" outline="0" showAll="0"/>
    <pivotField compact="0" numFmtId="1"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27">
    <i>
      <x/>
      <x v="22"/>
    </i>
    <i r="1">
      <x v="33"/>
    </i>
    <i r="1">
      <x v="35"/>
    </i>
    <i r="1">
      <x v="50"/>
    </i>
    <i t="default">
      <x/>
    </i>
    <i>
      <x v="2"/>
      <x v="5"/>
    </i>
    <i r="1">
      <x v="10"/>
    </i>
    <i r="1">
      <x v="41"/>
    </i>
    <i r="1">
      <x v="42"/>
    </i>
    <i r="1">
      <x v="43"/>
    </i>
    <i r="1">
      <x v="44"/>
    </i>
    <i r="1">
      <x v="45"/>
    </i>
    <i r="1">
      <x v="46"/>
    </i>
    <i r="1">
      <x v="47"/>
    </i>
    <i r="1">
      <x v="48"/>
    </i>
    <i r="1">
      <x v="49"/>
    </i>
    <i t="default">
      <x v="2"/>
    </i>
    <i>
      <x v="4"/>
      <x v="8"/>
    </i>
    <i r="1">
      <x v="9"/>
    </i>
    <i r="1">
      <x v="15"/>
    </i>
    <i r="1">
      <x v="21"/>
    </i>
    <i r="1">
      <x v="26"/>
    </i>
    <i r="1">
      <x v="32"/>
    </i>
    <i t="default">
      <x v="4"/>
    </i>
    <i>
      <x v="6"/>
      <x v="51"/>
    </i>
    <i t="default">
      <x v="6"/>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64" baseField="0" baseItem="0"/>
    <dataField name="Number of people with equitable and continuous access to safe sanitation facilities" fld="57" baseField="0" baseItem="0"/>
    <dataField name="Number of people with equitable and continuous access to sufficient quantity of domestic water" fld="50" baseField="0" baseItem="0"/>
  </dataFields>
  <formats count="25">
    <format dxfId="66">
      <pivotArea field="4" type="button" dataOnly="0" labelOnly="1" outline="0" axis="axisRow" fieldPosition="0"/>
    </format>
    <format dxfId="65">
      <pivotArea field="5" type="button" dataOnly="0" labelOnly="1" outline="0" axis="axisRow" fieldPosition="1"/>
    </format>
    <format dxfId="64">
      <pivotArea dataOnly="0" labelOnly="1" outline="0" fieldPosition="0">
        <references count="1">
          <reference field="4294967294" count="1">
            <x v="0"/>
          </reference>
        </references>
      </pivotArea>
    </format>
    <format dxfId="63">
      <pivotArea field="4" type="button" dataOnly="0" labelOnly="1" outline="0" axis="axisRow" fieldPosition="0"/>
    </format>
    <format dxfId="62">
      <pivotArea field="5" type="button" dataOnly="0" labelOnly="1" outline="0" axis="axisRow" fieldPosition="1"/>
    </format>
    <format dxfId="61">
      <pivotArea dataOnly="0" labelOnly="1" outline="0" fieldPosition="0">
        <references count="1">
          <reference field="4294967294" count="1">
            <x v="0"/>
          </reference>
        </references>
      </pivotArea>
    </format>
    <format dxfId="60">
      <pivotArea field="4" type="button" dataOnly="0" labelOnly="1" outline="0" axis="axisRow" fieldPosition="0"/>
    </format>
    <format dxfId="59">
      <pivotArea field="5" type="button" dataOnly="0" labelOnly="1" outline="0" axis="axisRow" fieldPosition="1"/>
    </format>
    <format dxfId="58">
      <pivotArea dataOnly="0" labelOnly="1" outline="0" fieldPosition="0">
        <references count="1">
          <reference field="4294967294" count="1">
            <x v="0"/>
          </reference>
        </references>
      </pivotArea>
    </format>
    <format dxfId="57">
      <pivotArea dataOnly="0" labelOnly="1" outline="0" fieldPosition="0">
        <references count="1">
          <reference field="4294967294" count="1">
            <x v="0"/>
          </reference>
        </references>
      </pivotArea>
    </format>
    <format dxfId="56">
      <pivotArea dataOnly="0" labelOnly="1" outline="0" fieldPosition="0">
        <references count="1">
          <reference field="4294967294" count="1">
            <x v="0"/>
          </reference>
        </references>
      </pivotArea>
    </format>
    <format dxfId="55">
      <pivotArea type="all" dataOnly="0" outline="0" fieldPosition="0"/>
    </format>
    <format dxfId="54">
      <pivotArea outline="0" collapsedLevelsAreSubtotals="1" fieldPosition="0"/>
    </format>
    <format dxfId="53">
      <pivotArea field="4" type="button" dataOnly="0" labelOnly="1" outline="0" axis="axisRow" fieldPosition="0"/>
    </format>
    <format dxfId="52">
      <pivotArea field="5" type="button" dataOnly="0" labelOnly="1" outline="0" axis="axisRow" fieldPosition="1"/>
    </format>
    <format dxfId="51">
      <pivotArea dataOnly="0" labelOnly="1" outline="0" fieldPosition="0">
        <references count="1">
          <reference field="4" count="0"/>
        </references>
      </pivotArea>
    </format>
    <format dxfId="50">
      <pivotArea dataOnly="0" labelOnly="1" outline="0" fieldPosition="0">
        <references count="1">
          <reference field="4" count="0" defaultSubtotal="1"/>
        </references>
      </pivotArea>
    </format>
    <format dxfId="49">
      <pivotArea dataOnly="0" labelOnly="1" grandRow="1" outline="0" fieldPosition="0"/>
    </format>
    <format dxfId="48">
      <pivotArea dataOnly="0" labelOnly="1" outline="0" fieldPosition="0">
        <references count="2">
          <reference field="4" count="1" selected="0">
            <x v="0"/>
          </reference>
          <reference field="5" count="13">
            <x v="1"/>
            <x v="3"/>
            <x v="4"/>
            <x v="12"/>
            <x v="16"/>
            <x v="17"/>
            <x v="18"/>
            <x v="22"/>
            <x v="28"/>
            <x v="31"/>
            <x v="33"/>
            <x v="34"/>
            <x v="35"/>
          </reference>
        </references>
      </pivotArea>
    </format>
    <format dxfId="47">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46">
      <pivotArea dataOnly="0" labelOnly="1" outline="0" fieldPosition="0">
        <references count="2">
          <reference field="4" count="1" selected="0">
            <x v="1"/>
          </reference>
          <reference field="5" count="12">
            <x v="0"/>
            <x v="2"/>
            <x v="8"/>
            <x v="9"/>
            <x v="14"/>
            <x v="15"/>
            <x v="19"/>
            <x v="21"/>
            <x v="26"/>
            <x v="27"/>
            <x v="30"/>
            <x v="32"/>
          </reference>
        </references>
      </pivotArea>
    </format>
    <format dxfId="45">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44">
      <pivotArea dataOnly="0" labelOnly="1" outline="0" fieldPosition="0">
        <references count="2">
          <reference field="4" count="1" selected="0">
            <x v="2"/>
          </reference>
          <reference field="5" count="7">
            <x v="5"/>
            <x v="6"/>
            <x v="7"/>
            <x v="13"/>
            <x v="20"/>
            <x v="23"/>
            <x v="24"/>
          </reference>
        </references>
      </pivotArea>
    </format>
    <format dxfId="43">
      <pivotArea dataOnly="0" labelOnly="1" outline="0" fieldPosition="0">
        <references count="2">
          <reference field="4" count="1" selected="0">
            <x v="2"/>
          </reference>
          <reference field="5" count="7" defaultSubtotal="1">
            <x v="5"/>
            <x v="6"/>
            <x v="7"/>
            <x v="13"/>
            <x v="20"/>
            <x v="23"/>
            <x v="24"/>
          </reference>
        </references>
      </pivotArea>
    </format>
    <format dxfId="42">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8">
  <location ref="A38:E64" firstHeaderRow="0" firstDataRow="1" firstDataCol="1" rowPageCount="3" colPageCount="1"/>
  <pivotFields count="88">
    <pivotField axis="axisPage" compact="0" outline="0" showAll="0">
      <items count="17">
        <item m="1" x="13"/>
        <item m="1" x="14"/>
        <item m="1" x="4"/>
        <item m="1" x="15"/>
        <item m="1" x="7"/>
        <item m="1" x="3"/>
        <item m="1" x="2"/>
        <item m="1" x="9"/>
        <item m="1" x="11"/>
        <item m="1" x="12"/>
        <item m="1" x="5"/>
        <item m="1" x="6"/>
        <item m="1" x="8"/>
        <item m="1" x="10"/>
        <item x="0"/>
        <item x="1"/>
        <item t="default"/>
      </items>
    </pivotField>
    <pivotField compact="0" outline="0" showAll="0" defaultSubtotal="0"/>
    <pivotField compact="0" outline="0" showAll="0" defaultSubtotal="0">
      <items count="51">
        <item x="3"/>
        <item h="1" m="1" x="23"/>
        <item h="1" m="1" x="46"/>
        <item h="1" m="1" x="47"/>
        <item h="1" x="2"/>
        <item h="1" x="9"/>
        <item h="1" m="1" x="33"/>
        <item h="1" m="1" x="44"/>
        <item h="1" x="12"/>
        <item h="1" m="1" x="14"/>
        <item h="1" m="1" x="27"/>
        <item h="1" m="1" x="16"/>
        <item h="1" x="8"/>
        <item h="1" m="1" x="48"/>
        <item h="1" x="13"/>
        <item h="1" m="1" x="41"/>
        <item h="1" m="1" x="19"/>
        <item h="1" m="1" x="28"/>
        <item h="1" m="1" x="17"/>
        <item h="1" m="1" x="34"/>
        <item h="1" m="1" x="42"/>
        <item h="1" m="1" x="39"/>
        <item h="1" m="1" x="31"/>
        <item h="1" m="1" x="50"/>
        <item h="1" m="1" x="22"/>
        <item h="1" m="1" x="43"/>
        <item h="1" m="1" x="20"/>
        <item h="1" m="1" x="40"/>
        <item h="1" m="1" x="30"/>
        <item h="1" m="1" x="29"/>
        <item h="1" m="1" x="26"/>
        <item h="1" x="4"/>
        <item h="1" m="1" x="24"/>
        <item h="1" x="6"/>
        <item h="1" m="1" x="15"/>
        <item h="1" m="1" x="21"/>
        <item h="1" x="5"/>
        <item h="1" x="1"/>
        <item h="1" m="1" x="49"/>
        <item h="1" m="1" x="37"/>
        <item h="1" m="1" x="18"/>
        <item h="1" x="7"/>
        <item h="1" m="1" x="32"/>
        <item h="1" m="1" x="25"/>
        <item h="1" m="1" x="36"/>
        <item h="1" m="1" x="35"/>
        <item h="1" x="11"/>
        <item h="1" m="1" x="38"/>
        <item h="1" m="1" x="45"/>
        <item h="1" x="10"/>
        <item h="1" x="0"/>
      </items>
    </pivotField>
    <pivotField compact="0" outline="0" showAll="0"/>
    <pivotField axis="axisPage" compact="0" outline="0" multipleItemSelectionAllowed="1" showAll="0">
      <items count="8">
        <item h="1" x="2"/>
        <item h="1" m="1" x="5"/>
        <item h="1" x="0"/>
        <item h="1" m="1" x="4"/>
        <item x="1"/>
        <item h="1" m="1" x="6"/>
        <item h="1" x="3"/>
        <item t="default"/>
      </items>
    </pivotField>
    <pivotField axis="axisPage" compact="0" outline="0" showAll="0">
      <items count="53">
        <item m="1" x="28"/>
        <item m="1" x="31"/>
        <item m="1" x="48"/>
        <item m="1" x="43"/>
        <item m="1" x="39"/>
        <item x="18"/>
        <item m="1" x="37"/>
        <item m="1" x="24"/>
        <item x="9"/>
        <item x="13"/>
        <item x="19"/>
        <item m="1" x="46"/>
        <item m="1" x="26"/>
        <item m="1" x="30"/>
        <item m="1" x="40"/>
        <item x="11"/>
        <item m="1" x="35"/>
        <item m="1" x="44"/>
        <item m="1" x="38"/>
        <item m="1" x="47"/>
        <item m="1" x="29"/>
        <item x="12"/>
        <item x="15"/>
        <item m="1" x="36"/>
        <item m="1" x="41"/>
        <item m="1" x="27"/>
        <item x="8"/>
        <item m="1" x="42"/>
        <item m="1" x="33"/>
        <item m="1" x="50"/>
        <item m="1" x="45"/>
        <item m="1" x="51"/>
        <item x="10"/>
        <item x="17"/>
        <item m="1" x="49"/>
        <item x="14"/>
        <item m="1" x="32"/>
        <item m="1" x="23"/>
        <item m="1" x="25"/>
        <item m="1" x="22"/>
        <item m="1" x="34"/>
        <item x="0"/>
        <item x="1"/>
        <item x="2"/>
        <item x="3"/>
        <item x="4"/>
        <item x="5"/>
        <item x="6"/>
        <item x="7"/>
        <item x="20"/>
        <item x="16"/>
        <item x="21"/>
        <item t="default"/>
      </items>
    </pivotField>
    <pivotField compact="0" outline="0" showAll="0" defaultSubtotal="0">
      <items count="11">
        <item m="1" x="4"/>
        <item m="1" x="9"/>
        <item m="1" x="8"/>
        <item m="1" x="6"/>
        <item m="1" x="3"/>
        <item m="1" x="2"/>
        <item x="0"/>
        <item m="1" x="7"/>
        <item m="1" x="10"/>
        <item m="1" x="5"/>
        <item m="1" x="1"/>
      </items>
    </pivotField>
    <pivotField axis="axisRow" compact="0" outline="0" showAll="0">
      <items count="513">
        <item m="1" x="293"/>
        <item m="1" x="441"/>
        <item m="1" x="286"/>
        <item m="1" x="378"/>
        <item m="1" x="395"/>
        <item x="137"/>
        <item m="1" x="474"/>
        <item x="99"/>
        <item m="1" x="335"/>
        <item x="96"/>
        <item m="1" x="486"/>
        <item x="116"/>
        <item m="1" x="307"/>
        <item x="110"/>
        <item m="1" x="284"/>
        <item m="1" x="497"/>
        <item x="144"/>
        <item m="1" x="310"/>
        <item x="76"/>
        <item m="1" x="405"/>
        <item m="1" x="488"/>
        <item x="108"/>
        <item x="86"/>
        <item m="1" x="402"/>
        <item x="118"/>
        <item m="1" x="351"/>
        <item m="1" x="419"/>
        <item m="1" x="484"/>
        <item x="67"/>
        <item m="1" x="288"/>
        <item x="87"/>
        <item x="88"/>
        <item x="148"/>
        <item x="139"/>
        <item x="140"/>
        <item x="114"/>
        <item m="1" x="404"/>
        <item x="66"/>
        <item m="1" x="425"/>
        <item m="1" x="448"/>
        <item m="1" x="491"/>
        <item m="1" x="453"/>
        <item m="1" x="415"/>
        <item x="122"/>
        <item m="1" x="462"/>
        <item x="105"/>
        <item x="141"/>
        <item m="1" x="276"/>
        <item m="1" x="280"/>
        <item m="1" x="477"/>
        <item m="1" x="451"/>
        <item m="1" x="338"/>
        <item m="1" x="475"/>
        <item m="1" x="437"/>
        <item m="1" x="427"/>
        <item m="1" x="500"/>
        <item m="1" x="481"/>
        <item m="1" x="379"/>
        <item m="1" x="343"/>
        <item x="106"/>
        <item x="68"/>
        <item x="69"/>
        <item m="1" x="361"/>
        <item x="126"/>
        <item m="1" x="374"/>
        <item m="1" x="406"/>
        <item m="1" x="473"/>
        <item m="1" x="313"/>
        <item x="82"/>
        <item m="1" x="432"/>
        <item m="1" x="359"/>
        <item m="1" x="446"/>
        <item x="91"/>
        <item m="1" x="300"/>
        <item m="1" x="334"/>
        <item x="94"/>
        <item x="75"/>
        <item x="73"/>
        <item m="1" x="444"/>
        <item m="1" x="312"/>
        <item m="1" x="289"/>
        <item m="1" x="278"/>
        <item m="1" x="304"/>
        <item x="72"/>
        <item x="71"/>
        <item m="1" x="321"/>
        <item x="143"/>
        <item m="1" x="489"/>
        <item m="1" x="382"/>
        <item m="1" x="511"/>
        <item x="104"/>
        <item x="65"/>
        <item x="77"/>
        <item m="1" x="314"/>
        <item m="1" x="480"/>
        <item m="1" x="368"/>
        <item m="1" x="498"/>
        <item m="1" x="424"/>
        <item x="159"/>
        <item x="117"/>
        <item x="138"/>
        <item m="1" x="387"/>
        <item m="1" x="376"/>
        <item m="1" x="452"/>
        <item x="240"/>
        <item x="98"/>
        <item x="97"/>
        <item m="1" x="268"/>
        <item m="1" x="352"/>
        <item m="1" x="394"/>
        <item m="1" x="461"/>
        <item m="1" x="365"/>
        <item m="1" x="399"/>
        <item m="1" x="482"/>
        <item m="1" x="454"/>
        <item m="1" x="390"/>
        <item m="1" x="388"/>
        <item m="1" x="375"/>
        <item m="1" x="377"/>
        <item x="85"/>
        <item x="81"/>
        <item m="1" x="401"/>
        <item m="1" x="322"/>
        <item m="1" x="445"/>
        <item x="125"/>
        <item m="1" x="297"/>
        <item m="1" x="463"/>
        <item m="1" x="420"/>
        <item m="1" x="340"/>
        <item m="1" x="392"/>
        <item m="1" x="287"/>
        <item m="1" x="306"/>
        <item x="78"/>
        <item m="1" x="465"/>
        <item m="1" x="492"/>
        <item m="1" x="472"/>
        <item x="62"/>
        <item x="83"/>
        <item m="1" x="319"/>
        <item m="1" x="429"/>
        <item x="89"/>
        <item x="109"/>
        <item m="1" x="318"/>
        <item m="1" x="398"/>
        <item x="90"/>
        <item m="1" x="364"/>
        <item m="1" x="356"/>
        <item x="103"/>
        <item x="127"/>
        <item x="128"/>
        <item x="95"/>
        <item m="1" x="460"/>
        <item m="1" x="414"/>
        <item x="129"/>
        <item x="121"/>
        <item x="130"/>
        <item x="131"/>
        <item m="1" x="469"/>
        <item m="1" x="502"/>
        <item m="1" x="299"/>
        <item m="1" x="317"/>
        <item m="1" x="503"/>
        <item m="1" x="411"/>
        <item m="1" x="499"/>
        <item m="1" x="412"/>
        <item x="93"/>
        <item x="120"/>
        <item x="124"/>
        <item x="55"/>
        <item x="112"/>
        <item x="56"/>
        <item x="57"/>
        <item x="113"/>
        <item m="1" x="509"/>
        <item m="1" x="421"/>
        <item x="102"/>
        <item m="1" x="464"/>
        <item m="1" x="384"/>
        <item m="1" x="282"/>
        <item m="1" x="393"/>
        <item x="123"/>
        <item m="1" x="311"/>
        <item x="157"/>
        <item x="111"/>
        <item m="1" x="360"/>
        <item m="1" x="267"/>
        <item m="1" x="422"/>
        <item m="1" x="483"/>
        <item m="1" x="298"/>
        <item m="1" x="363"/>
        <item m="1" x="328"/>
        <item m="1" x="348"/>
        <item x="156"/>
        <item x="132"/>
        <item m="1" x="373"/>
        <item x="101"/>
        <item x="119"/>
        <item x="246"/>
        <item m="1" x="342"/>
        <item m="1" x="389"/>
        <item m="1" x="350"/>
        <item x="133"/>
        <item x="134"/>
        <item x="74"/>
        <item m="1" x="337"/>
        <item m="1" x="325"/>
        <item x="92"/>
        <item x="136"/>
        <item m="1" x="380"/>
        <item x="135"/>
        <item x="100"/>
        <item x="107"/>
        <item x="79"/>
        <item m="1" x="403"/>
        <item m="1" x="369"/>
        <item x="70"/>
        <item m="1" x="442"/>
        <item m="1" x="459"/>
        <item m="1" x="434"/>
        <item m="1" x="353"/>
        <item m="1" x="410"/>
        <item m="1" x="439"/>
        <item x="115"/>
        <item m="1" x="331"/>
        <item x="80"/>
        <item m="1" x="271"/>
        <item m="1" x="396"/>
        <item m="1" x="386"/>
        <item x="155"/>
        <item m="1" x="285"/>
        <item m="1" x="397"/>
        <item m="1" x="277"/>
        <item m="1" x="470"/>
        <item x="84"/>
        <item m="1" x="496"/>
        <item m="1" x="372"/>
        <item m="1" x="283"/>
        <item m="1" x="435"/>
        <item m="1" x="305"/>
        <item m="1" x="416"/>
        <item m="1" x="333"/>
        <item m="1" x="505"/>
        <item m="1" x="508"/>
        <item m="1" x="290"/>
        <item m="1" x="428"/>
        <item m="1" x="447"/>
        <item m="1" x="501"/>
        <item m="1" x="504"/>
        <item m="1" x="341"/>
        <item m="1" x="303"/>
        <item m="1" x="320"/>
        <item m="1" x="292"/>
        <item m="1" x="495"/>
        <item m="1" x="275"/>
        <item m="1" x="316"/>
        <item m="1" x="357"/>
        <item m="1" x="471"/>
        <item m="1" x="478"/>
        <item m="1" x="323"/>
        <item m="1" x="391"/>
        <item m="1" x="417"/>
        <item m="1" x="385"/>
        <item m="1" x="344"/>
        <item m="1" x="431"/>
        <item m="1" x="400"/>
        <item m="1" x="309"/>
        <item m="1" x="456"/>
        <item m="1" x="487"/>
        <item m="1" x="362"/>
        <item m="1" x="346"/>
        <item x="0"/>
        <item x="1"/>
        <item x="2"/>
        <item m="1" x="269"/>
        <item x="3"/>
        <item x="4"/>
        <item x="5"/>
        <item x="6"/>
        <item m="1" x="272"/>
        <item m="1" x="408"/>
        <item x="7"/>
        <item x="8"/>
        <item x="9"/>
        <item x="10"/>
        <item x="11"/>
        <item m="1" x="468"/>
        <item x="12"/>
        <item x="13"/>
        <item x="14"/>
        <item m="1" x="332"/>
        <item m="1" x="433"/>
        <item m="1" x="301"/>
        <item x="15"/>
        <item x="16"/>
        <item x="17"/>
        <item x="18"/>
        <item x="19"/>
        <item x="20"/>
        <item x="21"/>
        <item x="22"/>
        <item x="23"/>
        <item x="24"/>
        <item x="25"/>
        <item x="26"/>
        <item x="27"/>
        <item x="28"/>
        <item m="1" x="345"/>
        <item m="1" x="274"/>
        <item m="1" x="413"/>
        <item m="1" x="418"/>
        <item m="1" x="355"/>
        <item m="1" x="339"/>
        <item m="1" x="510"/>
        <item m="1" x="315"/>
        <item m="1" x="381"/>
        <item m="1" x="479"/>
        <item x="29"/>
        <item x="30"/>
        <item x="31"/>
        <item x="32"/>
        <item x="33"/>
        <item x="34"/>
        <item x="35"/>
        <item x="36"/>
        <item x="37"/>
        <item x="38"/>
        <item x="39"/>
        <item x="40"/>
        <item x="41"/>
        <item x="42"/>
        <item x="43"/>
        <item x="44"/>
        <item x="45"/>
        <item x="46"/>
        <item x="47"/>
        <item x="48"/>
        <item x="49"/>
        <item x="50"/>
        <item x="51"/>
        <item x="52"/>
        <item m="1" x="349"/>
        <item m="1" x="407"/>
        <item m="1" x="449"/>
        <item m="1" x="438"/>
        <item x="53"/>
        <item x="54"/>
        <item m="1" x="281"/>
        <item m="1" x="291"/>
        <item m="1" x="458"/>
        <item m="1" x="370"/>
        <item m="1" x="302"/>
        <item m="1" x="326"/>
        <item m="1" x="457"/>
        <item m="1" x="450"/>
        <item m="1" x="476"/>
        <item m="1" x="443"/>
        <item m="1" x="358"/>
        <item m="1" x="308"/>
        <item m="1" x="490"/>
        <item m="1" x="329"/>
        <item m="1" x="506"/>
        <item m="1" x="485"/>
        <item m="1" x="295"/>
        <item m="1" x="430"/>
        <item m="1" x="273"/>
        <item m="1" x="426"/>
        <item m="1" x="493"/>
        <item m="1" x="366"/>
        <item m="1" x="367"/>
        <item m="1" x="383"/>
        <item m="1" x="330"/>
        <item m="1" x="336"/>
        <item m="1" x="327"/>
        <item x="234"/>
        <item x="232"/>
        <item x="233"/>
        <item x="235"/>
        <item x="160"/>
        <item x="161"/>
        <item x="162"/>
        <item x="163"/>
        <item x="164"/>
        <item m="1" x="423"/>
        <item x="165"/>
        <item x="166"/>
        <item x="167"/>
        <item x="168"/>
        <item m="1" x="467"/>
        <item m="1" x="436"/>
        <item m="1" x="296"/>
        <item m="1" x="371"/>
        <item m="1" x="347"/>
        <item m="1" x="409"/>
        <item m="1" x="494"/>
        <item m="1" x="324"/>
        <item m="1" x="279"/>
        <item m="1" x="466"/>
        <item m="1" x="354"/>
        <item x="58"/>
        <item x="59"/>
        <item x="60"/>
        <item x="61"/>
        <item x="63"/>
        <item x="64"/>
        <item x="142"/>
        <item x="145"/>
        <item x="146"/>
        <item x="147"/>
        <item x="149"/>
        <item x="150"/>
        <item x="151"/>
        <item x="152"/>
        <item x="153"/>
        <item x="154"/>
        <item x="15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m="1" x="294"/>
        <item m="1" x="455"/>
        <item m="1" x="270"/>
        <item x="250"/>
        <item x="251"/>
        <item m="1" x="507"/>
        <item x="253"/>
        <item x="254"/>
        <item x="255"/>
        <item x="256"/>
        <item x="257"/>
        <item x="258"/>
        <item x="259"/>
        <item x="260"/>
        <item x="261"/>
        <item x="262"/>
        <item x="263"/>
        <item x="264"/>
        <item x="265"/>
        <item x="266"/>
        <item m="1" x="440"/>
        <item x="236"/>
        <item x="237"/>
        <item x="238"/>
        <item x="239"/>
        <item x="241"/>
        <item x="242"/>
        <item x="243"/>
        <item x="244"/>
        <item x="245"/>
        <item x="247"/>
        <item x="248"/>
        <item x="249"/>
        <item x="252"/>
        <item t="default"/>
      </items>
    </pivotField>
    <pivotField compact="0" outline="0" showAll="0"/>
    <pivotField dataField="1" compact="0" numFmtId="1"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1" outline="0" showAll="0"/>
    <pivotField compact="0" numFmtId="1"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26">
    <i>
      <x v="18"/>
    </i>
    <i>
      <x v="22"/>
    </i>
    <i>
      <x v="28"/>
    </i>
    <i>
      <x v="30"/>
    </i>
    <i>
      <x v="31"/>
    </i>
    <i>
      <x v="60"/>
    </i>
    <i>
      <x v="61"/>
    </i>
    <i>
      <x v="68"/>
    </i>
    <i>
      <x v="72"/>
    </i>
    <i>
      <x v="76"/>
    </i>
    <i>
      <x v="77"/>
    </i>
    <i>
      <x v="83"/>
    </i>
    <i>
      <x v="84"/>
    </i>
    <i>
      <x v="92"/>
    </i>
    <i>
      <x v="120"/>
    </i>
    <i>
      <x v="132"/>
    </i>
    <i>
      <x v="137"/>
    </i>
    <i>
      <x v="140"/>
    </i>
    <i>
      <x v="203"/>
    </i>
    <i>
      <x v="206"/>
    </i>
    <i>
      <x v="209"/>
    </i>
    <i>
      <x v="212"/>
    </i>
    <i>
      <x v="215"/>
    </i>
    <i>
      <x v="224"/>
    </i>
    <i>
      <x v="233"/>
    </i>
    <i t="grand">
      <x/>
    </i>
  </rowItems>
  <colFields count="1">
    <field x="-2"/>
  </colFields>
  <colItems count="4">
    <i>
      <x/>
    </i>
    <i i="1">
      <x v="1"/>
    </i>
    <i i="2">
      <x v="2"/>
    </i>
    <i i="3">
      <x v="3"/>
    </i>
  </colItems>
  <pageFields count="3">
    <pageField fld="0" item="15" hier="-1"/>
    <pageField fld="5" item="32" hier="-1"/>
    <pageField fld="4" hier="-1"/>
  </pageFields>
  <dataFields count="4">
    <dataField name="Total Population" fld="9" baseField="0" baseItem="0"/>
    <dataField name="# of People adopt basic personal and community hygiene practices" fld="64" baseField="0" baseItem="0"/>
    <dataField name="# of people access to functioning  sanitation facilities" fld="57" baseField="0" baseItem="0"/>
    <dataField name="# of people Equitable and continuous access to sufficient quantity of domestic water" fld="50"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10">
  <location ref="L4:P7" firstHeaderRow="0" firstDataRow="1" firstDataCol="1" rowPageCount="1" colPageCount="1"/>
  <pivotFields count="88">
    <pivotField axis="axisRow" compact="0" outline="0" showAll="0">
      <items count="17">
        <item m="1" x="13"/>
        <item m="1" x="14"/>
        <item m="1" x="4"/>
        <item m="1" x="15"/>
        <item m="1" x="7"/>
        <item m="1" x="9"/>
        <item m="1" x="11"/>
        <item m="1" x="12"/>
        <item m="1" x="3"/>
        <item m="1" x="2"/>
        <item m="1" x="5"/>
        <item m="1" x="6"/>
        <item m="1" x="8"/>
        <item m="1" x="10"/>
        <item x="0"/>
        <item x="1"/>
        <item t="default"/>
      </items>
    </pivotField>
    <pivotField compact="0" outline="0" showAll="0" defaultSubtotal="0"/>
    <pivotField compact="0" outline="0" showAll="0" defaultSubtotal="0">
      <items count="51">
        <item x="3"/>
        <item m="1" x="23"/>
        <item m="1" x="46"/>
        <item m="1" x="47"/>
        <item x="2"/>
        <item x="9"/>
        <item m="1" x="33"/>
        <item m="1" x="44"/>
        <item x="12"/>
        <item m="1" x="14"/>
        <item m="1" x="27"/>
        <item m="1" x="16"/>
        <item x="8"/>
        <item m="1" x="48"/>
        <item x="13"/>
        <item m="1" x="41"/>
        <item m="1" x="19"/>
        <item m="1" x="28"/>
        <item m="1" x="17"/>
        <item m="1" x="34"/>
        <item m="1" x="42"/>
        <item m="1" x="39"/>
        <item m="1" x="31"/>
        <item m="1" x="50"/>
        <item m="1" x="22"/>
        <item m="1" x="43"/>
        <item m="1" x="20"/>
        <item m="1" x="40"/>
        <item m="1" x="30"/>
        <item m="1" x="29"/>
        <item m="1" x="26"/>
        <item x="4"/>
        <item m="1" x="24"/>
        <item x="6"/>
        <item m="1" x="15"/>
        <item m="1" x="21"/>
        <item x="5"/>
        <item x="1"/>
        <item m="1" x="49"/>
        <item m="1" x="37"/>
        <item m="1" x="18"/>
        <item x="7"/>
        <item m="1" x="32"/>
        <item m="1" x="25"/>
        <item m="1" x="36"/>
        <item m="1" x="35"/>
        <item x="11"/>
        <item m="1" x="38"/>
        <item m="1" x="45"/>
        <item x="10"/>
        <item x="0"/>
      </items>
    </pivotField>
    <pivotField compact="0" outline="0" showAll="0"/>
    <pivotField compact="0" outline="0" showAll="0">
      <items count="8">
        <item h="1" x="1"/>
        <item h="1" x="2"/>
        <item h="1" x="3"/>
        <item h="1" m="1" x="6"/>
        <item h="1" m="1" x="5"/>
        <item x="0"/>
        <item h="1" m="1" x="4"/>
        <item t="default"/>
      </items>
    </pivotField>
    <pivotField compact="0" outline="0" showAll="0">
      <items count="53">
        <item x="0"/>
        <item m="1" x="28"/>
        <item m="1" x="31"/>
        <item m="1" x="48"/>
        <item m="1" x="34"/>
        <item m="1" x="43"/>
        <item x="21"/>
        <item m="1" x="39"/>
        <item x="18"/>
        <item m="1" x="37"/>
        <item x="16"/>
        <item x="4"/>
        <item x="7"/>
        <item m="1" x="24"/>
        <item x="9"/>
        <item x="13"/>
        <item x="19"/>
        <item x="20"/>
        <item m="1" x="46"/>
        <item m="1" x="26"/>
        <item m="1" x="30"/>
        <item m="1" x="40"/>
        <item x="11"/>
        <item m="1" x="35"/>
        <item m="1" x="44"/>
        <item m="1" x="23"/>
        <item m="1" x="38"/>
        <item m="1" x="47"/>
        <item m="1" x="29"/>
        <item x="12"/>
        <item x="15"/>
        <item x="2"/>
        <item m="1" x="32"/>
        <item m="1" x="36"/>
        <item m="1" x="41"/>
        <item m="1" x="25"/>
        <item x="3"/>
        <item m="1" x="27"/>
        <item x="8"/>
        <item m="1" x="42"/>
        <item m="1" x="33"/>
        <item m="1" x="50"/>
        <item m="1" x="45"/>
        <item m="1" x="51"/>
        <item x="10"/>
        <item x="6"/>
        <item x="17"/>
        <item m="1" x="49"/>
        <item x="5"/>
        <item x="14"/>
        <item x="1"/>
        <item m="1" x="22"/>
        <item t="default"/>
      </items>
    </pivotField>
    <pivotField compact="0" outline="0" showAll="0" defaultSubtotal="0">
      <items count="11">
        <item m="1" x="4"/>
        <item m="1" x="9"/>
        <item m="1" x="8"/>
        <item m="1" x="6"/>
        <item m="1" x="3"/>
        <item m="1" x="2"/>
        <item x="0"/>
        <item m="1" x="7"/>
        <item m="1" x="10"/>
        <item m="1" x="5"/>
        <item m="1" x="1"/>
      </items>
    </pivotField>
    <pivotField compact="0" outline="0" showAll="0"/>
    <pivotField compact="0" outline="0" showAll="0"/>
    <pivotField dataField="1" compact="0" numFmtId="1"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1" outline="0" showAll="0"/>
    <pivotField compact="0" numFmtId="1"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
        <item x="0"/>
        <item m="1" x="3"/>
        <item m="1" x="2"/>
        <item m="1" x="1"/>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3">
    <i>
      <x v="14"/>
    </i>
    <i>
      <x v="15"/>
    </i>
    <i t="grand">
      <x/>
    </i>
  </rowItems>
  <colFields count="1">
    <field x="-2"/>
  </colFields>
  <colItems count="4">
    <i>
      <x/>
    </i>
    <i i="1">
      <x v="1"/>
    </i>
    <i i="2">
      <x v="2"/>
    </i>
    <i i="3">
      <x v="3"/>
    </i>
  </colItems>
  <pageFields count="1">
    <pageField fld="78" hier="-1"/>
  </pageFields>
  <dataFields count="4">
    <dataField name="  Total PoP " fld="9" baseField="0" baseItem="0"/>
    <dataField name="# of People adopt basic personal and community hygiene practices" fld="64" baseField="0" baseItem="0"/>
    <dataField name="# of people access to functioning  sanitation facilities" fld="57" baseField="0" baseItem="0"/>
    <dataField name="# of people Equitable and continuous access to sufficient quantity of domestic water" fld="50" baseField="0" baseItem="0"/>
  </dataFields>
  <chartFormats count="4">
    <chartFormat chart="3" format="5" series="1">
      <pivotArea type="data" outline="0" fieldPosition="0">
        <references count="1">
          <reference field="4294967294" count="1" selected="0">
            <x v="1"/>
          </reference>
        </references>
      </pivotArea>
    </chartFormat>
    <chartFormat chart="3" format="6" series="1">
      <pivotArea type="data" outline="0" fieldPosition="0">
        <references count="1">
          <reference field="4294967294" count="1" selected="0">
            <x v="2"/>
          </reference>
        </references>
      </pivotArea>
    </chartFormat>
    <chartFormat chart="3" format="7" series="1">
      <pivotArea type="data" outline="0" fieldPosition="0">
        <references count="1">
          <reference field="4294967294" count="1" selected="0">
            <x v="3"/>
          </reference>
        </references>
      </pivotArea>
    </chartFormat>
    <chartFormat chart="3"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92" name="Geo_Gap"/>
  </pivotTables>
  <data>
    <tabular pivotCacheId="1">
      <items count="7">
        <i x="1" s="1"/>
        <i x="2" s="1"/>
        <i x="3" s="1"/>
        <i x="0" s="1"/>
        <i x="6" s="1" nd="1"/>
        <i x="5" s="1" nd="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 xr10:uid="{00000000-0013-0000-FFFF-FFFF02000000}" sourceName="State">
  <pivotTables>
    <pivotTable tabId="100" name="PivotTable1"/>
  </pivotTables>
  <data>
    <tabular pivotCacheId="1">
      <items count="7">
        <i x="1" s="1"/>
        <i x="2" s="1"/>
        <i x="3" s="1"/>
        <i x="0" s="1"/>
        <i x="6" s="1" nd="1"/>
        <i x="5" s="1" nd="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52">
        <i x="0" s="1"/>
        <i x="21" s="1"/>
        <i x="18" s="1"/>
        <i x="16" s="1"/>
        <i x="4" s="1"/>
        <i x="7" s="1"/>
        <i x="9" s="1"/>
        <i x="13" s="1"/>
        <i x="19" s="1"/>
        <i x="20" s="1"/>
        <i x="11" s="1"/>
        <i x="12" s="1"/>
        <i x="15" s="1"/>
        <i x="2" s="1"/>
        <i x="3" s="1"/>
        <i x="8" s="1"/>
        <i x="10" s="1"/>
        <i x="6" s="1"/>
        <i x="17" s="1"/>
        <i x="5" s="1"/>
        <i x="14" s="1"/>
        <i x="1" s="1"/>
        <i x="28" s="1" nd="1"/>
        <i x="31" s="1" nd="1"/>
        <i x="48" s="1" nd="1"/>
        <i x="34" s="1" nd="1"/>
        <i x="43" s="1" nd="1"/>
        <i x="39" s="1" nd="1"/>
        <i x="37" s="1" nd="1"/>
        <i x="24" s="1" nd="1"/>
        <i x="46" s="1" nd="1"/>
        <i x="26" s="1" nd="1"/>
        <i x="30" s="1" nd="1"/>
        <i x="40" s="1" nd="1"/>
        <i x="35" s="1" nd="1"/>
        <i x="44" s="1" nd="1"/>
        <i x="23" s="1" nd="1"/>
        <i x="38" s="1" nd="1"/>
        <i x="47" s="1" nd="1"/>
        <i x="29" s="1" nd="1"/>
        <i x="32" s="1" nd="1"/>
        <i x="36" s="1" nd="1"/>
        <i x="41" s="1" nd="1"/>
        <i x="25" s="1" nd="1"/>
        <i x="27" s="1" nd="1"/>
        <i x="42" s="1" nd="1"/>
        <i x="33" s="1" nd="1"/>
        <i x="50" s="1" nd="1"/>
        <i x="45" s="1" nd="1"/>
        <i x="51" s="1" nd="1"/>
        <i x="49" s="1" nd="1"/>
        <i x="2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1" xr10:uid="{00000000-0013-0000-FFFF-FFFF04000000}" sourceName="State">
  <pivotTables>
    <pivotTable tabId="102" name="PivotTable1"/>
  </pivotTables>
  <data>
    <tabular pivotCacheId="1">
      <items count="7">
        <i x="1" s="1"/>
        <i x="2" nd="1"/>
        <i x="3" nd="1"/>
        <i x="6" nd="1"/>
        <i x="5" nd="1"/>
        <i x="0" nd="1"/>
        <i x="4"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52">
        <i x="11"/>
        <i x="10" s="1"/>
        <i x="0" nd="1"/>
        <i x="28" nd="1"/>
        <i x="31" nd="1"/>
        <i x="48" nd="1"/>
        <i x="34" nd="1"/>
        <i x="43" nd="1"/>
        <i x="21" nd="1"/>
        <i x="39" nd="1"/>
        <i x="18" nd="1"/>
        <i x="37" nd="1"/>
        <i x="16" nd="1"/>
        <i x="4" nd="1"/>
        <i x="7" nd="1"/>
        <i x="24" nd="1"/>
        <i x="9" nd="1"/>
        <i x="13" nd="1"/>
        <i x="19" nd="1"/>
        <i x="20" nd="1"/>
        <i x="46" nd="1"/>
        <i x="26" nd="1"/>
        <i x="30" nd="1"/>
        <i x="40" nd="1"/>
        <i x="35" nd="1"/>
        <i x="44" nd="1"/>
        <i x="23" nd="1"/>
        <i x="38" nd="1"/>
        <i x="47" nd="1"/>
        <i x="29" nd="1"/>
        <i x="12" nd="1"/>
        <i x="15" nd="1"/>
        <i x="2" nd="1"/>
        <i x="32" nd="1"/>
        <i x="36" nd="1"/>
        <i x="41" nd="1"/>
        <i x="25" nd="1"/>
        <i x="3" nd="1"/>
        <i x="27" nd="1"/>
        <i x="8" nd="1"/>
        <i x="42" nd="1"/>
        <i x="33" nd="1"/>
        <i x="50" nd="1"/>
        <i x="45" nd="1"/>
        <i x="51" nd="1"/>
        <i x="6" nd="1"/>
        <i x="17" nd="1"/>
        <i x="49" nd="1"/>
        <i x="5" nd="1"/>
        <i x="14" nd="1"/>
        <i x="1" nd="1"/>
        <i x="22"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4">
        <i x="2" s="1"/>
        <i x="1" s="1"/>
        <i x="0" s="1"/>
        <i x="3"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16">
        <i x="0" s="1"/>
        <i x="1" s="1"/>
        <i x="13" s="1" nd="1"/>
        <i x="14" s="1" nd="1"/>
        <i x="4" s="1" nd="1"/>
        <i x="15" s="1" nd="1"/>
        <i x="7" s="1" nd="1"/>
        <i x="9" s="1" nd="1"/>
        <i x="11" s="1" nd="1"/>
        <i x="12" s="1" nd="1"/>
        <i x="3" s="1" nd="1"/>
        <i x="5" s="1" nd="1"/>
        <i x="6" s="1" nd="1"/>
        <i x="8" s="1" nd="1"/>
        <i x="10" s="1" nd="1"/>
        <i x="2"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2" xr10:uid="{00000000-0013-0000-FFFF-FFFF09000000}" sourceName="State">
  <pivotTables>
    <pivotTable tabId="114" name="PivotTable1"/>
  </pivotTables>
  <data>
    <tabular pivotCacheId="1">
      <items count="7">
        <i x="1"/>
        <i x="2"/>
        <i x="3"/>
        <i x="0" s="1"/>
        <i x="6" nd="1"/>
        <i x="5" nd="1"/>
        <i x="4"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52">
        <i x="0" s="1"/>
        <i x="18" s="1"/>
        <i x="4" s="1"/>
        <i x="7" s="1"/>
        <i x="19" s="1"/>
        <i x="20" s="1"/>
        <i x="2" s="1"/>
        <i x="3" s="1"/>
        <i x="6" s="1"/>
        <i x="5" s="1"/>
        <i x="1" s="1"/>
        <i x="28" s="1" nd="1"/>
        <i x="31" s="1" nd="1"/>
        <i x="48" s="1" nd="1"/>
        <i x="34" s="1" nd="1"/>
        <i x="43" s="1" nd="1"/>
        <i x="21" s="1" nd="1"/>
        <i x="39" s="1" nd="1"/>
        <i x="37" s="1" nd="1"/>
        <i x="16" s="1" nd="1"/>
        <i x="24" s="1" nd="1"/>
        <i x="9" s="1" nd="1"/>
        <i x="13" s="1" nd="1"/>
        <i x="46" s="1" nd="1"/>
        <i x="26" s="1" nd="1"/>
        <i x="30" s="1" nd="1"/>
        <i x="40" s="1" nd="1"/>
        <i x="11" s="1" nd="1"/>
        <i x="35" s="1" nd="1"/>
        <i x="44" s="1" nd="1"/>
        <i x="23" s="1" nd="1"/>
        <i x="38" s="1" nd="1"/>
        <i x="47" s="1" nd="1"/>
        <i x="29" s="1" nd="1"/>
        <i x="12" s="1" nd="1"/>
        <i x="15" s="1" nd="1"/>
        <i x="32" s="1" nd="1"/>
        <i x="36" s="1" nd="1"/>
        <i x="41" s="1" nd="1"/>
        <i x="25" s="1" nd="1"/>
        <i x="27" s="1" nd="1"/>
        <i x="8" s="1" nd="1"/>
        <i x="42" s="1" nd="1"/>
        <i x="33" s="1" nd="1"/>
        <i x="50" s="1" nd="1"/>
        <i x="45" s="1" nd="1"/>
        <i x="51" s="1" nd="1"/>
        <i x="10" s="1" nd="1"/>
        <i x="17" s="1" nd="1"/>
        <i x="49" s="1" nd="1"/>
        <i x="14" s="1" nd="1"/>
        <i x="22"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51">
        <i x="3" s="1"/>
        <i x="2" s="1"/>
        <i x="9" s="1"/>
        <i x="0" s="1"/>
        <i x="8" s="1"/>
        <i x="13" s="1"/>
        <i x="12" s="1"/>
        <i x="4" s="1"/>
        <i x="6" s="1"/>
        <i x="5" s="1"/>
        <i x="1" s="1"/>
        <i x="7" s="1"/>
        <i x="11" s="1"/>
        <i x="10" s="1"/>
        <i x="27" s="1" nd="1"/>
        <i x="46" s="1" nd="1"/>
        <i x="47" s="1" nd="1"/>
        <i x="36" s="1" nd="1"/>
        <i x="43" s="1" nd="1"/>
        <i x="22" s="1" nd="1"/>
        <i x="15" s="1" nd="1"/>
        <i x="31" s="1" nd="1"/>
        <i x="17" s="1" nd="1"/>
        <i x="41" s="1" nd="1"/>
        <i x="20" s="1" nd="1"/>
        <i x="18" s="1" nd="1"/>
        <i x="42" s="1" nd="1"/>
        <i x="38" s="1" nd="1"/>
        <i x="34" s="1" nd="1"/>
        <i x="26" s="1" nd="1"/>
        <i x="45" s="1" nd="1"/>
        <i x="24" s="1" nd="1"/>
        <i x="21" s="1" nd="1"/>
        <i x="48" s="1" nd="1"/>
        <i x="40" s="1" nd="1"/>
        <i x="33" s="1" nd="1"/>
        <i x="32" s="1" nd="1"/>
        <i x="30" s="1" nd="1"/>
        <i x="28" s="1" nd="1"/>
        <i x="49" s="1" nd="1"/>
        <i x="16" s="1" nd="1"/>
        <i x="25" s="1" nd="1"/>
        <i x="23" s="1" nd="1"/>
        <i x="50" s="1" nd="1"/>
        <i x="19" s="1" nd="1"/>
        <i x="35" s="1" nd="1"/>
        <i x="39" s="1" nd="1"/>
        <i x="29" s="1" nd="1"/>
        <i x="37" s="1" nd="1"/>
        <i x="44" s="1" nd="1"/>
        <i x="14"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 xr10:uid="{0C98124C-1C7A-4967-9FBA-37DD61BB8213}" sourceName="Location Type">
  <pivotTables>
    <pivotTable tabId="100" name="PivotTable1"/>
  </pivotTables>
  <data>
    <tabular pivotCacheId="1">
      <items count="11">
        <i x="0" s="1"/>
        <i x="4" s="1" nd="1"/>
        <i x="9" s="1" nd="1"/>
        <i x="8" s="1" nd="1"/>
        <i x="6" s="1" nd="1"/>
        <i x="3" s="1" nd="1"/>
        <i x="2" s="1" nd="1"/>
        <i x="7" s="1" nd="1"/>
        <i x="10" s="1" nd="1"/>
        <i x="5" s="1" nd="1"/>
        <i x="1"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1" xr10:uid="{06398EC7-043F-4027-B69B-A5BFE1D822A0}" sourceName="Location Type">
  <pivotTables>
    <pivotTable tabId="114" name="PivotTable1"/>
  </pivotTables>
  <data>
    <tabular pivotCacheId="1">
      <items count="11">
        <i x="0" s="1"/>
        <i x="4" s="1" nd="1"/>
        <i x="9" s="1" nd="1"/>
        <i x="8" s="1" nd="1"/>
        <i x="6" s="1" nd="1"/>
        <i x="3" s="1" nd="1"/>
        <i x="2" s="1" nd="1"/>
        <i x="7" s="1" nd="1"/>
        <i x="10" s="1" nd="1"/>
        <i x="5" s="1" nd="1"/>
        <i x="1" s="1" nd="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51">
        <i x="12" s="1"/>
        <i x="11" s="1"/>
        <i x="0" s="1"/>
        <i x="3" s="1" nd="1"/>
        <i x="23" s="1" nd="1"/>
        <i x="46" s="1" nd="1"/>
        <i x="47" s="1" nd="1"/>
        <i x="2" s="1" nd="1"/>
        <i x="9" s="1" nd="1"/>
        <i x="33" s="1" nd="1"/>
        <i x="44" s="1" nd="1"/>
        <i x="14" s="1" nd="1"/>
        <i x="27" s="1" nd="1"/>
        <i x="16" s="1" nd="1"/>
        <i x="8" s="1" nd="1"/>
        <i x="48" s="1" nd="1"/>
        <i x="13" s="1" nd="1"/>
        <i x="41" s="1" nd="1"/>
        <i x="19" s="1" nd="1"/>
        <i x="28" s="1" nd="1"/>
        <i x="17" s="1" nd="1"/>
        <i x="34" s="1" nd="1"/>
        <i x="42" s="1" nd="1"/>
        <i x="39" s="1" nd="1"/>
        <i x="31" s="1" nd="1"/>
        <i x="50" s="1" nd="1"/>
        <i x="22" s="1" nd="1"/>
        <i x="43" s="1" nd="1"/>
        <i x="20" s="1" nd="1"/>
        <i x="40" s="1" nd="1"/>
        <i x="30" s="1" nd="1"/>
        <i x="29" s="1" nd="1"/>
        <i x="26" s="1" nd="1"/>
        <i x="4" s="1" nd="1"/>
        <i x="24" s="1" nd="1"/>
        <i x="6" s="1" nd="1"/>
        <i x="15" s="1" nd="1"/>
        <i x="21" s="1" nd="1"/>
        <i x="5" s="1" nd="1"/>
        <i x="1" s="1" nd="1"/>
        <i x="49" s="1" nd="1"/>
        <i x="37" s="1" nd="1"/>
        <i x="18" s="1" nd="1"/>
        <i x="7" s="1" nd="1"/>
        <i x="32" s="1" nd="1"/>
        <i x="25" s="1" nd="1"/>
        <i x="36" s="1" nd="1"/>
        <i x="35" s="1" nd="1"/>
        <i x="38" s="1" nd="1"/>
        <i x="45" s="1" nd="1"/>
        <i x="10"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51">
        <i x="3" s="1"/>
        <i x="9"/>
        <i x="13"/>
        <i x="4"/>
        <i x="6"/>
        <i x="23" nd="1"/>
        <i x="46" nd="1"/>
        <i x="47" nd="1"/>
        <i x="2" nd="1"/>
        <i x="33" nd="1"/>
        <i x="44" nd="1"/>
        <i x="12" nd="1"/>
        <i x="14" nd="1"/>
        <i x="27" nd="1"/>
        <i x="16" nd="1"/>
        <i x="8" nd="1"/>
        <i x="48" nd="1"/>
        <i x="41" nd="1"/>
        <i x="19" nd="1"/>
        <i x="28" nd="1"/>
        <i x="17" nd="1"/>
        <i x="34" nd="1"/>
        <i x="42" nd="1"/>
        <i x="39" nd="1"/>
        <i x="31" nd="1"/>
        <i x="50" nd="1"/>
        <i x="22" nd="1"/>
        <i x="43" nd="1"/>
        <i x="20" nd="1"/>
        <i x="40" nd="1"/>
        <i x="30" nd="1"/>
        <i x="29" nd="1"/>
        <i x="26" nd="1"/>
        <i x="24" nd="1"/>
        <i x="15" nd="1"/>
        <i x="21" nd="1"/>
        <i x="5" nd="1"/>
        <i x="1" nd="1"/>
        <i x="49" nd="1"/>
        <i x="37" nd="1"/>
        <i x="18" nd="1"/>
        <i x="7" nd="1"/>
        <i x="32" nd="1"/>
        <i x="25" nd="1"/>
        <i x="36" nd="1"/>
        <i x="35" nd="1"/>
        <i x="11" nd="1"/>
        <i x="38" nd="1"/>
        <i x="45" nd="1"/>
        <i x="10" nd="1"/>
        <i x="0"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2" xr10:uid="{4B0FE9C1-C71A-444B-8D26-2FE648F247F7}" sourceName="Location Type">
  <pivotTables>
    <pivotTable tabId="102" name="PivotTable1"/>
  </pivotTables>
  <data>
    <tabular pivotCacheId="1">
      <items count="11">
        <i x="0" s="1"/>
        <i x="4" s="1" nd="1"/>
        <i x="9" s="1" nd="1"/>
        <i x="8" s="1" nd="1"/>
        <i x="6" s="1" nd="1"/>
        <i x="3" s="1" nd="1"/>
        <i x="2" s="1" nd="1"/>
        <i x="7" s="1" nd="1"/>
        <i x="10" s="1" nd="1"/>
        <i x="5" s="1" nd="1"/>
        <i x="1" s="1" nd="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1" xr10:uid="{EF72A8A2-3299-4344-BC4E-D6F8AED2BA32}" sourceName="Reporting Period">
  <pivotTables>
    <pivotTable tabId="114" name="PivotTable1"/>
  </pivotTables>
  <data>
    <tabular pivotCacheId="1">
      <items count="16">
        <i x="0" s="1"/>
        <i x="1" s="1"/>
        <i x="13" s="1" nd="1"/>
        <i x="14" s="1" nd="1"/>
        <i x="4" s="1" nd="1"/>
        <i x="15" s="1" nd="1"/>
        <i x="7" s="1" nd="1"/>
        <i x="9" s="1" nd="1"/>
        <i x="11" s="1" nd="1"/>
        <i x="12" s="1" nd="1"/>
        <i x="3" s="1" nd="1"/>
        <i x="5" s="1" nd="1"/>
        <i x="6" s="1" nd="1"/>
        <i x="8" s="1" nd="1"/>
        <i x="10" s="1" nd="1"/>
        <i x="2" s="1" nd="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vered" xr10:uid="{AC828323-2EE9-4364-A14F-CFCC4F96B0C1}" sourceName="Covered">
  <pivotTables>
    <pivotTable tabId="92" name="Geo_Gap"/>
  </pivotTables>
  <data>
    <tabular pivotCacheId="1">
      <items count="4">
        <i x="0" s="1"/>
        <i x="3" s="1" nd="1"/>
        <i x="2" s="1" nd="1"/>
        <i x="1"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00000000-0014-0000-FFFF-FFFF01000000}" cache="Slicer_State" caption="State" style="SlicerStyleLight1" rowHeight="304800"/>
  <slicer name="Type of accommodation" xr10:uid="{00000000-0014-0000-FFFF-FFFF02000000}" cache="Slicer_Type_of_accommodation" caption="Type of accommodation" style="SlicerStyleLight5" rowHeight="304800"/>
  <slicer name="Covered" xr10:uid="{6AD5A20E-30A5-4C45-B3C4-3AF1073AC0FA}" cache="Slicer_Covered" caption="Covered" style="SlicerStyleLight5"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4000000}" cache="Slicer_State1" caption="State" style="SlicerStyleLight6" rowHeight="30480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rowHeight="304800"/>
  <slicer name="Location Type" xr10:uid="{E0468B28-9B10-4E5D-88B3-D149B9B55D65}" cache="Slicer_Location_Type" caption="Location Type" style="SlicerStyleLight6"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7000000}" cache="Slicer_State11" caption="State" style="SlicerStyleDark6" rowHeight="30480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5" rowHeight="304800"/>
  <slicer name="Location Type 2" xr10:uid="{163D9285-1B80-4AE3-AA4B-FDE82BFC96C7}" cache="Slicer_Location_Type2" caption="Location Type" style="SlicerStyleDark6"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3" xr10:uid="{00000000-0014-0000-FFFF-FFFF09000000}" cache="Slicer_State2" caption="State" style="SlicerStyleLight6" rowHeight="304800"/>
  <slicer name="Township 2" xr10:uid="{00000000-0014-0000-FFFF-FFFF0A000000}" cache="Slicer_Township2" caption="Township" style="SlicerStyleOther2" rowHeight="304800"/>
  <slicer name="Location Type 1" xr10:uid="{1DA31F83-374D-494A-9C5A-7AC17DD1D0BE}" cache="Slicer_Location_Type1" caption="Location Type" style="SlicerStyleLight6" rowHeight="304800"/>
  <slicer name="WASH implementing agency" xr10:uid="{FD50785F-CE6E-47F7-A3FB-27BFBB24945A}" cache="Slicer_WASH_implementing_agency" caption="WASH implementing agency" columnCount="3" style="SlicerStyleLight5" rowHeight="304800"/>
  <slicer name="Reporting Period 1" xr10:uid="{8DF2F4EF-46C5-4CFE-B358-E8912CE9228E}" cache="Slicer_Reporting_Period1" caption="Reporting Period" rowHeight="2984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CB409" totalsRowShown="0" headerRowDxfId="698" dataDxfId="696" headerRowBorderDxfId="697" tableBorderDxfId="695">
  <autoFilter ref="A6:CB409" xr:uid="{BF2EBFC3-0811-4758-8268-4583F1F81CEF}"/>
  <sortState xmlns:xlrd2="http://schemas.microsoft.com/office/spreadsheetml/2017/richdata2" ref="A323:CB337">
    <sortCondition ref="H327"/>
  </sortState>
  <tableColumns count="80">
    <tableColumn id="1" xr3:uid="{00000000-0010-0000-0000-000001000000}" name="Reporting Period" dataDxfId="694" totalsRowDxfId="693"/>
    <tableColumn id="75" xr3:uid="{00000000-0010-0000-0000-00004B000000}" name="WASH project agency" dataDxfId="692" totalsRowDxfId="691"/>
    <tableColumn id="2" xr3:uid="{00000000-0010-0000-0000-000002000000}" name="WASH implementing agency" dataDxfId="690" totalsRowDxfId="689"/>
    <tableColumn id="8" xr3:uid="{00000000-0010-0000-0000-000008000000}" name="Primary Donor covering WASH activities at site " dataDxfId="688" totalsRowDxfId="687"/>
    <tableColumn id="3" xr3:uid="{00000000-0010-0000-0000-000003000000}" name="State" dataDxfId="686" totalsRowDxfId="685"/>
    <tableColumn id="4" xr3:uid="{00000000-0010-0000-0000-000004000000}" name="Township" dataDxfId="684" totalsRowDxfId="683"/>
    <tableColumn id="82" xr3:uid="{00000000-0010-0000-0000-000052000000}" name="Location Type" dataDxfId="682" totalsRowDxfId="681" dataCellStyle="Percent">
      <calculatedColumnFormula>VLOOKUP(WWWW[[#This Row],[Village  Name]],SiteDB6[[Site Name]:[Location Type]],8,FALSE)</calculatedColumnFormula>
    </tableColumn>
    <tableColumn id="5" xr3:uid="{00000000-0010-0000-0000-000005000000}" name="Village  Name" dataDxfId="680" totalsRowDxfId="679"/>
    <tableColumn id="6" xr3:uid="{00000000-0010-0000-0000-000006000000}" name="Total HH" dataDxfId="678" totalsRowDxfId="677" dataCellStyle="Comma"/>
    <tableColumn id="7" xr3:uid="{00000000-0010-0000-0000-000007000000}" name="Total PoP " dataDxfId="676" totalsRowDxfId="675" dataCellStyle="Comma"/>
    <tableColumn id="77" xr3:uid="{00000000-0010-0000-0000-00004D000000}" name="Project start date" dataDxfId="674" totalsRowDxfId="673"/>
    <tableColumn id="9" xr3:uid="{00000000-0010-0000-0000-000009000000}" name="Project end date" dataDxfId="672" totalsRowDxfId="671"/>
    <tableColumn id="104" xr3:uid="{00000000-0010-0000-0000-000068000000}" name="#of students in school" dataDxfId="670" totalsRowDxfId="669" dataCellStyle="Comma"/>
    <tableColumn id="10" xr3:uid="{00000000-0010-0000-0000-00000A000000}" name="# Work days (approx) lost in this site due to access restrictions" dataDxfId="668" totalsRowDxfId="667" dataCellStyle="Comma"/>
    <tableColumn id="14" xr3:uid="{00000000-0010-0000-0000-00000E000000}" name="#_Functioning_protected_hand_dug_well/open_well" dataDxfId="666" totalsRowDxfId="665" dataCellStyle="Comma"/>
    <tableColumn id="102" xr3:uid="{00000000-0010-0000-0000-000066000000}" name="#_Functioning_Tube_wells/boreholes/hand_pumps_including_community's_own_hand_pumps" dataDxfId="664" totalsRowDxfId="663" dataCellStyle="Comma"/>
    <tableColumn id="103" xr3:uid="{00000000-0010-0000-0000-000067000000}" name="#_Existing_protected/fenced_ponds" dataDxfId="662" totalsRowDxfId="661" dataCellStyle="Comma"/>
    <tableColumn id="27" xr3:uid="{10DEF0D6-298B-4E52-8B07-19B5C6C43341}" name="#_of_total_(Liters)_stored_in_Constructed/Existing_water_storage_tank_with_gravity_fed_reticulation_system" dataDxfId="660" totalsRowDxfId="659" dataCellStyle="Comma"/>
    <tableColumn id="15" xr3:uid="{00000000-0010-0000-0000-00000F000000}" name="#_of_people_accessing_to_other_types_of_un-improved_water_sources_(river,_spring)" dataDxfId="658" totalsRowDxfId="657" dataCellStyle="Comma"/>
    <tableColumn id="106" xr3:uid="{00000000-0010-0000-0000-00006A000000}" name="#_Functioning_water_points_at_school" dataDxfId="656" totalsRowDxfId="655" dataCellStyle="Comma"/>
    <tableColumn id="107" xr3:uid="{00000000-0010-0000-0000-00006B000000}" name="WATER_Comments" dataDxfId="654" totalsRowDxfId="653" dataCellStyle="Comma"/>
    <tableColumn id="87" xr3:uid="{00000000-0010-0000-0000-000057000000}" name="#_of_sanitary_fly-proof_HH_latrines" dataDxfId="652" totalsRowDxfId="651" dataCellStyle="Comma"/>
    <tableColumn id="39" xr3:uid="{00000000-0010-0000-0000-000027000000}" name="Availability_of_drainage_in_school_compound_(Yes_or_No)" dataDxfId="650" totalsRowDxfId="649" dataCellStyle="Comma"/>
    <tableColumn id="23" xr3:uid="{00000000-0010-0000-0000-000017000000}" name="#_of_Functioning_latrines_in_school" dataDxfId="648" totalsRowDxfId="647" dataCellStyle="Comma"/>
    <tableColumn id="24" xr3:uid="{00000000-0010-0000-0000-000018000000}" name="#_of_PWD_at_village" dataDxfId="646" totalsRowDxfId="645" dataCellStyle="Comma"/>
    <tableColumn id="25" xr3:uid="{00000000-0010-0000-0000-000019000000}" name="#_of_PWD_with_adapted_sanitation_option_at_HH_level_" dataDxfId="644" totalsRowDxfId="643" dataCellStyle="Comma"/>
    <tableColumn id="122" xr3:uid="{00000000-0010-0000-0000-00007A000000}" name="#_of_PWD_at_school" dataDxfId="642" totalsRowDxfId="641" dataCellStyle="Comma"/>
    <tableColumn id="123" xr3:uid="{00000000-0010-0000-0000-00007B000000}" name="#_of_PWD_with_access_to_adapted_sanitation_option_at_School" dataDxfId="640" totalsRowDxfId="639" dataCellStyle="Comma"/>
    <tableColumn id="124" xr3:uid="{00000000-0010-0000-0000-00007C000000}" name="SANITATION_Comment" dataDxfId="638" totalsRowDxfId="637" dataCellStyle="Comma"/>
    <tableColumn id="126" xr3:uid="{00000000-0010-0000-0000-00007E000000}" name="#_of_Men_who_received_appropirate/community_tailored_hygiene_messages" dataDxfId="636" totalsRowDxfId="635" dataCellStyle="Comma"/>
    <tableColumn id="127" xr3:uid="{00000000-0010-0000-0000-00007F000000}" name="#_of_Women_who_received_appropirate/community_tailored_hygiene_messages" dataDxfId="634" totalsRowDxfId="633" dataCellStyle="Comma"/>
    <tableColumn id="13" xr3:uid="{00000000-0010-0000-0000-00000D000000}" name="#_of_Boys_who_received_appropirate/community_tailored_hygiene_messages" dataDxfId="632" totalsRowDxfId="631" dataCellStyle="Comma"/>
    <tableColumn id="128" xr3:uid="{00000000-0010-0000-0000-000080000000}" name="#_of_Girls_who_received_appropirate/community_tailored_hygiene_messages" dataDxfId="630" totalsRowDxfId="629" dataCellStyle="Comma"/>
    <tableColumn id="129" xr3:uid="{00000000-0010-0000-0000-000081000000}" name="#_of_students_(boys)_who_received_appropirate_hygiene_messages" dataDxfId="628" totalsRowDxfId="627" dataCellStyle="Comma"/>
    <tableColumn id="130" xr3:uid="{00000000-0010-0000-0000-000082000000}" name="#_of_students_(girls)_who_received_appropirate_hygiene_messages" dataDxfId="626" totalsRowDxfId="625" dataCellStyle="Comma"/>
    <tableColumn id="133" xr3:uid="{00000000-0010-0000-0000-000085000000}" name="#_of_functional_handwashing_facilities_at_HH_level" dataDxfId="624" totalsRowDxfId="623" dataCellStyle="Comma"/>
    <tableColumn id="131" xr3:uid="{00000000-0010-0000-0000-000083000000}" name="#_of_functional_handwashing_facilities_at_school" dataDxfId="622" totalsRowDxfId="621" dataCellStyle="Comma"/>
    <tableColumn id="17" xr3:uid="{075BE1A2-93A8-4876-AB80-D66BF383CBDA}" name="#_of_affected_households_receiving_a_sufficient_quantity_of_soap" dataDxfId="620" totalsRowDxfId="619" dataCellStyle="Comma"/>
    <tableColumn id="19" xr3:uid="{327268F1-F023-417E-8DA2-7BA53B38D030}" name="#_of_affected_women_and_girls_receiving_a_sufficient_quantity_of_sanitary_pads" dataDxfId="618" totalsRowDxfId="617" dataCellStyle="Comma"/>
    <tableColumn id="132" xr3:uid="{00000000-0010-0000-0000-000084000000}" name="HYGIENE_Comments" dataDxfId="616" totalsRowDxfId="615" dataCellStyle="Comma"/>
    <tableColumn id="69" xr3:uid="{F08B8CAC-90B8-4AD5-ABFF-685A1F23A8C8}" name="%_of_affected_people_surveyed_who_feel_informed_about_the_WASH_services_available_to_them" dataDxfId="614" totalsRowDxfId="613" dataCellStyle="Percent"/>
    <tableColumn id="79" xr3:uid="{FC6D5E73-EE3C-4FE8-9811-A426C1B99932}" name="%_of_people_surveryed_who_know_how_to_and_feel_comfortable_to_make_suggestions_or_complaints" dataDxfId="612" totalsRowDxfId="611" dataCellStyle="Percent"/>
    <tableColumn id="28" xr3:uid="{DA9C9BB5-D373-4176-A92F-D85977AFED62}" name="#_of_sanitation_facilities_(latrines)_built/repaired/rehabilitated_following_risk-sensitive_programming_and_consultation_with_communities_and/or_GBV_risk-sensitive_programming" dataDxfId="610" totalsRowDxfId="609" dataCellStyle="Comma"/>
    <tableColumn id="29" xr3:uid="{188DECD9-B737-44F8-8B83-C03F5C2437BE}" name="#_of_sanitation_facilities_(HH_sanitation_devices)_distributed_following_risk-sensitive_programming_and_consultation_with_communities_and/or_GBV_risk-sensitive_programming" dataDxfId="608" totalsRowDxfId="607" dataCellStyle="Comma"/>
    <tableColumn id="30" xr3:uid="{B3909CF1-DA33-4766-AA2F-F5217F455B6F}" name="#_of_sanitation_facilities_(bathing_spaces)_built_following_risk-sensitive_programming_and_consultation_with_communities" dataDxfId="606" totalsRowDxfId="605" dataCellStyle="Comma"/>
    <tableColumn id="36" xr3:uid="{00000000-0010-0000-0000-000024000000}" name="%Equitable and continuous access to sufficient quantity of safe drinking water" dataDxfId="604" totalsRowDxfId="603" dataCellStyle="Percent">
      <calculatedColumnFormula>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calculatedColumnFormula>
    </tableColumn>
    <tableColumn id="89" xr3:uid="{00000000-0010-0000-0000-000059000000}" name="# people with equitable and continuous access to sufficient quantity of safe drinking water" dataDxfId="602" totalsRowDxfId="601">
      <calculatedColumnFormula>WWWW[[#This Row],[%Equitable and continuous access to sufficient quantity of safe drinking water]]*WWWW[[#This Row],[Total PoP ]]</calculatedColumnFormula>
    </tableColumn>
    <tableColumn id="37" xr3:uid="{00000000-0010-0000-0000-000025000000}" name="% Access to unimproved water points" dataDxfId="600" totalsRowDxfId="599" dataCellStyle="Percent">
      <calculatedColumnFormula>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calculatedColumnFormula>
    </tableColumn>
    <tableColumn id="16" xr3:uid="{00000000-0010-0000-0000-000010000000}" name="#People access to unimproved water sources" dataDxfId="598" totalsRowDxfId="597">
      <calculatedColumnFormula>WWWW[[#This Row],[% Access to unimproved water points]]*WWWW[[#This Row],[Total PoP ]]</calculatedColumnFormula>
    </tableColumn>
    <tableColumn id="41" xr3:uid="{00000000-0010-0000-0000-000029000000}" name="% Equitable and continuous access to sufficient quantity of domestic water" dataDxfId="596" totalsRowDxfId="595" dataCellStyle="Percent">
      <calculatedColumnFormula>IF(WWWW[[#This Row],[% Access to unimproved water points]]+WWWW[[#This Row],[%Equitable and continuous access to sufficient quantity of safe drinking water]]&gt;1,1,WWWW[[#This Row],[% Access to unimproved water points]]+WWWW[[#This Row],[%Equitable and continuous access to sufficient quantity of safe drinking water]])</calculatedColumnFormula>
    </tableColumn>
    <tableColumn id="42" xr3:uid="{00000000-0010-0000-0000-00002A000000}" name="HRP1" dataDxfId="594" totalsRowDxfId="593">
      <calculatedColumnFormula>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calculatedColumnFormula>
    </tableColumn>
    <tableColumn id="86" xr3:uid="{00000000-0010-0000-0000-000056000000}" name="#Water points coverage" dataDxfId="592" totalsRowDxfId="591">
      <calculatedColumnFormula>WWWW[[#This Row],[HRP1]]/250</calculatedColumnFormula>
    </tableColumn>
    <tableColumn id="85" xr3:uid="{00000000-0010-0000-0000-000055000000}" name="%equitable and continuous access to sufficient quantity of safe drinking and domestic water's GAP" dataDxfId="590" totalsRowDxfId="589">
      <calculatedColumnFormula>1-WWWW[[#This Row],[% Equitable and continuous access to sufficient quantity of domestic water]]</calculatedColumnFormula>
    </tableColumn>
    <tableColumn id="43" xr3:uid="{00000000-0010-0000-0000-00002B000000}" name="# people needs equitable and continuous access to sufficient quantity of safe drinking and domestic water GAP" dataDxfId="588" totalsRowDxfId="587">
      <calculatedColumnFormula>WWWW[[#This Row],[%equitable and continuous access to sufficient quantity of safe drinking and domestic water''s GAP]]*WWWW[[#This Row],[Total PoP ]]</calculatedColumnFormula>
    </tableColumn>
    <tableColumn id="44" xr3:uid="{00000000-0010-0000-0000-00002C000000}" name="#Potential required new water points" dataDxfId="586" totalsRowDxfId="585" dataCellStyle="Percent">
      <calculatedColumnFormula>IF(WWWW[[#This Row],[Total required water points]]-WWWW[[#This Row],['#Water points coverage]]&lt;0,0,WWWW[[#This Row],[Total required water points]]-WWWW[[#This Row],['#Water points coverage]])</calculatedColumnFormula>
    </tableColumn>
    <tableColumn id="78" xr3:uid="{00000000-0010-0000-0000-00004E000000}" name="Total required water points" dataDxfId="584" totalsRowDxfId="583" dataCellStyle="Percent">
      <calculatedColumnFormula>ROUND(IF(WWWW[[#This Row],[Total PoP ]]&lt;250,1,WWWW[[#This Row],[Total PoP ]]/250),0)</calculatedColumnFormula>
    </tableColumn>
    <tableColumn id="21" xr3:uid="{F4052D35-6786-4305-B493-888B73799200}" name="% people access to functioning Latrine" dataDxfId="582" totalsRowDxfId="581" dataCellStyle="Percent">
      <calculatedColumnFormula>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calculatedColumnFormula>
    </tableColumn>
    <tableColumn id="18" xr3:uid="{00000000-0010-0000-0000-000012000000}" name="HRP2" dataDxfId="580" totalsRowDxfId="579">
      <calculatedColumnFormula>WWWW[[#This Row],[% people access to functioning Latrine]]*WWWW[[#This Row],[Total PoP ]]</calculatedColumnFormula>
    </tableColumn>
    <tableColumn id="12" xr3:uid="{00000000-0010-0000-0000-00000C000000}" name="# students access to functioning school latrines" dataDxfId="578" totalsRowDxfId="577" dataCellStyle="Percent">
      <calculatedColumnFormula>WWWW[[#This Row],['#_of_Functioning_latrines_in_school]]*50</calculatedColumnFormula>
    </tableColumn>
    <tableColumn id="73" xr3:uid="{00000000-0010-0000-0000-000049000000}" name="Total required Latrines" dataDxfId="576" dataCellStyle="Percent">
      <calculatedColumnFormula>ROUND((WWWW[[#This Row],[Total PoP ]]/6),0)</calculatedColumnFormula>
    </tableColumn>
    <tableColumn id="49" xr3:uid="{00000000-0010-0000-0000-000031000000}" name="# potential required new latrines" dataDxfId="575" totalsRowDxfId="574" dataCellStyle="Percent">
      <calculatedColumnFormula>IF(WWWW[[#This Row],[Total required Latrines]]-(WWWW[[#This Row],['#_of_sanitary_fly-proof_HH_latrines]])&lt;0,0,WWWW[[#This Row],[Total required Latrines]]-(WWWW[[#This Row],['#_of_sanitary_fly-proof_HH_latrines]]))</calculatedColumnFormula>
    </tableColumn>
    <tableColumn id="48" xr3:uid="{00000000-0010-0000-0000-000030000000}" name="% of Latrine Gap" dataDxfId="573" totalsRowDxfId="572">
      <calculatedColumnFormula>1-WWWW[[#This Row],[% people access to functioning Latrine]]</calculatedColumnFormula>
    </tableColumn>
    <tableColumn id="54" xr3:uid="{00000000-0010-0000-0000-000036000000}" name="# people reached by regular dedicated hygiene promotion" dataDxfId="571" totalsRowDxfId="570">
      <calculatedColumnFormula>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calculatedColumnFormula>
    </tableColumn>
    <tableColumn id="11" xr3:uid="{CB7D9386-0326-4F24-9329-0B986D55248A}" name="# people access to functional handwashing facilities" dataDxfId="569" totalsRowDxfId="568">
      <calculatedColumnFormula>IF(WWWW[[#This Row],['#_of_functional_handwashing_facilities_at_HH_level]]*6&gt;WWWW[[#This Row],[Total PoP ]],WWWW[[#This Row],[Total PoP ]],WWWW[[#This Row],['#_of_functional_handwashing_facilities_at_HH_level]]*6)</calculatedColumnFormula>
    </tableColumn>
    <tableColumn id="68" xr3:uid="{00000000-0010-0000-0000-000044000000}" name="HRP3" dataDxfId="567" totalsRowDxfId="566" dataCellStyle="Percent">
      <calculatedColumnFormula>IF(WWWW[[#This Row],['# people reached by regular dedicated hygiene promotion]]&gt;WWWW[[#This Row],['# People received regular supply of hygiene items]],WWWW[[#This Row],['# people reached by regular dedicated hygiene promotion]],WWWW[[#This Row],['# People received regular supply of hygiene items]])</calculatedColumnFormula>
    </tableColumn>
    <tableColumn id="53" xr3:uid="{00000000-0010-0000-0000-000035000000}" name="Hygiene Coverage%" dataDxfId="565" totalsRowDxfId="564">
      <calculatedColumnFormula>IF(WWWW[[#This Row],[HRP3]]/WWWW[[#This Row],[Total PoP ]]&gt;100%,100%,WWWW[[#This Row],[HRP3]]/WWWW[[#This Row],[Total PoP ]])</calculatedColumnFormula>
    </tableColumn>
    <tableColumn id="72" xr3:uid="{00000000-0010-0000-0000-000048000000}" name="Hygiene Gap%" dataDxfId="563" totalsRowDxfId="562" dataCellStyle="Percent">
      <calculatedColumnFormula>1-WWWW[[#This Row],[Hygiene Coverage%]]</calculatedColumnFormula>
    </tableColumn>
    <tableColumn id="96" xr3:uid="{00000000-0010-0000-0000-000060000000}" name="%people reached by regular dedicated hygiene promotion" dataDxfId="561" totalsRowDxfId="560" dataCellStyle="Percent">
      <calculatedColumnFormula>WWWW[[#This Row],['# people reached by regular dedicated hygiene promotion]]/WWWW[[#This Row],[Total PoP ]]</calculatedColumnFormula>
    </tableColumn>
    <tableColumn id="20" xr3:uid="{97054BB8-0C2C-4D5C-B3B2-4EDC31DE5086}" name="# People with access to soap" dataDxfId="559" totalsRowDxfId="558" dataCellStyle="Percent">
      <calculatedColumnFormula>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calculatedColumnFormula>
    </tableColumn>
    <tableColumn id="26" xr3:uid="{E1521FC6-F9C8-4298-B682-5971B316C9C2}" name="# People with access to Sanity Pads" dataDxfId="557" totalsRowDxfId="556" dataCellStyle="Percent">
      <calculatedColumnFormula>WWWW[[#This Row],['#_of_affected_women_and_girls_receiving_a_sufficient_quantity_of_sanitary_pads]]</calculatedColumnFormula>
    </tableColumn>
    <tableColumn id="22" xr3:uid="{7C781812-EC40-4094-88AA-47B02EB7194B}" name="# People received regular supply of hygiene items" dataDxfId="555" totalsRowDxfId="554" dataCellStyle="Comma">
      <calculatedColumnFormula>IF(WWWW[[#This Row],['# People with access to soap]]&gt;WWWW[[#This Row],['# People with access to Sanity Pads]],WWWW[[#This Row],['# People with access to soap]],WWWW[[#This Row],['# People with access to Sanity Pads]])</calculatedColumnFormula>
    </tableColumn>
    <tableColumn id="31" xr3:uid="{FD8C69C6-3D27-4A27-BCF4-02830740C127}" name="Village with School" dataDxfId="553" totalsRowDxfId="552">
      <calculatedColumnFormula>IF(OR(WWWW[[#This Row],['#of students in school]]="",WWWW[[#This Row],['#of students in school]]=0),"No","Yes")</calculatedColumnFormula>
    </tableColumn>
    <tableColumn id="80" xr3:uid="{00000000-0010-0000-0000-000050000000}" name="Location Type 1" dataDxfId="551" totalsRowDxfId="550" dataCellStyle="Percent">
      <calculatedColumnFormula>VLOOKUP(WWWW[[#This Row],[Village  Name]],SiteDB6[[Site Name]:[Location Type 1]],9,FALSE)</calculatedColumnFormula>
    </tableColumn>
    <tableColumn id="45" xr3:uid="{00000000-0010-0000-0000-00002D000000}" name="Type of accommodation" dataDxfId="549" totalsRowDxfId="548" dataCellStyle="Percent">
      <calculatedColumnFormula>VLOOKUP(WWWW[[#This Row],[Village  Name]],SiteDB6[[Site Name]:[Type of Accommodation]],10,FALSE)</calculatedColumnFormula>
    </tableColumn>
    <tableColumn id="46" xr3:uid="{00000000-0010-0000-0000-00002E000000}" name="Ethnic or GCA/NGCA" dataDxfId="547" totalsRowDxfId="546" dataCellStyle="Percent">
      <calculatedColumnFormula>VLOOKUP(WWWW[[#This Row],[Village  Name]],SiteDB6[[Site Name]:[Ethnic or GCA/NGCA]],11,FALSE)</calculatedColumnFormula>
    </tableColumn>
    <tableColumn id="60" xr3:uid="{00000000-0010-0000-0000-00003C000000}" name="Lat" dataDxfId="545" totalsRowDxfId="544" dataCellStyle="Percent">
      <calculatedColumnFormula>VLOOKUP(WWWW[[#This Row],[Village  Name]],SiteDB6[[Site Name]:[Lat]],12,FALSE)</calculatedColumnFormula>
    </tableColumn>
    <tableColumn id="61" xr3:uid="{00000000-0010-0000-0000-00003D000000}" name="Long" dataDxfId="543" totalsRowDxfId="542" dataCellStyle="Percent">
      <calculatedColumnFormula>VLOOKUP(WWWW[[#This Row],[Village  Name]],SiteDB6[[Site Name]:[Long]],13,FALSE)</calculatedColumnFormula>
    </tableColumn>
    <tableColumn id="62" xr3:uid="{00000000-0010-0000-0000-00003E000000}" name="Pcode" dataDxfId="541" totalsRowDxfId="540" dataCellStyle="Percent">
      <calculatedColumnFormula>VLOOKUP(WWWW[[#This Row],[Village  Name]],SiteDB6[[Site Name]:[Pcode]],3,FALSE)</calculatedColumnFormula>
    </tableColumn>
    <tableColumn id="63" xr3:uid="{00000000-0010-0000-0000-00003F000000}" name="Covered" dataDxfId="539" totalsRowDxfId="538">
      <calculatedColumnFormula>IF(C7="none","Notcovered","Covered")</calculatedColumnFormula>
    </tableColumn>
    <tableColumn id="64" xr3:uid="{00000000-0010-0000-0000-000040000000}" name="Remark" dataDxfId="537" totalsRowDxfId="536"/>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W1373" totalsRowShown="0" headerRowDxfId="498" dataDxfId="497">
  <autoFilter ref="A2:W1373" xr:uid="{178B42BB-AB4B-43D9-822E-B4F8A08B64BF}"/>
  <sortState xmlns:xlrd2="http://schemas.microsoft.com/office/spreadsheetml/2017/richdata2" ref="A3:W1308">
    <sortCondition ref="A3:A1308"/>
    <sortCondition ref="B3:B1308"/>
    <sortCondition ref="C3:C1308"/>
  </sortState>
  <tableColumns count="23">
    <tableColumn id="13" xr3:uid="{00000000-0010-0000-0100-00000D000000}" name="State" dataDxfId="496"/>
    <tableColumn id="12" xr3:uid="{00000000-0010-0000-0100-00000C000000}" name="Township" dataDxfId="495"/>
    <tableColumn id="1" xr3:uid="{00000000-0010-0000-0100-000001000000}" name="Site Name" dataDxfId="494"/>
    <tableColumn id="26" xr3:uid="{00000000-0010-0000-0100-00001A000000}" name="open in cccm?" dataDxfId="493"/>
    <tableColumn id="2" xr3:uid="{00000000-0010-0000-0100-000002000000}" name="Pcode" dataDxfId="492"/>
    <tableColumn id="20" xr3:uid="{00000000-0010-0000-0100-000014000000}" name="Vtract" dataDxfId="491"/>
    <tableColumn id="21" xr3:uid="{00000000-0010-0000-0100-000015000000}" name="VillageWard" dataDxfId="490"/>
    <tableColumn id="3" xr3:uid="{00000000-0010-0000-0100-000003000000}" name="CCCM Management" dataDxfId="489"/>
    <tableColumn id="4" xr3:uid="{00000000-0010-0000-0100-000004000000}" name="CCCM Focal Agency" dataDxfId="488"/>
    <tableColumn id="5" xr3:uid="{00000000-0010-0000-0100-000005000000}" name="Location Type" dataDxfId="487"/>
    <tableColumn id="6" xr3:uid="{00000000-0010-0000-0100-000006000000}" name="Location Type 1" dataDxfId="486"/>
    <tableColumn id="7" xr3:uid="{00000000-0010-0000-0100-000007000000}" name="Type of Accommodation" dataDxfId="485"/>
    <tableColumn id="8" xr3:uid="{00000000-0010-0000-0100-000008000000}" name="Ethnic or GCA/NGCA" dataDxfId="484"/>
    <tableColumn id="10" xr3:uid="{00000000-0010-0000-0100-00000A000000}" name="Lat" dataDxfId="483"/>
    <tableColumn id="9" xr3:uid="{00000000-0010-0000-0100-000009000000}" name="Long" dataDxfId="482"/>
    <tableColumn id="11" xr3:uid="{00000000-0010-0000-0100-00000B000000}" name="HRP categories" dataDxfId="481"/>
    <tableColumn id="14" xr3:uid="{00000000-0010-0000-0100-00000E000000}" name="Current 4 W reported list" dataDxfId="480"/>
    <tableColumn id="15" xr3:uid="{00000000-0010-0000-0100-00000F000000}" name="HH_x000a_(Rakhine-CCCM as of 31st Jan 2019)_x000a_(Kachin/Shan-CCCM as of 31st March 2019)" dataDxfId="479"/>
    <tableColumn id="16" xr3:uid="{00000000-0010-0000-0100-000010000000}" name="Pop_x000a_(Rakhine-CCCM as of 31st Jan 2019)_x000a_(Kachin/Shan-CCCM as of 31st March 2019)" dataDxfId="478"/>
    <tableColumn id="17" xr3:uid="{00000000-0010-0000-0100-000011000000}" name="Updated Date" dataDxfId="477"/>
    <tableColumn id="18" xr3:uid="{00000000-0010-0000-0100-000012000000}" name="Remark" dataDxfId="476"/>
    <tableColumn id="19" xr3:uid="{00000000-0010-0000-0100-000013000000}" name="Site Name_(Old)" dataDxfId="475"/>
    <tableColumn id="24" xr3:uid="{00000000-0010-0000-0100-000018000000}" name="Comments form CCCM" dataDxfId="47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A25316-493A-4DA2-BCCD-1E096A3A6F36}" name="Table6134" displayName="Table6134" ref="B60:G66" totalsRowShown="0" headerRowDxfId="41" dataDxfId="39" headerRowBorderDxfId="40" tableBorderDxfId="38" totalsRowBorderDxfId="37">
  <tableColumns count="6">
    <tableColumn id="1" xr3:uid="{9EAEFD8D-9E68-4EB6-8D83-A66E7E07EBA4}" name="Gap in active villages/ Township" dataDxfId="36"/>
    <tableColumn id="2" xr3:uid="{4E88414B-3AF7-4423-8E5C-218D0F09BCC5}" name="Partners " dataDxfId="35"/>
    <tableColumn id="3" xr3:uid="{1C6184D5-42C9-4ECE-A5F7-19BCA542B8BF}" name="Total population" dataDxfId="34"/>
    <tableColumn id="4" xr3:uid="{C05DAAB1-7047-4FC9-8374-48BFB4639C94}" name=" % People benefitting from safe/improved drinking water, meeting demand for domestic purposes" dataDxfId="33"/>
    <tableColumn id="5" xr3:uid="{1CF67F22-419E-4D02-AB06-B3165FA3FF83}" name=" % People benefitting from a functional excreta disposal system, reducing safety/public health/environmental risks" dataDxfId="32"/>
    <tableColumn id="6" xr3:uid="{0B426F89-9976-4D4A-8B6B-E345D402E9F4}" name=" %People benefitting from personal hygiene items and receiving appropriate hygiene message"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4" totalsRowShown="0" headerRowDxfId="5" dataDxfId="3" headerRowBorderDxfId="4" tableBorderDxfId="2" dataCellStyle="Normal_Township">
  <autoFilter ref="AB3:AC84" xr:uid="{00000000-0009-0000-0100-000001000000}"/>
  <sortState xmlns:xlrd2="http://schemas.microsoft.com/office/spreadsheetml/2017/richdata2"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10.xml"/><Relationship Id="rId13" Type="http://schemas.openxmlformats.org/officeDocument/2006/relationships/pivotTable" Target="../pivotTables/pivotTable15.xml"/><Relationship Id="rId18" Type="http://schemas.openxmlformats.org/officeDocument/2006/relationships/pivotTable" Target="../pivotTables/pivotTable20.xml"/><Relationship Id="rId26" Type="http://schemas.microsoft.com/office/2007/relationships/slicer" Target="../slicers/slicer1.xml"/><Relationship Id="rId3" Type="http://schemas.openxmlformats.org/officeDocument/2006/relationships/pivotTable" Target="../pivotTables/pivotTable5.xml"/><Relationship Id="rId21" Type="http://schemas.openxmlformats.org/officeDocument/2006/relationships/pivotTable" Target="../pivotTables/pivotTable23.xml"/><Relationship Id="rId7" Type="http://schemas.openxmlformats.org/officeDocument/2006/relationships/pivotTable" Target="../pivotTables/pivotTable9.xml"/><Relationship Id="rId12" Type="http://schemas.openxmlformats.org/officeDocument/2006/relationships/pivotTable" Target="../pivotTables/pivotTable14.xml"/><Relationship Id="rId17" Type="http://schemas.openxmlformats.org/officeDocument/2006/relationships/pivotTable" Target="../pivotTables/pivotTable19.xml"/><Relationship Id="rId25" Type="http://schemas.openxmlformats.org/officeDocument/2006/relationships/drawing" Target="../drawings/drawing3.xml"/><Relationship Id="rId2" Type="http://schemas.openxmlformats.org/officeDocument/2006/relationships/pivotTable" Target="../pivotTables/pivotTable4.xml"/><Relationship Id="rId16" Type="http://schemas.openxmlformats.org/officeDocument/2006/relationships/pivotTable" Target="../pivotTables/pivotTable18.xml"/><Relationship Id="rId20" Type="http://schemas.openxmlformats.org/officeDocument/2006/relationships/pivotTable" Target="../pivotTables/pivotTable22.xml"/><Relationship Id="rId1" Type="http://schemas.openxmlformats.org/officeDocument/2006/relationships/pivotTable" Target="../pivotTables/pivotTable3.xml"/><Relationship Id="rId6" Type="http://schemas.openxmlformats.org/officeDocument/2006/relationships/pivotTable" Target="../pivotTables/pivotTable8.xml"/><Relationship Id="rId11" Type="http://schemas.openxmlformats.org/officeDocument/2006/relationships/pivotTable" Target="../pivotTables/pivotTable13.xml"/><Relationship Id="rId24" Type="http://schemas.openxmlformats.org/officeDocument/2006/relationships/printerSettings" Target="../printerSettings/printerSettings8.bin"/><Relationship Id="rId5" Type="http://schemas.openxmlformats.org/officeDocument/2006/relationships/pivotTable" Target="../pivotTables/pivotTable7.xml"/><Relationship Id="rId15" Type="http://schemas.openxmlformats.org/officeDocument/2006/relationships/pivotTable" Target="../pivotTables/pivotTable17.xml"/><Relationship Id="rId23" Type="http://schemas.openxmlformats.org/officeDocument/2006/relationships/pivotTable" Target="../pivotTables/pivotTable25.xml"/><Relationship Id="rId10" Type="http://schemas.openxmlformats.org/officeDocument/2006/relationships/pivotTable" Target="../pivotTables/pivotTable12.xml"/><Relationship Id="rId19" Type="http://schemas.openxmlformats.org/officeDocument/2006/relationships/pivotTable" Target="../pivotTables/pivotTable21.xml"/><Relationship Id="rId4" Type="http://schemas.openxmlformats.org/officeDocument/2006/relationships/pivotTable" Target="../pivotTables/pivotTable6.xml"/><Relationship Id="rId9" Type="http://schemas.openxmlformats.org/officeDocument/2006/relationships/pivotTable" Target="../pivotTables/pivotTable11.xml"/><Relationship Id="rId14" Type="http://schemas.openxmlformats.org/officeDocument/2006/relationships/pivotTable" Target="../pivotTables/pivotTable16.xml"/><Relationship Id="rId22" Type="http://schemas.openxmlformats.org/officeDocument/2006/relationships/pivotTable" Target="../pivotTables/pivotTable24.xml"/></Relationships>
</file>

<file path=xl/worksheets/_rels/sheet9.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2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7.xml"/><Relationship Id="rId1" Type="http://schemas.openxmlformats.org/officeDocument/2006/relationships/pivotTable" Target="../pivotTables/pivotTable27.xml"/></Relationships>
</file>

<file path=xl/worksheets/_rels/sheet12.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8.xml"/><Relationship Id="rId1" Type="http://schemas.openxmlformats.org/officeDocument/2006/relationships/pivotTable" Target="../pivotTables/pivotTable2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Y15" sqref="Y15"/>
    </sheetView>
  </sheetViews>
  <sheetFormatPr defaultColWidth="7.69921875" defaultRowHeight="14.4"/>
  <cols>
    <col min="1" max="1" width="7.09765625" style="21" customWidth="1"/>
    <col min="2" max="2" width="2.19921875" style="21" customWidth="1"/>
    <col min="3" max="19" width="7.69921875" style="21"/>
    <col min="20" max="20" width="25.09765625" style="21" customWidth="1"/>
    <col min="21" max="16384" width="7.69921875" style="21"/>
  </cols>
  <sheetData>
    <row r="1" spans="2:20" ht="28.2" customHeight="1" thickBot="1"/>
    <row r="2" spans="2:20" s="22" customFormat="1" ht="35.700000000000003" customHeight="1" thickTop="1" thickBot="1">
      <c r="B2" s="840" t="s">
        <v>75</v>
      </c>
      <c r="C2" s="841"/>
      <c r="D2" s="841"/>
      <c r="E2" s="841"/>
      <c r="F2" s="841"/>
      <c r="G2" s="841"/>
      <c r="H2" s="841"/>
      <c r="I2" s="841"/>
      <c r="J2" s="841"/>
      <c r="K2" s="841"/>
      <c r="L2" s="841"/>
      <c r="M2" s="841"/>
      <c r="N2" s="841"/>
      <c r="O2" s="841"/>
      <c r="P2" s="841"/>
      <c r="Q2" s="841"/>
      <c r="R2" s="841"/>
      <c r="S2" s="841"/>
      <c r="T2" s="842"/>
    </row>
    <row r="3" spans="2:20" ht="15" thickTop="1">
      <c r="B3" s="23"/>
      <c r="C3" s="24"/>
      <c r="D3" s="24"/>
      <c r="E3" s="24"/>
      <c r="F3" s="24"/>
      <c r="G3" s="24"/>
      <c r="H3" s="24"/>
      <c r="I3" s="24"/>
      <c r="J3" s="24"/>
      <c r="K3" s="24"/>
      <c r="L3" s="24"/>
      <c r="M3" s="24"/>
      <c r="N3" s="24"/>
      <c r="O3" s="24"/>
      <c r="P3" s="24"/>
      <c r="Q3" s="24"/>
      <c r="R3" s="24"/>
      <c r="S3" s="24"/>
      <c r="T3" s="25"/>
    </row>
    <row r="4" spans="2:20">
      <c r="B4" s="23"/>
      <c r="C4" s="26" t="s">
        <v>76</v>
      </c>
      <c r="D4" s="24"/>
      <c r="E4" s="24"/>
      <c r="F4" s="24"/>
      <c r="G4" s="24"/>
      <c r="H4" s="24"/>
      <c r="I4" s="24"/>
      <c r="J4" s="24"/>
      <c r="K4" s="24"/>
      <c r="L4" s="24"/>
      <c r="M4" s="24"/>
      <c r="N4" s="24"/>
      <c r="O4" s="24"/>
      <c r="P4" s="24"/>
      <c r="Q4" s="24"/>
      <c r="R4" s="24"/>
      <c r="S4" s="24"/>
      <c r="T4" s="25"/>
    </row>
    <row r="5" spans="2:20">
      <c r="B5" s="23"/>
      <c r="C5" s="24"/>
      <c r="D5" s="24" t="s">
        <v>77</v>
      </c>
      <c r="E5" s="24"/>
      <c r="F5" s="24"/>
      <c r="G5" s="24"/>
      <c r="H5" s="24"/>
      <c r="I5" s="24"/>
      <c r="J5" s="24"/>
      <c r="K5" s="24"/>
      <c r="L5" s="24"/>
      <c r="M5" s="24"/>
      <c r="N5" s="24"/>
      <c r="O5" s="24"/>
      <c r="P5" s="24"/>
      <c r="Q5" s="24"/>
      <c r="R5" s="24"/>
      <c r="S5" s="24"/>
      <c r="T5" s="25"/>
    </row>
    <row r="6" spans="2:20">
      <c r="B6" s="23"/>
      <c r="C6" s="24"/>
      <c r="D6" s="24" t="s">
        <v>78</v>
      </c>
      <c r="E6" s="24"/>
      <c r="F6" s="24"/>
      <c r="G6" s="24"/>
      <c r="H6" s="24"/>
      <c r="I6" s="24"/>
      <c r="J6" s="24"/>
      <c r="K6" s="24"/>
      <c r="L6" s="24"/>
      <c r="M6" s="24"/>
      <c r="N6" s="24"/>
      <c r="O6" s="24"/>
      <c r="P6" s="24"/>
      <c r="Q6" s="24"/>
      <c r="R6" s="24"/>
      <c r="S6" s="24"/>
      <c r="T6" s="25"/>
    </row>
    <row r="7" spans="2:20">
      <c r="B7" s="23"/>
      <c r="C7" s="24"/>
      <c r="D7" s="24" t="s">
        <v>79</v>
      </c>
      <c r="E7" s="24"/>
      <c r="F7" s="24"/>
      <c r="G7" s="24"/>
      <c r="H7" s="24"/>
      <c r="I7" s="24"/>
      <c r="J7" s="24"/>
      <c r="K7" s="24"/>
      <c r="L7" s="24"/>
      <c r="M7" s="24"/>
      <c r="N7" s="24"/>
      <c r="O7" s="24"/>
      <c r="P7" s="24"/>
      <c r="Q7" s="24"/>
      <c r="R7" s="24"/>
      <c r="S7" s="24"/>
      <c r="T7" s="25"/>
    </row>
    <row r="8" spans="2:20">
      <c r="B8" s="23"/>
      <c r="C8" s="24"/>
      <c r="D8" s="24" t="s">
        <v>80</v>
      </c>
      <c r="E8" s="24"/>
      <c r="F8" s="24"/>
      <c r="G8" s="24"/>
      <c r="H8" s="24"/>
      <c r="I8" s="24"/>
      <c r="J8" s="24"/>
      <c r="K8" s="24"/>
      <c r="L8" s="24"/>
      <c r="M8" s="24"/>
      <c r="N8" s="24"/>
      <c r="O8" s="24"/>
      <c r="P8" s="24"/>
      <c r="Q8" s="24"/>
      <c r="R8" s="24"/>
      <c r="S8" s="24"/>
      <c r="T8" s="25"/>
    </row>
    <row r="9" spans="2:20">
      <c r="B9" s="23"/>
      <c r="C9" s="24"/>
      <c r="D9" s="24" t="s">
        <v>81</v>
      </c>
      <c r="E9" s="24"/>
      <c r="F9" s="24"/>
      <c r="G9" s="24"/>
      <c r="H9" s="24"/>
      <c r="I9" s="24"/>
      <c r="J9" s="24"/>
      <c r="K9" s="24"/>
      <c r="L9" s="24"/>
      <c r="M9" s="24"/>
      <c r="N9" s="24"/>
      <c r="O9" s="24"/>
      <c r="P9" s="24"/>
      <c r="Q9" s="24"/>
      <c r="R9" s="24"/>
      <c r="S9" s="24"/>
      <c r="T9" s="25"/>
    </row>
    <row r="10" spans="2:20">
      <c r="B10" s="23"/>
      <c r="C10" s="24"/>
      <c r="D10" s="24" t="s">
        <v>82</v>
      </c>
      <c r="E10" s="24"/>
      <c r="F10" s="24"/>
      <c r="G10" s="24"/>
      <c r="H10" s="24"/>
      <c r="I10" s="24"/>
      <c r="J10" s="24"/>
      <c r="K10" s="24"/>
      <c r="L10" s="24"/>
      <c r="M10" s="24"/>
      <c r="N10" s="24"/>
      <c r="O10" s="24"/>
      <c r="P10" s="24"/>
      <c r="Q10" s="24"/>
      <c r="R10" s="24"/>
      <c r="S10" s="24"/>
      <c r="T10" s="25"/>
    </row>
    <row r="11" spans="2:20">
      <c r="B11" s="23"/>
      <c r="C11" s="24"/>
      <c r="D11" s="24" t="s">
        <v>83</v>
      </c>
      <c r="E11" s="24"/>
      <c r="F11" s="24"/>
      <c r="G11" s="24"/>
      <c r="H11" s="24"/>
      <c r="I11" s="24"/>
      <c r="J11" s="24"/>
      <c r="K11" s="24"/>
      <c r="L11" s="24"/>
      <c r="M11" s="24"/>
      <c r="N11" s="24"/>
      <c r="O11" s="24"/>
      <c r="P11" s="24"/>
      <c r="Q11" s="24"/>
      <c r="R11" s="24"/>
      <c r="S11" s="24"/>
      <c r="T11" s="25"/>
    </row>
    <row r="12" spans="2:20">
      <c r="B12" s="23"/>
      <c r="C12" s="24"/>
      <c r="D12" s="24" t="s">
        <v>84</v>
      </c>
      <c r="E12" s="24"/>
      <c r="F12" s="24"/>
      <c r="G12" s="24"/>
      <c r="H12" s="24"/>
      <c r="I12" s="24"/>
      <c r="J12" s="24"/>
      <c r="K12" s="24"/>
      <c r="L12" s="24"/>
      <c r="M12" s="24"/>
      <c r="N12" s="24"/>
      <c r="O12" s="24"/>
      <c r="P12" s="24"/>
      <c r="Q12" s="24"/>
      <c r="R12" s="24"/>
      <c r="S12" s="24"/>
      <c r="T12" s="25"/>
    </row>
    <row r="13" spans="2:20">
      <c r="B13" s="23"/>
      <c r="C13" s="24"/>
      <c r="D13" s="24" t="s">
        <v>85</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86</v>
      </c>
      <c r="D15" s="24"/>
      <c r="E15" s="24"/>
      <c r="F15" s="24"/>
      <c r="G15" s="24"/>
      <c r="H15" s="24"/>
      <c r="I15" s="24"/>
      <c r="J15" s="24"/>
      <c r="K15" s="24"/>
      <c r="L15" s="24"/>
      <c r="M15" s="24"/>
      <c r="N15" s="24"/>
      <c r="O15" s="24"/>
      <c r="P15" s="24"/>
      <c r="Q15" s="24"/>
      <c r="R15" s="24"/>
      <c r="S15" s="24"/>
      <c r="T15" s="25"/>
    </row>
    <row r="16" spans="2:20">
      <c r="B16" s="23"/>
      <c r="C16" s="24"/>
      <c r="D16" s="24" t="s">
        <v>87</v>
      </c>
      <c r="E16" s="24"/>
      <c r="F16" s="24"/>
      <c r="G16" s="24"/>
      <c r="H16" s="24"/>
      <c r="I16" s="24"/>
      <c r="J16" s="24"/>
      <c r="K16" s="24"/>
      <c r="L16" s="24"/>
      <c r="M16" s="24"/>
      <c r="N16" s="24"/>
      <c r="O16" s="24"/>
      <c r="P16" s="24"/>
      <c r="Q16" s="24"/>
      <c r="R16" s="24"/>
      <c r="S16" s="24"/>
      <c r="T16" s="25"/>
    </row>
    <row r="17" spans="2:20">
      <c r="B17" s="23"/>
      <c r="C17" s="24"/>
      <c r="D17" s="24" t="s">
        <v>88</v>
      </c>
      <c r="E17" s="24"/>
      <c r="F17" s="24"/>
      <c r="G17" s="24"/>
      <c r="H17" s="24"/>
      <c r="I17" s="24"/>
      <c r="J17" s="24"/>
      <c r="K17" s="24"/>
      <c r="L17" s="24"/>
      <c r="M17" s="24"/>
      <c r="N17" s="24"/>
      <c r="O17" s="24"/>
      <c r="P17" s="24"/>
      <c r="Q17" s="24"/>
      <c r="R17" s="24"/>
      <c r="S17" s="24"/>
      <c r="T17" s="25"/>
    </row>
    <row r="18" spans="2:20">
      <c r="B18" s="23"/>
      <c r="C18" s="24"/>
      <c r="D18" s="24" t="s">
        <v>89</v>
      </c>
      <c r="E18" s="24"/>
      <c r="F18" s="24"/>
      <c r="G18" s="24"/>
      <c r="H18" s="24"/>
      <c r="I18" s="24"/>
      <c r="J18" s="24"/>
      <c r="K18" s="24"/>
      <c r="L18" s="24"/>
      <c r="M18" s="24"/>
      <c r="N18" s="24"/>
      <c r="O18" s="24"/>
      <c r="P18" s="24"/>
      <c r="Q18" s="24"/>
      <c r="R18" s="24"/>
      <c r="S18" s="24"/>
      <c r="T18" s="25"/>
    </row>
    <row r="19" spans="2:20">
      <c r="B19" s="23"/>
      <c r="C19" s="24"/>
      <c r="D19" s="24" t="s">
        <v>90</v>
      </c>
      <c r="E19" s="24"/>
      <c r="F19" s="24"/>
      <c r="G19" s="24"/>
      <c r="H19" s="24"/>
      <c r="I19" s="24"/>
      <c r="J19" s="24"/>
      <c r="K19" s="24"/>
      <c r="L19" s="24"/>
      <c r="M19" s="24"/>
      <c r="N19" s="24"/>
      <c r="O19" s="24"/>
      <c r="P19" s="24"/>
      <c r="Q19" s="24"/>
      <c r="R19" s="24"/>
      <c r="S19" s="24"/>
      <c r="T19" s="25"/>
    </row>
    <row r="20" spans="2:20">
      <c r="B20" s="23"/>
      <c r="C20" s="24"/>
      <c r="D20" s="24" t="s">
        <v>91</v>
      </c>
      <c r="E20" s="24"/>
      <c r="F20" s="24"/>
      <c r="G20" s="24"/>
      <c r="H20" s="24"/>
      <c r="I20" s="24"/>
      <c r="J20" s="24"/>
      <c r="K20" s="24"/>
      <c r="L20" s="24"/>
      <c r="M20" s="24"/>
      <c r="N20" s="24"/>
      <c r="O20" s="24"/>
      <c r="P20" s="24"/>
      <c r="Q20" s="24"/>
      <c r="R20" s="24"/>
      <c r="S20" s="24"/>
      <c r="T20" s="25"/>
    </row>
    <row r="21" spans="2:20">
      <c r="B21" s="23"/>
      <c r="C21" s="24"/>
      <c r="D21" s="24" t="s">
        <v>92</v>
      </c>
      <c r="E21" s="24"/>
      <c r="F21" s="24"/>
      <c r="G21" s="24"/>
      <c r="H21" s="24"/>
      <c r="I21" s="24"/>
      <c r="J21" s="24"/>
      <c r="K21" s="24"/>
      <c r="L21" s="24"/>
      <c r="M21" s="24"/>
      <c r="N21" s="24"/>
      <c r="O21" s="24"/>
      <c r="P21" s="24"/>
      <c r="Q21" s="24"/>
      <c r="R21" s="24"/>
      <c r="S21" s="24"/>
      <c r="T21" s="25"/>
    </row>
    <row r="22" spans="2:20">
      <c r="B22" s="23"/>
      <c r="C22" s="24"/>
      <c r="D22" s="24" t="s">
        <v>93</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94</v>
      </c>
      <c r="D24" s="24"/>
      <c r="E24" s="24"/>
      <c r="F24" s="24"/>
      <c r="G24" s="24"/>
      <c r="H24" s="24"/>
      <c r="I24" s="24"/>
      <c r="J24" s="24"/>
      <c r="K24" s="24"/>
      <c r="L24" s="24"/>
      <c r="M24" s="24"/>
      <c r="N24" s="24"/>
      <c r="O24" s="24"/>
      <c r="P24" s="24"/>
      <c r="Q24" s="24"/>
      <c r="R24" s="24"/>
      <c r="S24" s="24"/>
      <c r="T24" s="25"/>
    </row>
    <row r="25" spans="2:20">
      <c r="B25" s="23"/>
      <c r="C25" s="24"/>
      <c r="D25" s="24" t="s">
        <v>95</v>
      </c>
      <c r="E25" s="24"/>
      <c r="F25" s="24"/>
      <c r="G25" s="24"/>
      <c r="H25" s="24"/>
      <c r="I25" s="24"/>
      <c r="J25" s="24"/>
      <c r="K25" s="24"/>
      <c r="L25" s="24"/>
      <c r="M25" s="24"/>
      <c r="N25" s="24"/>
      <c r="O25" s="24"/>
      <c r="P25" s="24"/>
      <c r="Q25" s="24"/>
      <c r="R25" s="24"/>
      <c r="S25" s="24"/>
      <c r="T25" s="25"/>
    </row>
    <row r="26" spans="2:20" ht="27" customHeight="1">
      <c r="B26" s="23"/>
      <c r="C26" s="24"/>
      <c r="D26" s="843" t="s">
        <v>2713</v>
      </c>
      <c r="E26" s="844"/>
      <c r="F26" s="844"/>
      <c r="G26" s="844"/>
      <c r="H26" s="844"/>
      <c r="I26" s="844"/>
      <c r="J26" s="844"/>
      <c r="K26" s="844"/>
      <c r="L26" s="844"/>
      <c r="M26" s="844"/>
      <c r="N26" s="844"/>
      <c r="O26" s="844"/>
      <c r="P26" s="844"/>
      <c r="Q26" s="844"/>
      <c r="R26" s="844"/>
      <c r="S26" s="844"/>
      <c r="T26" s="845"/>
    </row>
    <row r="27" spans="2:20">
      <c r="B27" s="23"/>
      <c r="C27" s="24"/>
      <c r="D27" s="93" t="s">
        <v>1926</v>
      </c>
      <c r="E27" s="24"/>
      <c r="F27" s="24"/>
      <c r="G27" s="24"/>
      <c r="H27" s="24"/>
      <c r="I27" s="24"/>
      <c r="J27" s="24"/>
      <c r="K27" s="24"/>
      <c r="L27" s="24"/>
      <c r="M27" s="24"/>
      <c r="N27" s="24"/>
      <c r="O27" s="24"/>
      <c r="P27" s="24"/>
      <c r="Q27" s="24"/>
      <c r="R27" s="24"/>
      <c r="S27" s="24"/>
      <c r="T27" s="25"/>
    </row>
    <row r="28" spans="2:20">
      <c r="B28" s="23"/>
      <c r="C28" s="24"/>
      <c r="D28" s="24" t="s">
        <v>96</v>
      </c>
      <c r="E28" s="24"/>
      <c r="F28" s="24"/>
      <c r="G28" s="24"/>
      <c r="H28" s="24"/>
      <c r="I28" s="24"/>
      <c r="J28" s="24"/>
      <c r="K28" s="24"/>
      <c r="L28" s="24"/>
      <c r="M28" s="24"/>
      <c r="N28" s="24"/>
      <c r="O28" s="24"/>
      <c r="P28" s="24"/>
      <c r="Q28" s="24"/>
      <c r="R28" s="24"/>
      <c r="S28" s="24"/>
      <c r="T28" s="25"/>
    </row>
    <row r="29" spans="2:20">
      <c r="B29" s="23"/>
      <c r="C29" s="24"/>
      <c r="D29" s="458" t="s">
        <v>2714</v>
      </c>
      <c r="E29" s="24"/>
      <c r="F29" s="24"/>
      <c r="G29" s="24"/>
      <c r="H29" s="24"/>
      <c r="I29" s="24"/>
      <c r="J29" s="24"/>
      <c r="K29" s="24"/>
      <c r="L29" s="24"/>
      <c r="M29" s="24"/>
      <c r="N29" s="24"/>
      <c r="O29" s="24"/>
      <c r="P29" s="24"/>
      <c r="Q29" s="24"/>
      <c r="R29" s="24"/>
      <c r="S29" s="24"/>
      <c r="T29" s="25"/>
    </row>
    <row r="30" spans="2:20">
      <c r="B30" s="23"/>
      <c r="C30" s="24"/>
      <c r="D30" s="24" t="s">
        <v>97</v>
      </c>
      <c r="E30" s="24"/>
      <c r="F30" s="24"/>
      <c r="G30" s="24"/>
      <c r="H30" s="24"/>
      <c r="I30" s="24"/>
      <c r="J30" s="24"/>
      <c r="K30" s="24"/>
      <c r="L30" s="24"/>
      <c r="M30" s="24"/>
      <c r="N30" s="24"/>
      <c r="O30" s="24"/>
      <c r="P30" s="24"/>
      <c r="Q30" s="24"/>
      <c r="R30" s="24"/>
      <c r="S30" s="24"/>
      <c r="T30" s="25"/>
    </row>
    <row r="31" spans="2:20">
      <c r="B31" s="23"/>
      <c r="C31" s="24"/>
      <c r="D31" s="93" t="s">
        <v>1928</v>
      </c>
      <c r="E31" s="24"/>
      <c r="F31" s="24"/>
      <c r="G31" s="24"/>
      <c r="H31" s="24"/>
      <c r="I31" s="24"/>
      <c r="J31" s="24"/>
      <c r="K31" s="24"/>
      <c r="L31" s="24"/>
      <c r="M31" s="24"/>
      <c r="N31" s="24"/>
      <c r="O31" s="24"/>
      <c r="P31" s="24"/>
      <c r="Q31" s="24"/>
      <c r="R31" s="24"/>
      <c r="S31" s="24"/>
      <c r="T31" s="25"/>
    </row>
    <row r="32" spans="2:20">
      <c r="B32" s="23"/>
      <c r="C32" s="24"/>
      <c r="D32" s="24" t="s">
        <v>98</v>
      </c>
      <c r="E32" s="24"/>
      <c r="F32" s="24"/>
      <c r="G32" s="24"/>
      <c r="H32" s="24"/>
      <c r="I32" s="24"/>
      <c r="J32" s="24"/>
      <c r="K32" s="24"/>
      <c r="L32" s="24"/>
      <c r="M32" s="24"/>
      <c r="N32" s="24"/>
      <c r="O32" s="24"/>
      <c r="P32" s="24"/>
      <c r="Q32" s="24"/>
      <c r="R32" s="24"/>
      <c r="S32" s="24"/>
      <c r="T32" s="25"/>
    </row>
    <row r="33" spans="2:20">
      <c r="B33" s="23"/>
      <c r="C33" s="24"/>
      <c r="D33" s="24" t="s">
        <v>99</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100</v>
      </c>
      <c r="D35" s="24"/>
      <c r="E35" s="24"/>
      <c r="F35" s="24"/>
      <c r="G35" s="24"/>
      <c r="H35" s="24"/>
      <c r="I35" s="24"/>
      <c r="J35" s="24"/>
      <c r="K35" s="24"/>
      <c r="L35" s="24"/>
      <c r="M35" s="24"/>
      <c r="N35" s="24"/>
      <c r="O35" s="24"/>
      <c r="P35" s="24"/>
      <c r="Q35" s="24"/>
      <c r="R35" s="24"/>
      <c r="S35" s="24"/>
      <c r="T35" s="25"/>
    </row>
    <row r="36" spans="2:20">
      <c r="B36" s="23"/>
      <c r="C36" s="24"/>
      <c r="D36" s="24" t="s">
        <v>101</v>
      </c>
      <c r="E36" s="24"/>
      <c r="F36" s="24"/>
      <c r="G36" s="24"/>
      <c r="H36" s="24"/>
      <c r="I36" s="24"/>
      <c r="J36" s="24"/>
      <c r="K36" s="24"/>
      <c r="L36" s="24"/>
      <c r="M36" s="24"/>
      <c r="N36" s="24"/>
      <c r="O36" s="24"/>
      <c r="P36" s="24"/>
      <c r="Q36" s="24"/>
      <c r="R36" s="24"/>
      <c r="S36" s="24"/>
      <c r="T36" s="25"/>
    </row>
    <row r="37" spans="2:20">
      <c r="B37" s="23"/>
      <c r="C37" s="24"/>
      <c r="D37" s="24" t="s">
        <v>102</v>
      </c>
      <c r="E37" s="24"/>
      <c r="F37" s="24"/>
      <c r="G37" s="24"/>
      <c r="H37" s="24"/>
      <c r="I37" s="24"/>
      <c r="J37" s="24"/>
      <c r="K37" s="24"/>
      <c r="L37" s="24"/>
      <c r="M37" s="24"/>
      <c r="N37" s="24"/>
      <c r="O37" s="24"/>
      <c r="P37" s="24"/>
      <c r="Q37" s="24"/>
      <c r="R37" s="24"/>
      <c r="S37" s="24"/>
      <c r="T37" s="25"/>
    </row>
    <row r="38" spans="2:20">
      <c r="B38" s="23"/>
      <c r="C38" s="24"/>
      <c r="D38" s="24" t="s">
        <v>103</v>
      </c>
      <c r="E38" s="24"/>
      <c r="F38" s="24"/>
      <c r="G38" s="24"/>
      <c r="H38" s="24"/>
      <c r="I38" s="24"/>
      <c r="J38" s="24"/>
      <c r="K38" s="24"/>
      <c r="L38" s="24"/>
      <c r="M38" s="24"/>
      <c r="N38" s="24"/>
      <c r="O38" s="24"/>
      <c r="P38" s="24"/>
      <c r="Q38" s="24"/>
      <c r="R38" s="24"/>
      <c r="S38" s="24"/>
      <c r="T38" s="25"/>
    </row>
    <row r="39" spans="2:20">
      <c r="B39" s="23"/>
      <c r="C39" s="24"/>
      <c r="D39" s="24" t="s">
        <v>104</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105</v>
      </c>
      <c r="D41" s="24"/>
      <c r="E41" s="24"/>
      <c r="F41" s="24"/>
      <c r="G41" s="24"/>
      <c r="H41" s="24"/>
      <c r="I41" s="24"/>
      <c r="J41" s="24"/>
      <c r="K41" s="24"/>
      <c r="L41" s="24"/>
      <c r="M41" s="24"/>
      <c r="N41" s="24"/>
      <c r="O41" s="24"/>
      <c r="P41" s="24"/>
      <c r="Q41" s="24"/>
      <c r="R41" s="24"/>
      <c r="S41" s="24"/>
      <c r="T41" s="25"/>
    </row>
    <row r="42" spans="2:20">
      <c r="B42" s="23"/>
      <c r="C42" s="24"/>
      <c r="D42" s="24" t="s">
        <v>106</v>
      </c>
      <c r="E42" s="24"/>
      <c r="F42" s="24"/>
      <c r="G42" s="24"/>
      <c r="H42" s="24"/>
      <c r="I42" s="24"/>
      <c r="J42" s="24"/>
      <c r="K42" s="24"/>
      <c r="L42" s="24"/>
      <c r="M42" s="24"/>
      <c r="N42" s="24"/>
      <c r="O42" s="24"/>
      <c r="P42" s="24"/>
      <c r="Q42" s="24"/>
      <c r="R42" s="24"/>
      <c r="S42" s="24"/>
      <c r="T42" s="25"/>
    </row>
    <row r="43" spans="2:20">
      <c r="B43" s="23"/>
      <c r="C43" s="24"/>
      <c r="D43" s="24" t="s">
        <v>107</v>
      </c>
      <c r="E43" s="24"/>
      <c r="F43" s="24"/>
      <c r="G43" s="24"/>
      <c r="H43" s="24"/>
      <c r="I43" s="24"/>
      <c r="J43" s="24"/>
      <c r="K43" s="24"/>
      <c r="L43" s="24"/>
      <c r="M43" s="24"/>
      <c r="N43" s="24"/>
      <c r="O43" s="24"/>
      <c r="P43" s="24"/>
      <c r="Q43" s="24"/>
      <c r="R43" s="24"/>
      <c r="S43" s="24"/>
      <c r="T43" s="25"/>
    </row>
    <row r="44" spans="2:20">
      <c r="B44" s="23"/>
      <c r="C44" s="24"/>
      <c r="D44" s="24" t="s">
        <v>108</v>
      </c>
      <c r="E44" s="24"/>
      <c r="F44" s="24"/>
      <c r="G44" s="24"/>
      <c r="H44" s="24"/>
      <c r="I44" s="24"/>
      <c r="J44" s="24"/>
      <c r="K44" s="24"/>
      <c r="L44" s="24"/>
      <c r="M44" s="24"/>
      <c r="N44" s="24"/>
      <c r="O44" s="24"/>
      <c r="P44" s="24"/>
      <c r="Q44" s="24"/>
      <c r="R44" s="24"/>
      <c r="S44" s="24"/>
      <c r="T44" s="25"/>
    </row>
    <row r="45" spans="2:20">
      <c r="B45" s="23"/>
      <c r="C45" s="24"/>
      <c r="D45" s="24" t="s">
        <v>109</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 thickBot="1">
      <c r="B47" s="27"/>
      <c r="C47" s="28"/>
      <c r="D47" s="28"/>
      <c r="E47" s="28"/>
      <c r="F47" s="28"/>
      <c r="G47" s="28"/>
      <c r="H47" s="28"/>
      <c r="I47" s="28"/>
      <c r="J47" s="28"/>
      <c r="K47" s="28"/>
      <c r="L47" s="28"/>
      <c r="M47" s="28"/>
      <c r="N47" s="28"/>
      <c r="O47" s="28"/>
      <c r="P47" s="28"/>
      <c r="Q47" s="28"/>
      <c r="R47" s="28"/>
      <c r="S47" s="28"/>
      <c r="T47" s="29"/>
    </row>
    <row r="48" spans="2:20" ht="1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CR409"/>
  <sheetViews>
    <sheetView tabSelected="1" zoomScale="89" zoomScaleNormal="89" zoomScaleSheetLayoutView="40" workbookViewId="0">
      <pane xSplit="8" ySplit="6" topLeftCell="I160" activePane="bottomRight" state="frozen"/>
      <selection pane="topRight" activeCell="I1" sqref="I1"/>
      <selection pane="bottomLeft" activeCell="A7" sqref="A7"/>
      <selection pane="bottomRight" activeCell="G19" sqref="G19"/>
    </sheetView>
  </sheetViews>
  <sheetFormatPr defaultColWidth="9" defaultRowHeight="15.6" outlineLevelCol="1"/>
  <cols>
    <col min="1" max="1" width="9.09765625" style="34" customWidth="1"/>
    <col min="2" max="2" width="9" style="34" customWidth="1"/>
    <col min="3" max="3" width="8.19921875" style="20" customWidth="1"/>
    <col min="4" max="4" width="18" style="20" customWidth="1"/>
    <col min="5" max="5" width="15.19921875" style="20" bestFit="1" customWidth="1"/>
    <col min="6" max="6" width="10.09765625" style="20" customWidth="1"/>
    <col min="7" max="7" width="18.5" style="20" customWidth="1"/>
    <col min="8" max="8" width="33.19921875" style="20" customWidth="1"/>
    <col min="9" max="9" width="7.69921875" style="20" customWidth="1"/>
    <col min="10" max="10" width="8.5" style="38" customWidth="1"/>
    <col min="11" max="11" width="14.69921875" style="20" customWidth="1"/>
    <col min="12" max="12" width="17.69921875" customWidth="1"/>
    <col min="13" max="13" width="12.09765625" customWidth="1"/>
    <col min="14" max="14" width="15.19921875" style="33" customWidth="1"/>
    <col min="15" max="16" width="16.5" customWidth="1"/>
    <col min="17" max="18" width="16.69921875" style="31" customWidth="1"/>
    <col min="19" max="20" width="13.09765625" style="31" customWidth="1"/>
    <col min="21" max="21" width="14.59765625" style="31" customWidth="1"/>
    <col min="22" max="22" width="16.5" style="20" customWidth="1"/>
    <col min="23" max="23" width="15.59765625" style="32" customWidth="1"/>
    <col min="24" max="24" width="14.69921875" style="33" customWidth="1"/>
    <col min="25" max="25" width="13.09765625" style="33" customWidth="1"/>
    <col min="26" max="27" width="17.59765625" style="20" customWidth="1"/>
    <col min="28" max="29" width="17.59765625" style="33" customWidth="1"/>
    <col min="30" max="30" width="12.19921875" style="35" customWidth="1"/>
    <col min="31" max="42" width="13.09765625" style="35" customWidth="1"/>
    <col min="43" max="45" width="27" style="35" customWidth="1"/>
    <col min="46" max="46" width="16.19921875" style="33" customWidth="1" outlineLevel="1"/>
    <col min="47" max="47" width="24.19921875" style="33" customWidth="1" outlineLevel="1"/>
    <col min="48" max="48" width="20.59765625" style="33" customWidth="1" outlineLevel="1"/>
    <col min="49" max="49" width="17.09765625" style="33" customWidth="1" outlineLevel="1"/>
    <col min="50" max="50" width="13" style="33" customWidth="1" outlineLevel="1"/>
    <col min="51" max="51" width="15.69921875" style="31" customWidth="1" outlineLevel="1"/>
    <col min="52" max="52" width="22.5" style="31" customWidth="1" outlineLevel="1"/>
    <col min="53" max="53" width="13.09765625" style="31" customWidth="1" outlineLevel="1"/>
    <col min="54" max="54" width="13.09765625" style="33" customWidth="1" outlineLevel="1"/>
    <col min="55" max="55" width="15.5" style="31" customWidth="1" outlineLevel="1"/>
    <col min="56" max="56" width="14" style="31" customWidth="1" outlineLevel="1"/>
    <col min="57" max="58" width="12" style="33" customWidth="1" outlineLevel="1"/>
    <col min="59" max="60" width="19.19921875" style="33" customWidth="1" outlineLevel="1"/>
    <col min="61" max="61" width="9" customWidth="1" outlineLevel="1"/>
    <col min="62" max="62" width="12.09765625" style="32" customWidth="1" outlineLevel="1"/>
    <col min="63" max="63" width="18" customWidth="1" outlineLevel="1"/>
    <col min="64" max="64" width="18" style="470" customWidth="1" outlineLevel="1"/>
    <col min="65" max="65" width="15.5" style="33" customWidth="1" outlineLevel="1"/>
    <col min="66" max="66" width="23.09765625" style="33" customWidth="1" outlineLevel="1"/>
    <col min="67" max="67" width="14.19921875" style="33" customWidth="1" outlineLevel="1"/>
    <col min="68" max="68" width="11.69921875" style="33" customWidth="1" outlineLevel="1"/>
    <col min="69" max="71" width="11.69921875" style="473" customWidth="1" outlineLevel="1"/>
    <col min="72" max="72" width="16.19921875" style="393" customWidth="1" outlineLevel="1"/>
    <col min="73" max="75" width="12" style="33" customWidth="1"/>
    <col min="76" max="76" width="11.69921875" customWidth="1"/>
    <col min="77" max="77" width="13.69921875" style="33" customWidth="1"/>
    <col min="78" max="78" width="13.09765625" style="33" bestFit="1" customWidth="1"/>
    <col min="79" max="79" width="8.69921875" style="35" bestFit="1" customWidth="1"/>
    <col min="80" max="80" width="27.19921875" style="31" customWidth="1"/>
    <col min="81" max="81" width="12" style="31" customWidth="1"/>
    <col min="82" max="83" width="12" style="33" customWidth="1"/>
    <col min="85" max="85" width="15.19921875" style="33" customWidth="1"/>
    <col min="86" max="86" width="10.09765625" style="36" customWidth="1"/>
    <col min="87" max="87" width="12" style="36" customWidth="1"/>
    <col min="88" max="88" width="21.09765625" style="37" bestFit="1" customWidth="1"/>
    <col min="89" max="89" width="11.19921875" style="37" customWidth="1"/>
    <col min="90" max="90" width="13.69921875" style="37" customWidth="1"/>
    <col min="91" max="91" width="24.69921875" style="37" customWidth="1"/>
    <col min="92" max="92" width="9.09765625" style="37" customWidth="1"/>
    <col min="93" max="93" width="10.59765625" style="37" customWidth="1"/>
    <col min="94" max="94" width="15.19921875" style="37" customWidth="1"/>
    <col min="95" max="95" width="9.5" style="37" customWidth="1"/>
    <col min="96" max="96" width="14.5" style="37" customWidth="1"/>
    <col min="97" max="97" width="9" style="20" customWidth="1"/>
    <col min="98" max="16384" width="9" style="20"/>
  </cols>
  <sheetData>
    <row r="1" spans="1:80" s="19" customFormat="1" ht="13.5" hidden="1" customHeight="1" thickBot="1">
      <c r="A1" s="223"/>
      <c r="B1" s="229" t="s">
        <v>2353</v>
      </c>
      <c r="C1" s="229"/>
      <c r="D1" s="229"/>
      <c r="E1" s="227" t="s">
        <v>2351</v>
      </c>
      <c r="F1" s="219"/>
      <c r="G1" s="219"/>
      <c r="H1" s="219"/>
      <c r="I1" s="219"/>
      <c r="J1" s="219"/>
      <c r="K1" s="849" t="s">
        <v>2352</v>
      </c>
      <c r="L1" s="850"/>
      <c r="M1" s="69"/>
      <c r="N1" s="69"/>
      <c r="O1" s="224" t="s">
        <v>1982</v>
      </c>
      <c r="P1" s="224"/>
      <c r="Q1" s="224"/>
      <c r="R1" s="224"/>
      <c r="S1" s="224"/>
      <c r="T1" s="224"/>
      <c r="U1" s="224"/>
      <c r="V1" s="225" t="s">
        <v>1983</v>
      </c>
      <c r="W1" s="225"/>
      <c r="X1" s="225"/>
      <c r="Y1" s="225"/>
      <c r="Z1" s="225"/>
      <c r="AA1" s="225"/>
      <c r="AB1" s="225"/>
      <c r="AC1" s="225"/>
      <c r="AD1" s="226" t="s">
        <v>1984</v>
      </c>
      <c r="AE1" s="226"/>
      <c r="AF1" s="226"/>
      <c r="AG1" s="226"/>
      <c r="AH1" s="226"/>
      <c r="AI1" s="226"/>
      <c r="AJ1" s="226"/>
      <c r="AK1" s="226"/>
      <c r="AL1" s="226"/>
      <c r="AM1" s="226"/>
      <c r="AN1" s="226"/>
      <c r="AO1" s="632" t="s">
        <v>2938</v>
      </c>
      <c r="AP1" s="632"/>
      <c r="AQ1" s="632"/>
      <c r="AR1" s="632"/>
      <c r="AS1" s="632"/>
      <c r="AT1" s="70"/>
      <c r="AU1" s="72"/>
      <c r="AV1" s="70"/>
      <c r="AW1" s="70"/>
      <c r="AX1" s="70"/>
      <c r="AY1" s="72"/>
      <c r="AZ1" s="72"/>
      <c r="BA1" s="70"/>
      <c r="BB1" s="70"/>
      <c r="BC1" s="70"/>
      <c r="BD1" s="70"/>
      <c r="BE1" s="70"/>
      <c r="BF1" s="72"/>
      <c r="BG1" s="72"/>
      <c r="BH1" s="70"/>
      <c r="BI1" s="70"/>
      <c r="BJ1" s="70"/>
      <c r="BK1" s="72"/>
      <c r="BL1" s="72"/>
      <c r="BM1" s="72"/>
      <c r="BN1" s="70"/>
      <c r="BO1" s="70"/>
      <c r="BP1" s="70"/>
      <c r="BQ1" s="70"/>
      <c r="BR1" s="70"/>
      <c r="BS1" s="70"/>
      <c r="BT1" s="70"/>
      <c r="BU1" s="143"/>
      <c r="BV1" s="143"/>
      <c r="BW1" s="143"/>
      <c r="BX1" s="143"/>
      <c r="BY1" s="143"/>
      <c r="BZ1" s="143"/>
      <c r="CA1" s="143"/>
      <c r="CB1" s="143"/>
    </row>
    <row r="2" spans="1:80" s="550" customFormat="1" ht="14.7" hidden="1" customHeight="1" thickBot="1">
      <c r="A2" s="218" t="s">
        <v>0</v>
      </c>
      <c r="B2" s="228" t="s">
        <v>1</v>
      </c>
      <c r="C2" s="228" t="s">
        <v>2</v>
      </c>
      <c r="D2" s="228" t="s">
        <v>3</v>
      </c>
      <c r="E2" s="219" t="s">
        <v>4</v>
      </c>
      <c r="F2" s="219" t="s">
        <v>1150</v>
      </c>
      <c r="G2" s="219" t="s">
        <v>5</v>
      </c>
      <c r="H2" s="219" t="s">
        <v>6</v>
      </c>
      <c r="I2" s="219" t="s">
        <v>49</v>
      </c>
      <c r="J2" s="219" t="s">
        <v>50</v>
      </c>
      <c r="K2" s="217" t="s">
        <v>53</v>
      </c>
      <c r="L2" s="217" t="s">
        <v>55</v>
      </c>
      <c r="M2" s="218" t="s">
        <v>57</v>
      </c>
      <c r="N2" s="218" t="s">
        <v>110</v>
      </c>
      <c r="O2" s="543" t="s">
        <v>111</v>
      </c>
      <c r="P2" s="543" t="s">
        <v>59</v>
      </c>
      <c r="Q2" s="543" t="s">
        <v>58</v>
      </c>
      <c r="R2" s="543" t="s">
        <v>60</v>
      </c>
      <c r="S2" s="543" t="s">
        <v>1151</v>
      </c>
      <c r="T2" s="543" t="s">
        <v>62</v>
      </c>
      <c r="U2" s="543" t="s">
        <v>63</v>
      </c>
      <c r="V2" s="540" t="s">
        <v>64</v>
      </c>
      <c r="W2" s="540" t="s">
        <v>65</v>
      </c>
      <c r="X2" s="540" t="s">
        <v>1152</v>
      </c>
      <c r="Y2" s="540" t="s">
        <v>66</v>
      </c>
      <c r="Z2" s="540" t="s">
        <v>67</v>
      </c>
      <c r="AA2" s="540" t="s">
        <v>68</v>
      </c>
      <c r="AB2" s="540" t="s">
        <v>69</v>
      </c>
      <c r="AC2" s="540" t="s">
        <v>1301</v>
      </c>
      <c r="AD2" s="541" t="s">
        <v>1302</v>
      </c>
      <c r="AE2" s="541" t="s">
        <v>1303</v>
      </c>
      <c r="AF2" s="541" t="s">
        <v>1304</v>
      </c>
      <c r="AG2" s="541" t="s">
        <v>1305</v>
      </c>
      <c r="AH2" s="541" t="s">
        <v>1306</v>
      </c>
      <c r="AI2" s="541" t="s">
        <v>1307</v>
      </c>
      <c r="AJ2" s="541" t="s">
        <v>1308</v>
      </c>
      <c r="AK2" s="541" t="s">
        <v>1309</v>
      </c>
      <c r="AL2" s="541" t="s">
        <v>1310</v>
      </c>
      <c r="AM2" s="541" t="s">
        <v>1969</v>
      </c>
      <c r="AN2" s="541" t="s">
        <v>1970</v>
      </c>
      <c r="AO2" s="542" t="s">
        <v>2210</v>
      </c>
      <c r="AP2" s="542" t="s">
        <v>2318</v>
      </c>
      <c r="AQ2" s="696" t="s">
        <v>2319</v>
      </c>
      <c r="AR2" s="696" t="s">
        <v>2320</v>
      </c>
      <c r="AS2" s="696" t="s">
        <v>2321</v>
      </c>
      <c r="AT2" s="851"/>
      <c r="AU2" s="846" t="s">
        <v>2492</v>
      </c>
      <c r="AV2" s="852" t="s">
        <v>2022</v>
      </c>
      <c r="AW2" s="853"/>
      <c r="AX2" s="846"/>
      <c r="AY2" s="846" t="s">
        <v>73</v>
      </c>
      <c r="AZ2" s="865"/>
      <c r="BA2" s="868" t="s">
        <v>2498</v>
      </c>
      <c r="BB2" s="869"/>
      <c r="BC2" s="861" t="s">
        <v>2497</v>
      </c>
      <c r="BD2" s="862"/>
      <c r="BE2" s="526"/>
      <c r="BF2" s="867" t="s">
        <v>2501</v>
      </c>
      <c r="BG2" s="867"/>
      <c r="BH2" s="856"/>
      <c r="BI2" s="857" t="s">
        <v>1922</v>
      </c>
      <c r="BJ2" s="858"/>
      <c r="BK2" s="544" t="s">
        <v>1886</v>
      </c>
      <c r="BL2" s="544"/>
      <c r="BM2" s="545"/>
      <c r="BN2" s="546"/>
      <c r="BO2" s="547" t="s">
        <v>1922</v>
      </c>
      <c r="BP2" s="548"/>
      <c r="BQ2" s="548"/>
      <c r="BR2" s="548"/>
      <c r="BS2" s="548"/>
      <c r="BT2" s="545"/>
      <c r="BU2" s="549" t="s">
        <v>7</v>
      </c>
      <c r="BV2" s="549" t="s">
        <v>8</v>
      </c>
      <c r="BW2" s="549" t="s">
        <v>2899</v>
      </c>
      <c r="BX2" s="549" t="s">
        <v>9</v>
      </c>
      <c r="BY2" s="549" t="s">
        <v>10</v>
      </c>
      <c r="BZ2" s="549" t="s">
        <v>11</v>
      </c>
      <c r="CA2" s="549" t="s">
        <v>12</v>
      </c>
      <c r="CB2" s="549" t="s">
        <v>13</v>
      </c>
    </row>
    <row r="3" spans="1:80" s="250" customFormat="1" ht="28.5" hidden="1" customHeight="1" thickBot="1">
      <c r="A3" s="307" t="s">
        <v>2360</v>
      </c>
      <c r="B3" s="308" t="s">
        <v>2361</v>
      </c>
      <c r="C3" s="308" t="s">
        <v>2362</v>
      </c>
      <c r="D3" s="308" t="s">
        <v>2363</v>
      </c>
      <c r="E3" s="309" t="s">
        <v>2364</v>
      </c>
      <c r="F3" s="309" t="s">
        <v>2365</v>
      </c>
      <c r="G3" s="309" t="s">
        <v>2366</v>
      </c>
      <c r="H3" s="309" t="s">
        <v>2367</v>
      </c>
      <c r="I3" s="309" t="s">
        <v>2409</v>
      </c>
      <c r="J3" s="309" t="s">
        <v>2408</v>
      </c>
      <c r="K3" s="310" t="s">
        <v>2368</v>
      </c>
      <c r="L3" s="310" t="s">
        <v>2369</v>
      </c>
      <c r="M3" s="307" t="s">
        <v>2466</v>
      </c>
      <c r="N3" s="307" t="s">
        <v>2373</v>
      </c>
      <c r="O3" s="311"/>
      <c r="P3" s="311"/>
      <c r="Q3" s="311"/>
      <c r="R3" s="311"/>
      <c r="S3" s="311"/>
      <c r="T3" s="311"/>
      <c r="U3" s="311"/>
      <c r="V3" s="312"/>
      <c r="W3" s="312"/>
      <c r="X3" s="312"/>
      <c r="Y3" s="313"/>
      <c r="Z3" s="314"/>
      <c r="AA3" s="308"/>
      <c r="AB3" s="315"/>
      <c r="AC3" s="316"/>
      <c r="AD3" s="317"/>
      <c r="AE3" s="317"/>
      <c r="AF3" s="317"/>
      <c r="AG3" s="318"/>
      <c r="AH3" s="317"/>
      <c r="AI3" s="317"/>
      <c r="AJ3" s="319"/>
      <c r="AK3" s="317"/>
      <c r="AL3" s="317"/>
      <c r="AM3" s="317"/>
      <c r="AN3" s="319"/>
      <c r="AO3" s="319"/>
      <c r="AP3" s="319"/>
      <c r="AQ3" s="682"/>
      <c r="AR3" s="682"/>
      <c r="AS3" s="682"/>
      <c r="AT3" s="851"/>
      <c r="AU3" s="846"/>
      <c r="AV3" s="854"/>
      <c r="AW3" s="855"/>
      <c r="AX3" s="846"/>
      <c r="AY3" s="846" t="s">
        <v>73</v>
      </c>
      <c r="AZ3" s="866"/>
      <c r="BA3" s="870"/>
      <c r="BB3" s="871"/>
      <c r="BC3" s="863"/>
      <c r="BD3" s="864"/>
      <c r="BE3" s="427"/>
      <c r="BF3" s="867" t="s">
        <v>2501</v>
      </c>
      <c r="BG3" s="867"/>
      <c r="BH3" s="856"/>
      <c r="BI3" s="859"/>
      <c r="BJ3" s="860"/>
      <c r="BK3" s="360" t="s">
        <v>2504</v>
      </c>
      <c r="BL3" s="360"/>
      <c r="BM3" s="365" t="s">
        <v>1628</v>
      </c>
      <c r="BN3" s="367"/>
      <c r="BO3" s="374"/>
      <c r="BP3" s="371"/>
      <c r="BQ3" s="371"/>
      <c r="BR3" s="371"/>
      <c r="BS3" s="371"/>
      <c r="BT3" s="359"/>
      <c r="BU3" s="249"/>
      <c r="BV3" s="249"/>
      <c r="BW3" s="249"/>
      <c r="BX3" s="249"/>
      <c r="BY3" s="249"/>
      <c r="BZ3" s="249"/>
      <c r="CA3" s="249"/>
      <c r="CB3" s="249"/>
    </row>
    <row r="4" spans="1:80" s="264" customFormat="1" ht="60.6" customHeight="1" thickBot="1">
      <c r="A4" s="302" t="s">
        <v>2293</v>
      </c>
      <c r="B4" s="303" t="s">
        <v>2295</v>
      </c>
      <c r="C4" s="303" t="s">
        <v>2297</v>
      </c>
      <c r="D4" s="303" t="s">
        <v>2299</v>
      </c>
      <c r="E4" s="304" t="s">
        <v>19</v>
      </c>
      <c r="F4" s="304" t="s">
        <v>20</v>
      </c>
      <c r="G4" s="304" t="s">
        <v>2301</v>
      </c>
      <c r="H4" s="304" t="s">
        <v>2303</v>
      </c>
      <c r="I4" s="304" t="s">
        <v>22</v>
      </c>
      <c r="J4" s="304" t="s">
        <v>1892</v>
      </c>
      <c r="K4" s="305" t="s">
        <v>2305</v>
      </c>
      <c r="L4" s="305" t="s">
        <v>2307</v>
      </c>
      <c r="M4" s="302" t="s">
        <v>2888</v>
      </c>
      <c r="N4" s="302" t="s">
        <v>2309</v>
      </c>
      <c r="O4" s="306" t="s">
        <v>2835</v>
      </c>
      <c r="P4" s="306" t="s">
        <v>2834</v>
      </c>
      <c r="Q4" s="306" t="s">
        <v>2828</v>
      </c>
      <c r="R4" s="306" t="s">
        <v>2991</v>
      </c>
      <c r="S4" s="306" t="s">
        <v>2833</v>
      </c>
      <c r="T4" s="306" t="s">
        <v>2838</v>
      </c>
      <c r="U4" s="306" t="s">
        <v>2825</v>
      </c>
      <c r="V4" s="202" t="s">
        <v>2837</v>
      </c>
      <c r="W4" s="202" t="s">
        <v>2836</v>
      </c>
      <c r="X4" s="202" t="s">
        <v>2839</v>
      </c>
      <c r="Y4" s="202" t="s">
        <v>2840</v>
      </c>
      <c r="Z4" s="202" t="s">
        <v>2842</v>
      </c>
      <c r="AA4" s="202" t="s">
        <v>2841</v>
      </c>
      <c r="AB4" s="202" t="s">
        <v>2843</v>
      </c>
      <c r="AC4" s="202" t="s">
        <v>2826</v>
      </c>
      <c r="AD4" s="378" t="s">
        <v>2844</v>
      </c>
      <c r="AE4" s="378" t="s">
        <v>2845</v>
      </c>
      <c r="AF4" s="378" t="s">
        <v>2846</v>
      </c>
      <c r="AG4" s="378" t="s">
        <v>2847</v>
      </c>
      <c r="AH4" s="378" t="s">
        <v>2848</v>
      </c>
      <c r="AI4" s="378" t="s">
        <v>2849</v>
      </c>
      <c r="AJ4" s="378" t="s">
        <v>2881</v>
      </c>
      <c r="AK4" s="378" t="s">
        <v>2851</v>
      </c>
      <c r="AL4" s="378" t="s">
        <v>2934</v>
      </c>
      <c r="AM4" s="378" t="s">
        <v>2935</v>
      </c>
      <c r="AN4" s="378" t="s">
        <v>2827</v>
      </c>
      <c r="AO4" s="535" t="s">
        <v>2855</v>
      </c>
      <c r="AP4" s="535" t="s">
        <v>2854</v>
      </c>
      <c r="AQ4" s="682" t="s">
        <v>3127</v>
      </c>
      <c r="AR4" s="682" t="s">
        <v>3129</v>
      </c>
      <c r="AS4" s="682" t="s">
        <v>3130</v>
      </c>
      <c r="AT4" s="321" t="s">
        <v>112</v>
      </c>
      <c r="AU4" s="330" t="s">
        <v>113</v>
      </c>
      <c r="AV4" s="320" t="s">
        <v>1889</v>
      </c>
      <c r="AW4" s="330" t="s">
        <v>114</v>
      </c>
      <c r="AX4" s="320" t="s">
        <v>115</v>
      </c>
      <c r="AY4" s="329" t="s">
        <v>2495</v>
      </c>
      <c r="AZ4" s="328" t="s">
        <v>116</v>
      </c>
      <c r="BA4" s="323" t="s">
        <v>117</v>
      </c>
      <c r="BB4" s="340" t="s">
        <v>2502</v>
      </c>
      <c r="BC4" s="337" t="s">
        <v>118</v>
      </c>
      <c r="BD4" s="328" t="s">
        <v>119</v>
      </c>
      <c r="BE4" s="342" t="s">
        <v>2656</v>
      </c>
      <c r="BF4" s="344" t="s">
        <v>2500</v>
      </c>
      <c r="BG4" s="343" t="s">
        <v>2359</v>
      </c>
      <c r="BH4" s="349" t="s">
        <v>121</v>
      </c>
      <c r="BI4" s="352" t="s">
        <v>120</v>
      </c>
      <c r="BJ4" s="353" t="s">
        <v>2655</v>
      </c>
      <c r="BK4" s="358" t="s">
        <v>74</v>
      </c>
      <c r="BL4" s="358"/>
      <c r="BM4" s="364" t="s">
        <v>2505</v>
      </c>
      <c r="BN4" s="366" t="s">
        <v>122</v>
      </c>
      <c r="BO4" s="375" t="s">
        <v>2443</v>
      </c>
      <c r="BP4" s="370" t="s">
        <v>123</v>
      </c>
      <c r="BQ4" s="370"/>
      <c r="BR4" s="370"/>
      <c r="BS4" s="370"/>
      <c r="BT4" s="358" t="s">
        <v>2898</v>
      </c>
      <c r="BU4" s="263" t="s">
        <v>125</v>
      </c>
      <c r="BV4" s="263" t="s">
        <v>27</v>
      </c>
      <c r="BW4" s="263" t="s">
        <v>28</v>
      </c>
      <c r="BX4" s="263" t="s">
        <v>29</v>
      </c>
      <c r="BY4" s="263" t="s">
        <v>30</v>
      </c>
      <c r="BZ4" s="263" t="s">
        <v>31</v>
      </c>
      <c r="CA4" s="263" t="s">
        <v>32</v>
      </c>
      <c r="CB4" s="263" t="s">
        <v>33</v>
      </c>
    </row>
    <row r="5" spans="1:80" s="270" customFormat="1" ht="27" customHeight="1" thickBot="1">
      <c r="A5" s="265" t="s">
        <v>14</v>
      </c>
      <c r="B5" s="266" t="s">
        <v>14</v>
      </c>
      <c r="C5" s="266" t="s">
        <v>14</v>
      </c>
      <c r="D5" s="266" t="s">
        <v>16</v>
      </c>
      <c r="E5" s="267" t="s">
        <v>14</v>
      </c>
      <c r="F5" s="267" t="s">
        <v>14</v>
      </c>
      <c r="G5" s="267" t="s">
        <v>2436</v>
      </c>
      <c r="H5" s="267" t="s">
        <v>14</v>
      </c>
      <c r="I5" s="267" t="s">
        <v>15</v>
      </c>
      <c r="J5" s="267" t="s">
        <v>15</v>
      </c>
      <c r="K5" s="268" t="s">
        <v>17</v>
      </c>
      <c r="L5" s="268" t="s">
        <v>17</v>
      </c>
      <c r="M5" s="265" t="s">
        <v>15</v>
      </c>
      <c r="N5" s="265" t="s">
        <v>15</v>
      </c>
      <c r="O5" s="552" t="s">
        <v>15</v>
      </c>
      <c r="P5" s="552" t="s">
        <v>15</v>
      </c>
      <c r="Q5" s="552" t="s">
        <v>15</v>
      </c>
      <c r="R5" s="552" t="s">
        <v>2992</v>
      </c>
      <c r="S5" s="552" t="s">
        <v>15</v>
      </c>
      <c r="T5" s="552" t="s">
        <v>15</v>
      </c>
      <c r="U5" s="552" t="s">
        <v>16</v>
      </c>
      <c r="V5" s="553" t="s">
        <v>15</v>
      </c>
      <c r="W5" s="553" t="s">
        <v>2310</v>
      </c>
      <c r="X5" s="553" t="s">
        <v>15</v>
      </c>
      <c r="Y5" s="553" t="s">
        <v>15</v>
      </c>
      <c r="Z5" s="553" t="s">
        <v>15</v>
      </c>
      <c r="AA5" s="553" t="s">
        <v>15</v>
      </c>
      <c r="AB5" s="553" t="s">
        <v>15</v>
      </c>
      <c r="AC5" s="553" t="s">
        <v>16</v>
      </c>
      <c r="AD5" s="554" t="s">
        <v>15</v>
      </c>
      <c r="AE5" s="554" t="s">
        <v>15</v>
      </c>
      <c r="AF5" s="554" t="s">
        <v>15</v>
      </c>
      <c r="AG5" s="554" t="s">
        <v>15</v>
      </c>
      <c r="AH5" s="554" t="s">
        <v>15</v>
      </c>
      <c r="AI5" s="554" t="s">
        <v>15</v>
      </c>
      <c r="AJ5" s="554" t="s">
        <v>15</v>
      </c>
      <c r="AK5" s="554" t="s">
        <v>15</v>
      </c>
      <c r="AL5" s="554" t="s">
        <v>15</v>
      </c>
      <c r="AM5" s="554" t="s">
        <v>15</v>
      </c>
      <c r="AN5" s="554" t="s">
        <v>16</v>
      </c>
      <c r="AO5" s="555" t="s">
        <v>54</v>
      </c>
      <c r="AP5" s="555" t="s">
        <v>54</v>
      </c>
      <c r="AQ5" s="694" t="s">
        <v>15</v>
      </c>
      <c r="AR5" s="694" t="s">
        <v>15</v>
      </c>
      <c r="AS5" s="694" t="s">
        <v>15</v>
      </c>
      <c r="AT5" s="322" t="s">
        <v>54</v>
      </c>
      <c r="AU5" s="326" t="s">
        <v>15</v>
      </c>
      <c r="AV5" s="322" t="s">
        <v>54</v>
      </c>
      <c r="AW5" s="332" t="s">
        <v>15</v>
      </c>
      <c r="AX5" s="332"/>
      <c r="AY5" s="332"/>
      <c r="AZ5" s="335"/>
      <c r="BA5" s="847" t="s">
        <v>2023</v>
      </c>
      <c r="BB5" s="848"/>
      <c r="BC5" s="338" t="s">
        <v>15</v>
      </c>
      <c r="BD5" s="335" t="s">
        <v>15</v>
      </c>
      <c r="BE5" s="345" t="s">
        <v>54</v>
      </c>
      <c r="BF5" s="346" t="s">
        <v>15</v>
      </c>
      <c r="BG5" s="347"/>
      <c r="BH5" s="350" t="s">
        <v>15</v>
      </c>
      <c r="BI5" s="354" t="s">
        <v>15</v>
      </c>
      <c r="BJ5" s="355" t="s">
        <v>54</v>
      </c>
      <c r="BK5" s="361" t="s">
        <v>15</v>
      </c>
      <c r="BL5" s="361" t="s">
        <v>15</v>
      </c>
      <c r="BM5" s="362"/>
      <c r="BN5" s="368" t="s">
        <v>54</v>
      </c>
      <c r="BO5" s="376" t="s">
        <v>54</v>
      </c>
      <c r="BP5" s="372" t="s">
        <v>54</v>
      </c>
      <c r="BQ5" s="456"/>
      <c r="BR5" s="456"/>
      <c r="BS5" s="456"/>
      <c r="BT5" s="456"/>
      <c r="BU5" s="269"/>
      <c r="BV5" s="269"/>
      <c r="BW5" s="269"/>
      <c r="BX5" s="269"/>
      <c r="BY5" s="269"/>
      <c r="BZ5" s="269"/>
      <c r="CA5" s="269"/>
      <c r="CB5" s="269"/>
    </row>
    <row r="6" spans="1:80" s="234" customFormat="1" ht="48.75" customHeight="1" thickTop="1" thickBot="1">
      <c r="A6" s="230" t="s">
        <v>18</v>
      </c>
      <c r="B6" s="220" t="s">
        <v>2295</v>
      </c>
      <c r="C6" s="220" t="s">
        <v>2297</v>
      </c>
      <c r="D6" s="220" t="s">
        <v>24</v>
      </c>
      <c r="E6" s="221" t="s">
        <v>19</v>
      </c>
      <c r="F6" s="221" t="s">
        <v>20</v>
      </c>
      <c r="G6" s="221" t="s">
        <v>124</v>
      </c>
      <c r="H6" s="221" t="s">
        <v>2895</v>
      </c>
      <c r="I6" s="221" t="s">
        <v>22</v>
      </c>
      <c r="J6" s="221" t="s">
        <v>23</v>
      </c>
      <c r="K6" s="222" t="s">
        <v>2305</v>
      </c>
      <c r="L6" s="222" t="s">
        <v>2307</v>
      </c>
      <c r="M6" s="230" t="s">
        <v>2888</v>
      </c>
      <c r="N6" s="230" t="s">
        <v>51</v>
      </c>
      <c r="O6" s="306" t="s">
        <v>2859</v>
      </c>
      <c r="P6" s="306" t="s">
        <v>2860</v>
      </c>
      <c r="Q6" s="306" t="s">
        <v>2857</v>
      </c>
      <c r="R6" s="306" t="s">
        <v>2993</v>
      </c>
      <c r="S6" s="306" t="s">
        <v>2861</v>
      </c>
      <c r="T6" s="306" t="s">
        <v>2858</v>
      </c>
      <c r="U6" s="306" t="s">
        <v>2862</v>
      </c>
      <c r="V6" s="202" t="s">
        <v>2863</v>
      </c>
      <c r="W6" s="202" t="s">
        <v>2864</v>
      </c>
      <c r="X6" s="202" t="s">
        <v>2865</v>
      </c>
      <c r="Y6" s="202" t="s">
        <v>2867</v>
      </c>
      <c r="Z6" s="202" t="s">
        <v>2868</v>
      </c>
      <c r="AA6" s="202" t="s">
        <v>2866</v>
      </c>
      <c r="AB6" s="202" t="s">
        <v>2869</v>
      </c>
      <c r="AC6" s="556" t="s">
        <v>2870</v>
      </c>
      <c r="AD6" s="378" t="s">
        <v>2871</v>
      </c>
      <c r="AE6" s="378" t="s">
        <v>2872</v>
      </c>
      <c r="AF6" s="378" t="s">
        <v>2873</v>
      </c>
      <c r="AG6" s="378" t="s">
        <v>2874</v>
      </c>
      <c r="AH6" s="378" t="s">
        <v>2875</v>
      </c>
      <c r="AI6" s="378" t="s">
        <v>2876</v>
      </c>
      <c r="AJ6" s="378" t="s">
        <v>2880</v>
      </c>
      <c r="AK6" s="378" t="s">
        <v>2877</v>
      </c>
      <c r="AL6" s="378" t="s">
        <v>2936</v>
      </c>
      <c r="AM6" s="378" t="s">
        <v>2937</v>
      </c>
      <c r="AN6" s="378" t="s">
        <v>2882</v>
      </c>
      <c r="AO6" s="535" t="s">
        <v>2878</v>
      </c>
      <c r="AP6" s="535" t="s">
        <v>2879</v>
      </c>
      <c r="AQ6" s="697" t="s">
        <v>3147</v>
      </c>
      <c r="AR6" s="697" t="s">
        <v>3148</v>
      </c>
      <c r="AS6" s="698" t="s">
        <v>3149</v>
      </c>
      <c r="AT6" s="327" t="s">
        <v>1629</v>
      </c>
      <c r="AU6" s="331" t="s">
        <v>2494</v>
      </c>
      <c r="AV6" s="333" t="s">
        <v>2653</v>
      </c>
      <c r="AW6" s="331" t="s">
        <v>1636</v>
      </c>
      <c r="AX6" s="334" t="s">
        <v>2493</v>
      </c>
      <c r="AY6" s="379" t="s">
        <v>73</v>
      </c>
      <c r="AZ6" s="336" t="s">
        <v>1630</v>
      </c>
      <c r="BA6" s="324" t="s">
        <v>1923</v>
      </c>
      <c r="BB6" s="325" t="s">
        <v>2496</v>
      </c>
      <c r="BC6" s="339" t="s">
        <v>1631</v>
      </c>
      <c r="BD6" s="341" t="s">
        <v>119</v>
      </c>
      <c r="BE6" s="348" t="s">
        <v>2656</v>
      </c>
      <c r="BF6" s="380" t="s">
        <v>2501</v>
      </c>
      <c r="BG6" s="348" t="s">
        <v>2499</v>
      </c>
      <c r="BH6" s="351" t="s">
        <v>121</v>
      </c>
      <c r="BI6" s="356" t="s">
        <v>120</v>
      </c>
      <c r="BJ6" s="357" t="s">
        <v>1924</v>
      </c>
      <c r="BK6" s="363" t="s">
        <v>2897</v>
      </c>
      <c r="BL6" s="363" t="s">
        <v>2896</v>
      </c>
      <c r="BM6" s="381" t="s">
        <v>2503</v>
      </c>
      <c r="BN6" s="369" t="s">
        <v>1632</v>
      </c>
      <c r="BO6" s="377" t="s">
        <v>1633</v>
      </c>
      <c r="BP6" s="373" t="s">
        <v>1634</v>
      </c>
      <c r="BQ6" s="633" t="s">
        <v>2943</v>
      </c>
      <c r="BR6" s="422" t="s">
        <v>2944</v>
      </c>
      <c r="BS6" s="370" t="s">
        <v>2945</v>
      </c>
      <c r="BT6" s="422" t="s">
        <v>2898</v>
      </c>
      <c r="BU6" s="231" t="s">
        <v>125</v>
      </c>
      <c r="BV6" s="231" t="s">
        <v>27</v>
      </c>
      <c r="BW6" s="231" t="s">
        <v>28</v>
      </c>
      <c r="BX6" s="231" t="s">
        <v>29</v>
      </c>
      <c r="BY6" s="231" t="s">
        <v>30</v>
      </c>
      <c r="BZ6" s="231" t="s">
        <v>31</v>
      </c>
      <c r="CA6" s="232" t="s">
        <v>32</v>
      </c>
      <c r="CB6" s="233" t="s">
        <v>33</v>
      </c>
    </row>
    <row r="7" spans="1:80">
      <c r="A7" s="641" t="s">
        <v>3150</v>
      </c>
      <c r="B7" s="641" t="s">
        <v>2994</v>
      </c>
      <c r="C7" s="642"/>
      <c r="D7" s="642" t="s">
        <v>231</v>
      </c>
      <c r="E7" s="643" t="s">
        <v>698</v>
      </c>
      <c r="F7" s="642" t="s">
        <v>1234</v>
      </c>
      <c r="G7" s="644" t="str">
        <f>VLOOKUP(WWWW[[#This Row],[Village  Name]],SiteDB6[[Site Name]:[Location Type]],8,FALSE)</f>
        <v>Village</v>
      </c>
      <c r="H7" s="642" t="s">
        <v>2995</v>
      </c>
      <c r="I7" s="646"/>
      <c r="J7" s="646">
        <v>133</v>
      </c>
      <c r="K7" s="647">
        <v>43258</v>
      </c>
      <c r="L7" s="648">
        <v>43830</v>
      </c>
      <c r="M7" s="646"/>
      <c r="N7" s="646"/>
      <c r="O7" s="524"/>
      <c r="P7" s="646"/>
      <c r="Q7" s="646"/>
      <c r="R7" s="646"/>
      <c r="S7" s="646"/>
      <c r="T7" s="646"/>
      <c r="U7" s="649"/>
      <c r="V7" s="646"/>
      <c r="W7" s="646"/>
      <c r="X7" s="646"/>
      <c r="Y7" s="646"/>
      <c r="Z7" s="646"/>
      <c r="AA7" s="646"/>
      <c r="AB7" s="646"/>
      <c r="AC7" s="649"/>
      <c r="AD7" s="646">
        <v>104</v>
      </c>
      <c r="AE7" s="646">
        <v>189</v>
      </c>
      <c r="AF7" s="646">
        <v>1</v>
      </c>
      <c r="AG7" s="646">
        <v>1</v>
      </c>
      <c r="AH7" s="646"/>
      <c r="AI7" s="646"/>
      <c r="AJ7" s="524"/>
      <c r="AK7" s="646"/>
      <c r="AL7" s="524"/>
      <c r="AM7" s="524"/>
      <c r="AN7" s="649"/>
      <c r="AO7" s="477"/>
      <c r="AP7" s="477"/>
      <c r="AQ7" s="524"/>
      <c r="AR7" s="524"/>
      <c r="AS7" s="524"/>
      <c r="AT7"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7" s="651">
        <f>WWWW[[#This Row],[%Equitable and continuous access to sufficient quantity of safe drinking water]]*WWWW[[#This Row],[Total PoP ]]</f>
        <v>0</v>
      </c>
      <c r="AV7"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7" s="651">
        <f>WWWW[[#This Row],[% Access to unimproved water points]]*WWWW[[#This Row],[Total PoP ]]</f>
        <v>0</v>
      </c>
      <c r="AX7"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7"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7" s="651">
        <f>WWWW[[#This Row],[HRP1]]/250</f>
        <v>0</v>
      </c>
      <c r="BA7" s="653">
        <f>1-WWWW[[#This Row],[% Equitable and continuous access to sufficient quantity of domestic water]]</f>
        <v>1</v>
      </c>
      <c r="BB7" s="651">
        <f>WWWW[[#This Row],[%equitable and continuous access to sufficient quantity of safe drinking and domestic water''s GAP]]*WWWW[[#This Row],[Total PoP ]]</f>
        <v>133</v>
      </c>
      <c r="BC7" s="654">
        <f>IF(WWWW[[#This Row],[Total required water points]]-WWWW[[#This Row],['#Water points coverage]]&lt;0,0,WWWW[[#This Row],[Total required water points]]-WWWW[[#This Row],['#Water points coverage]])</f>
        <v>1</v>
      </c>
      <c r="BD7" s="654">
        <f>ROUND(IF(WWWW[[#This Row],[Total PoP ]]&lt;250,1,WWWW[[#This Row],[Total PoP ]]/250),0)</f>
        <v>1</v>
      </c>
      <c r="BE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7" s="651">
        <f>WWWW[[#This Row],[% people access to functioning Latrine]]*WWWW[[#This Row],[Total PoP ]]</f>
        <v>0</v>
      </c>
      <c r="BG7" s="654">
        <f>WWWW[[#This Row],['#_of_Functioning_latrines_in_school]]*50</f>
        <v>0</v>
      </c>
      <c r="BH7" s="654">
        <f>ROUND((WWWW[[#This Row],[Total PoP ]]/6),0)</f>
        <v>22</v>
      </c>
      <c r="BI7" s="654">
        <f>IF(WWWW[[#This Row],[Total required Latrines]]-(WWWW[[#This Row],['#_of_sanitary_fly-proof_HH_latrines]])&lt;0,0,WWWW[[#This Row],[Total required Latrines]]-(WWWW[[#This Row],['#_of_sanitary_fly-proof_HH_latrines]]))</f>
        <v>22</v>
      </c>
      <c r="BJ7" s="650">
        <f>1-WWWW[[#This Row],[% people access to functioning Latrine]]</f>
        <v>1</v>
      </c>
      <c r="BK7"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133</v>
      </c>
      <c r="BL7" s="483">
        <f>IF(WWWW[[#This Row],['#_of_functional_handwashing_facilities_at_HH_level]]*6&gt;WWWW[[#This Row],[Total PoP ]],WWWW[[#This Row],[Total PoP ]],WWWW[[#This Row],['#_of_functional_handwashing_facilities_at_HH_level]]*6)</f>
        <v>0</v>
      </c>
      <c r="BM7" s="654">
        <f>IF(WWWW[[#This Row],['# people reached by regular dedicated hygiene promotion]]&gt;WWWW[[#This Row],['# People received regular supply of hygiene items]],WWWW[[#This Row],['# people reached by regular dedicated hygiene promotion]],WWWW[[#This Row],['# People received regular supply of hygiene items]])</f>
        <v>133</v>
      </c>
      <c r="BN7" s="653">
        <f>IF(WWWW[[#This Row],[HRP3]]/WWWW[[#This Row],[Total PoP ]]&gt;100%,100%,WWWW[[#This Row],[HRP3]]/WWWW[[#This Row],[Total PoP ]])</f>
        <v>1</v>
      </c>
      <c r="BO7" s="650">
        <f>1-WWWW[[#This Row],[Hygiene Coverage%]]</f>
        <v>0</v>
      </c>
      <c r="BP7" s="652">
        <f>WWWW[[#This Row],['# people reached by regular dedicated hygiene promotion]]/WWWW[[#This Row],[Total PoP ]]</f>
        <v>1</v>
      </c>
      <c r="BQ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7" s="478">
        <f>WWWW[[#This Row],['#_of_affected_women_and_girls_receiving_a_sufficient_quantity_of_sanitary_pads]]</f>
        <v>0</v>
      </c>
      <c r="BS7" s="524">
        <f>IF(WWWW[[#This Row],['# People with access to soap]]&gt;WWWW[[#This Row],['# People with access to Sanity Pads]],WWWW[[#This Row],['# People with access to soap]],WWWW[[#This Row],['# People with access to Sanity Pads]])</f>
        <v>0</v>
      </c>
      <c r="BT7" s="483" t="str">
        <f>IF(OR(WWWW[[#This Row],['#of students in school]]="",WWWW[[#This Row],['#of students in school]]=0),"No","Yes")</f>
        <v>No</v>
      </c>
      <c r="BU7" s="645" t="str">
        <f>VLOOKUP(WWWW[[#This Row],[Village  Name]],SiteDB6[[Site Name]:[Location Type 1]],9,FALSE)</f>
        <v>Village</v>
      </c>
      <c r="BV7" s="645" t="str">
        <f>VLOOKUP(WWWW[[#This Row],[Village  Name]],SiteDB6[[Site Name]:[Type of Accommodation]],10,FALSE)</f>
        <v>Village</v>
      </c>
      <c r="BW7" s="645">
        <f>VLOOKUP(WWWW[[#This Row],[Village  Name]],SiteDB6[[Site Name]:[Ethnic or GCA/NGCA]],11,FALSE)</f>
        <v>0</v>
      </c>
      <c r="BX7" s="645">
        <f>VLOOKUP(WWWW[[#This Row],[Village  Name]],SiteDB6[[Site Name]:[Lat]],12,FALSE)</f>
        <v>0</v>
      </c>
      <c r="BY7" s="645">
        <f>VLOOKUP(WWWW[[#This Row],[Village  Name]],SiteDB6[[Site Name]:[Long]],13,FALSE)</f>
        <v>0</v>
      </c>
      <c r="BZ7" s="645">
        <f>VLOOKUP(WWWW[[#This Row],[Village  Name]],SiteDB6[[Site Name]:[Pcode]],3,FALSE)</f>
        <v>0</v>
      </c>
      <c r="CA7" s="645" t="str">
        <f t="shared" ref="CA7:CA32" si="0">IF(C7="none","Notcovered","Covered")</f>
        <v>Covered</v>
      </c>
      <c r="CB7" s="655"/>
    </row>
    <row r="8" spans="1:80">
      <c r="A8" s="641" t="s">
        <v>3150</v>
      </c>
      <c r="B8" s="641" t="s">
        <v>2994</v>
      </c>
      <c r="C8" s="642"/>
      <c r="D8" s="642" t="s">
        <v>231</v>
      </c>
      <c r="E8" s="643" t="s">
        <v>698</v>
      </c>
      <c r="F8" s="642" t="s">
        <v>1234</v>
      </c>
      <c r="G8" s="644" t="str">
        <f>VLOOKUP(WWWW[[#This Row],[Village  Name]],SiteDB6[[Site Name]:[Location Type]],8,FALSE)</f>
        <v>Village</v>
      </c>
      <c r="H8" s="642" t="s">
        <v>2996</v>
      </c>
      <c r="I8" s="646"/>
      <c r="J8" s="646">
        <v>240</v>
      </c>
      <c r="K8" s="647">
        <v>43258</v>
      </c>
      <c r="L8" s="648">
        <v>43830</v>
      </c>
      <c r="M8" s="646"/>
      <c r="N8" s="646"/>
      <c r="O8" s="524"/>
      <c r="P8" s="646"/>
      <c r="Q8" s="646"/>
      <c r="R8" s="646"/>
      <c r="S8" s="646"/>
      <c r="T8" s="646"/>
      <c r="U8" s="649"/>
      <c r="V8" s="646">
        <v>3</v>
      </c>
      <c r="W8" s="646"/>
      <c r="X8" s="646"/>
      <c r="Y8" s="646"/>
      <c r="Z8" s="646"/>
      <c r="AA8" s="646"/>
      <c r="AB8" s="646"/>
      <c r="AC8" s="649"/>
      <c r="AD8" s="646">
        <v>21</v>
      </c>
      <c r="AE8" s="646">
        <v>37</v>
      </c>
      <c r="AF8" s="646">
        <v>36</v>
      </c>
      <c r="AG8" s="646">
        <v>41</v>
      </c>
      <c r="AH8" s="646"/>
      <c r="AI8" s="646"/>
      <c r="AJ8" s="524"/>
      <c r="AK8" s="646"/>
      <c r="AL8" s="524"/>
      <c r="AM8" s="524"/>
      <c r="AN8" s="649"/>
      <c r="AO8" s="477"/>
      <c r="AP8" s="477"/>
      <c r="AQ8" s="524"/>
      <c r="AR8" s="524"/>
      <c r="AS8" s="524"/>
      <c r="AT8"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8" s="651">
        <f>WWWW[[#This Row],[%Equitable and continuous access to sufficient quantity of safe drinking water]]*WWWW[[#This Row],[Total PoP ]]</f>
        <v>0</v>
      </c>
      <c r="AV8"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8" s="651">
        <f>WWWW[[#This Row],[% Access to unimproved water points]]*WWWW[[#This Row],[Total PoP ]]</f>
        <v>0</v>
      </c>
      <c r="AX8"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8"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8" s="651">
        <f>WWWW[[#This Row],[HRP1]]/250</f>
        <v>0</v>
      </c>
      <c r="BA8" s="653">
        <f>1-WWWW[[#This Row],[% Equitable and continuous access to sufficient quantity of domestic water]]</f>
        <v>1</v>
      </c>
      <c r="BB8" s="651">
        <f>WWWW[[#This Row],[%equitable and continuous access to sufficient quantity of safe drinking and domestic water''s GAP]]*WWWW[[#This Row],[Total PoP ]]</f>
        <v>240</v>
      </c>
      <c r="BC8" s="654">
        <f>IF(WWWW[[#This Row],[Total required water points]]-WWWW[[#This Row],['#Water points coverage]]&lt;0,0,WWWW[[#This Row],[Total required water points]]-WWWW[[#This Row],['#Water points coverage]])</f>
        <v>1</v>
      </c>
      <c r="BD8" s="654">
        <f>ROUND(IF(WWWW[[#This Row],[Total PoP ]]&lt;250,1,WWWW[[#This Row],[Total PoP ]]/250),0)</f>
        <v>1</v>
      </c>
      <c r="BE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7.4999999999999997E-2</v>
      </c>
      <c r="BF8" s="651">
        <f>WWWW[[#This Row],[% people access to functioning Latrine]]*WWWW[[#This Row],[Total PoP ]]</f>
        <v>18</v>
      </c>
      <c r="BG8" s="654">
        <f>WWWW[[#This Row],['#_of_Functioning_latrines_in_school]]*50</f>
        <v>0</v>
      </c>
      <c r="BH8" s="654">
        <f>ROUND((WWWW[[#This Row],[Total PoP ]]/6),0)</f>
        <v>40</v>
      </c>
      <c r="BI8" s="654">
        <f>IF(WWWW[[#This Row],[Total required Latrines]]-(WWWW[[#This Row],['#_of_sanitary_fly-proof_HH_latrines]])&lt;0,0,WWWW[[#This Row],[Total required Latrines]]-(WWWW[[#This Row],['#_of_sanitary_fly-proof_HH_latrines]]))</f>
        <v>37</v>
      </c>
      <c r="BJ8" s="650">
        <f>1-WWWW[[#This Row],[% people access to functioning Latrine]]</f>
        <v>0.92500000000000004</v>
      </c>
      <c r="BK8"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135</v>
      </c>
      <c r="BL8" s="483">
        <f>IF(WWWW[[#This Row],['#_of_functional_handwashing_facilities_at_HH_level]]*6&gt;WWWW[[#This Row],[Total PoP ]],WWWW[[#This Row],[Total PoP ]],WWWW[[#This Row],['#_of_functional_handwashing_facilities_at_HH_level]]*6)</f>
        <v>0</v>
      </c>
      <c r="BM8" s="654">
        <f>IF(WWWW[[#This Row],['# people reached by regular dedicated hygiene promotion]]&gt;WWWW[[#This Row],['# People received regular supply of hygiene items]],WWWW[[#This Row],['# people reached by regular dedicated hygiene promotion]],WWWW[[#This Row],['# People received regular supply of hygiene items]])</f>
        <v>135</v>
      </c>
      <c r="BN8" s="653">
        <f>IF(WWWW[[#This Row],[HRP3]]/WWWW[[#This Row],[Total PoP ]]&gt;100%,100%,WWWW[[#This Row],[HRP3]]/WWWW[[#This Row],[Total PoP ]])</f>
        <v>0.5625</v>
      </c>
      <c r="BO8" s="650">
        <f>1-WWWW[[#This Row],[Hygiene Coverage%]]</f>
        <v>0.4375</v>
      </c>
      <c r="BP8" s="652">
        <f>WWWW[[#This Row],['# people reached by regular dedicated hygiene promotion]]/WWWW[[#This Row],[Total PoP ]]</f>
        <v>0.5625</v>
      </c>
      <c r="BQ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8" s="478">
        <f>WWWW[[#This Row],['#_of_affected_women_and_girls_receiving_a_sufficient_quantity_of_sanitary_pads]]</f>
        <v>0</v>
      </c>
      <c r="BS8" s="524">
        <f>IF(WWWW[[#This Row],['# People with access to soap]]&gt;WWWW[[#This Row],['# People with access to Sanity Pads]],WWWW[[#This Row],['# People with access to soap]],WWWW[[#This Row],['# People with access to Sanity Pads]])</f>
        <v>0</v>
      </c>
      <c r="BT8" s="483" t="str">
        <f>IF(OR(WWWW[[#This Row],['#of students in school]]="",WWWW[[#This Row],['#of students in school]]=0),"No","Yes")</f>
        <v>No</v>
      </c>
      <c r="BU8" s="645" t="str">
        <f>VLOOKUP(WWWW[[#This Row],[Village  Name]],SiteDB6[[Site Name]:[Location Type 1]],9,FALSE)</f>
        <v>Village</v>
      </c>
      <c r="BV8" s="645" t="str">
        <f>VLOOKUP(WWWW[[#This Row],[Village  Name]],SiteDB6[[Site Name]:[Type of Accommodation]],10,FALSE)</f>
        <v>Village</v>
      </c>
      <c r="BW8" s="645">
        <f>VLOOKUP(WWWW[[#This Row],[Village  Name]],SiteDB6[[Site Name]:[Ethnic or GCA/NGCA]],11,FALSE)</f>
        <v>0</v>
      </c>
      <c r="BX8" s="645">
        <f>VLOOKUP(WWWW[[#This Row],[Village  Name]],SiteDB6[[Site Name]:[Lat]],12,FALSE)</f>
        <v>0</v>
      </c>
      <c r="BY8" s="645">
        <f>VLOOKUP(WWWW[[#This Row],[Village  Name]],SiteDB6[[Site Name]:[Long]],13,FALSE)</f>
        <v>0</v>
      </c>
      <c r="BZ8" s="645">
        <f>VLOOKUP(WWWW[[#This Row],[Village  Name]],SiteDB6[[Site Name]:[Pcode]],3,FALSE)</f>
        <v>0</v>
      </c>
      <c r="CA8" s="645" t="str">
        <f t="shared" si="0"/>
        <v>Covered</v>
      </c>
      <c r="CB8" s="655"/>
    </row>
    <row r="9" spans="1:80">
      <c r="A9" s="641" t="s">
        <v>3150</v>
      </c>
      <c r="B9" s="641" t="s">
        <v>2994</v>
      </c>
      <c r="C9" s="642"/>
      <c r="D9" s="642" t="s">
        <v>231</v>
      </c>
      <c r="E9" s="643" t="s">
        <v>698</v>
      </c>
      <c r="F9" s="642" t="s">
        <v>1234</v>
      </c>
      <c r="G9" s="644" t="str">
        <f>VLOOKUP(WWWW[[#This Row],[Village  Name]],SiteDB6[[Site Name]:[Location Type]],8,FALSE)</f>
        <v>Village</v>
      </c>
      <c r="H9" s="642" t="s">
        <v>2997</v>
      </c>
      <c r="I9" s="646"/>
      <c r="J9" s="646">
        <v>836</v>
      </c>
      <c r="K9" s="647">
        <v>43258</v>
      </c>
      <c r="L9" s="648">
        <v>43830</v>
      </c>
      <c r="M9" s="646"/>
      <c r="N9" s="646"/>
      <c r="O9" s="524"/>
      <c r="P9" s="646"/>
      <c r="Q9" s="646"/>
      <c r="R9" s="646"/>
      <c r="S9" s="646"/>
      <c r="T9" s="646"/>
      <c r="U9" s="649"/>
      <c r="V9" s="646"/>
      <c r="W9" s="646"/>
      <c r="X9" s="646"/>
      <c r="Y9" s="646"/>
      <c r="Z9" s="646"/>
      <c r="AA9" s="646"/>
      <c r="AB9" s="646"/>
      <c r="AC9" s="649"/>
      <c r="AD9" s="646">
        <v>177</v>
      </c>
      <c r="AE9" s="646">
        <v>44</v>
      </c>
      <c r="AF9" s="646"/>
      <c r="AG9" s="646"/>
      <c r="AH9" s="646"/>
      <c r="AI9" s="646"/>
      <c r="AJ9" s="524"/>
      <c r="AK9" s="646"/>
      <c r="AL9" s="524"/>
      <c r="AM9" s="524"/>
      <c r="AN9" s="649"/>
      <c r="AO9" s="477"/>
      <c r="AP9" s="477"/>
      <c r="AQ9" s="524"/>
      <c r="AR9" s="524"/>
      <c r="AS9" s="524"/>
      <c r="AT9"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9" s="651">
        <f>WWWW[[#This Row],[%Equitable and continuous access to sufficient quantity of safe drinking water]]*WWWW[[#This Row],[Total PoP ]]</f>
        <v>0</v>
      </c>
      <c r="AV9"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9" s="651">
        <f>WWWW[[#This Row],[% Access to unimproved water points]]*WWWW[[#This Row],[Total PoP ]]</f>
        <v>0</v>
      </c>
      <c r="AX9"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9"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9" s="651">
        <f>WWWW[[#This Row],[HRP1]]/250</f>
        <v>0</v>
      </c>
      <c r="BA9" s="653">
        <f>1-WWWW[[#This Row],[% Equitable and continuous access to sufficient quantity of domestic water]]</f>
        <v>1</v>
      </c>
      <c r="BB9" s="651">
        <f>WWWW[[#This Row],[%equitable and continuous access to sufficient quantity of safe drinking and domestic water''s GAP]]*WWWW[[#This Row],[Total PoP ]]</f>
        <v>836</v>
      </c>
      <c r="BC9" s="654">
        <f>IF(WWWW[[#This Row],[Total required water points]]-WWWW[[#This Row],['#Water points coverage]]&lt;0,0,WWWW[[#This Row],[Total required water points]]-WWWW[[#This Row],['#Water points coverage]])</f>
        <v>3</v>
      </c>
      <c r="BD9" s="654">
        <f>ROUND(IF(WWWW[[#This Row],[Total PoP ]]&lt;250,1,WWWW[[#This Row],[Total PoP ]]/250),0)</f>
        <v>3</v>
      </c>
      <c r="BE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9" s="651">
        <f>WWWW[[#This Row],[% people access to functioning Latrine]]*WWWW[[#This Row],[Total PoP ]]</f>
        <v>0</v>
      </c>
      <c r="BG9" s="654">
        <f>WWWW[[#This Row],['#_of_Functioning_latrines_in_school]]*50</f>
        <v>0</v>
      </c>
      <c r="BH9" s="654">
        <f>ROUND((WWWW[[#This Row],[Total PoP ]]/6),0)</f>
        <v>139</v>
      </c>
      <c r="BI9" s="654">
        <f>IF(WWWW[[#This Row],[Total required Latrines]]-(WWWW[[#This Row],['#_of_sanitary_fly-proof_HH_latrines]])&lt;0,0,WWWW[[#This Row],[Total required Latrines]]-(WWWW[[#This Row],['#_of_sanitary_fly-proof_HH_latrines]]))</f>
        <v>139</v>
      </c>
      <c r="BJ9" s="650">
        <f>1-WWWW[[#This Row],[% people access to functioning Latrine]]</f>
        <v>1</v>
      </c>
      <c r="BK9"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221</v>
      </c>
      <c r="BL9" s="483">
        <f>IF(WWWW[[#This Row],['#_of_functional_handwashing_facilities_at_HH_level]]*6&gt;WWWW[[#This Row],[Total PoP ]],WWWW[[#This Row],[Total PoP ]],WWWW[[#This Row],['#_of_functional_handwashing_facilities_at_HH_level]]*6)</f>
        <v>0</v>
      </c>
      <c r="BM9" s="654">
        <f>IF(WWWW[[#This Row],['# people reached by regular dedicated hygiene promotion]]&gt;WWWW[[#This Row],['# People received regular supply of hygiene items]],WWWW[[#This Row],['# people reached by regular dedicated hygiene promotion]],WWWW[[#This Row],['# People received regular supply of hygiene items]])</f>
        <v>221</v>
      </c>
      <c r="BN9" s="653">
        <f>IF(WWWW[[#This Row],[HRP3]]/WWWW[[#This Row],[Total PoP ]]&gt;100%,100%,WWWW[[#This Row],[HRP3]]/WWWW[[#This Row],[Total PoP ]])</f>
        <v>0.26435406698564595</v>
      </c>
      <c r="BO9" s="650">
        <f>1-WWWW[[#This Row],[Hygiene Coverage%]]</f>
        <v>0.7356459330143541</v>
      </c>
      <c r="BP9" s="652">
        <f>WWWW[[#This Row],['# people reached by regular dedicated hygiene promotion]]/WWWW[[#This Row],[Total PoP ]]</f>
        <v>0.26435406698564595</v>
      </c>
      <c r="BQ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9" s="478">
        <f>WWWW[[#This Row],['#_of_affected_women_and_girls_receiving_a_sufficient_quantity_of_sanitary_pads]]</f>
        <v>0</v>
      </c>
      <c r="BS9" s="524">
        <f>IF(WWWW[[#This Row],['# People with access to soap]]&gt;WWWW[[#This Row],['# People with access to Sanity Pads]],WWWW[[#This Row],['# People with access to soap]],WWWW[[#This Row],['# People with access to Sanity Pads]])</f>
        <v>0</v>
      </c>
      <c r="BT9" s="483" t="str">
        <f>IF(OR(WWWW[[#This Row],['#of students in school]]="",WWWW[[#This Row],['#of students in school]]=0),"No","Yes")</f>
        <v>No</v>
      </c>
      <c r="BU9" s="645" t="str">
        <f>VLOOKUP(WWWW[[#This Row],[Village  Name]],SiteDB6[[Site Name]:[Location Type 1]],9,FALSE)</f>
        <v>Village</v>
      </c>
      <c r="BV9" s="645" t="str">
        <f>VLOOKUP(WWWW[[#This Row],[Village  Name]],SiteDB6[[Site Name]:[Type of Accommodation]],10,FALSE)</f>
        <v>Village</v>
      </c>
      <c r="BW9" s="645">
        <f>VLOOKUP(WWWW[[#This Row],[Village  Name]],SiteDB6[[Site Name]:[Ethnic or GCA/NGCA]],11,FALSE)</f>
        <v>0</v>
      </c>
      <c r="BX9" s="645">
        <f>VLOOKUP(WWWW[[#This Row],[Village  Name]],SiteDB6[[Site Name]:[Lat]],12,FALSE)</f>
        <v>0</v>
      </c>
      <c r="BY9" s="645">
        <f>VLOOKUP(WWWW[[#This Row],[Village  Name]],SiteDB6[[Site Name]:[Long]],13,FALSE)</f>
        <v>0</v>
      </c>
      <c r="BZ9" s="645">
        <f>VLOOKUP(WWWW[[#This Row],[Village  Name]],SiteDB6[[Site Name]:[Pcode]],3,FALSE)</f>
        <v>0</v>
      </c>
      <c r="CA9" s="645" t="str">
        <f t="shared" si="0"/>
        <v>Covered</v>
      </c>
      <c r="CB9" s="655"/>
    </row>
    <row r="10" spans="1:80">
      <c r="A10" s="641" t="s">
        <v>3150</v>
      </c>
      <c r="B10" s="641" t="s">
        <v>2994</v>
      </c>
      <c r="C10" s="642"/>
      <c r="D10" s="642" t="s">
        <v>231</v>
      </c>
      <c r="E10" s="643" t="s">
        <v>698</v>
      </c>
      <c r="F10" s="642" t="s">
        <v>1278</v>
      </c>
      <c r="G10" s="644" t="str">
        <f>VLOOKUP(WWWW[[#This Row],[Village  Name]],SiteDB6[[Site Name]:[Location Type]],8,FALSE)</f>
        <v>Village</v>
      </c>
      <c r="H10" s="642" t="s">
        <v>2999</v>
      </c>
      <c r="I10" s="646"/>
      <c r="J10" s="646">
        <v>258</v>
      </c>
      <c r="K10" s="647">
        <v>43258</v>
      </c>
      <c r="L10" s="648">
        <v>43830</v>
      </c>
      <c r="M10" s="646"/>
      <c r="N10" s="646"/>
      <c r="O10" s="524"/>
      <c r="P10" s="646"/>
      <c r="Q10" s="646"/>
      <c r="R10" s="646"/>
      <c r="S10" s="646"/>
      <c r="T10" s="646"/>
      <c r="U10" s="649"/>
      <c r="V10" s="646"/>
      <c r="W10" s="646"/>
      <c r="X10" s="646"/>
      <c r="Y10" s="646"/>
      <c r="Z10" s="646"/>
      <c r="AA10" s="646"/>
      <c r="AB10" s="646"/>
      <c r="AC10" s="649"/>
      <c r="AD10" s="646">
        <v>51</v>
      </c>
      <c r="AE10" s="646">
        <v>44</v>
      </c>
      <c r="AF10" s="646">
        <v>2</v>
      </c>
      <c r="AG10" s="646"/>
      <c r="AH10" s="646"/>
      <c r="AI10" s="646"/>
      <c r="AJ10" s="524"/>
      <c r="AK10" s="646"/>
      <c r="AL10" s="524"/>
      <c r="AM10" s="524"/>
      <c r="AN10" s="649"/>
      <c r="AO10" s="477"/>
      <c r="AP10" s="477"/>
      <c r="AQ10" s="524"/>
      <c r="AR10" s="524"/>
      <c r="AS10" s="524"/>
      <c r="AT10"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0" s="651">
        <f>WWWW[[#This Row],[%Equitable and continuous access to sufficient quantity of safe drinking water]]*WWWW[[#This Row],[Total PoP ]]</f>
        <v>0</v>
      </c>
      <c r="AV10"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0" s="651">
        <f>WWWW[[#This Row],[% Access to unimproved water points]]*WWWW[[#This Row],[Total PoP ]]</f>
        <v>0</v>
      </c>
      <c r="AX10"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0"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0" s="651">
        <f>WWWW[[#This Row],[HRP1]]/250</f>
        <v>0</v>
      </c>
      <c r="BA10" s="653">
        <f>1-WWWW[[#This Row],[% Equitable and continuous access to sufficient quantity of domestic water]]</f>
        <v>1</v>
      </c>
      <c r="BB10" s="651">
        <f>WWWW[[#This Row],[%equitable and continuous access to sufficient quantity of safe drinking and domestic water''s GAP]]*WWWW[[#This Row],[Total PoP ]]</f>
        <v>258</v>
      </c>
      <c r="BC10" s="654">
        <f>IF(WWWW[[#This Row],[Total required water points]]-WWWW[[#This Row],['#Water points coverage]]&lt;0,0,WWWW[[#This Row],[Total required water points]]-WWWW[[#This Row],['#Water points coverage]])</f>
        <v>1</v>
      </c>
      <c r="BD10" s="654">
        <f>ROUND(IF(WWWW[[#This Row],[Total PoP ]]&lt;250,1,WWWW[[#This Row],[Total PoP ]]/250),0)</f>
        <v>1</v>
      </c>
      <c r="BE1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0" s="651">
        <f>WWWW[[#This Row],[% people access to functioning Latrine]]*WWWW[[#This Row],[Total PoP ]]</f>
        <v>0</v>
      </c>
      <c r="BG10" s="654">
        <f>WWWW[[#This Row],['#_of_Functioning_latrines_in_school]]*50</f>
        <v>0</v>
      </c>
      <c r="BH10" s="654">
        <f>ROUND((WWWW[[#This Row],[Total PoP ]]/6),0)</f>
        <v>43</v>
      </c>
      <c r="BI10" s="654">
        <f>IF(WWWW[[#This Row],[Total required Latrines]]-(WWWW[[#This Row],['#_of_sanitary_fly-proof_HH_latrines]])&lt;0,0,WWWW[[#This Row],[Total required Latrines]]-(WWWW[[#This Row],['#_of_sanitary_fly-proof_HH_latrines]]))</f>
        <v>43</v>
      </c>
      <c r="BJ10" s="650">
        <f>1-WWWW[[#This Row],[% people access to functioning Latrine]]</f>
        <v>1</v>
      </c>
      <c r="BK10"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97</v>
      </c>
      <c r="BL10" s="483">
        <f>IF(WWWW[[#This Row],['#_of_functional_handwashing_facilities_at_HH_level]]*6&gt;WWWW[[#This Row],[Total PoP ]],WWWW[[#This Row],[Total PoP ]],WWWW[[#This Row],['#_of_functional_handwashing_facilities_at_HH_level]]*6)</f>
        <v>0</v>
      </c>
      <c r="BM10" s="654">
        <f>IF(WWWW[[#This Row],['# people reached by regular dedicated hygiene promotion]]&gt;WWWW[[#This Row],['# People received regular supply of hygiene items]],WWWW[[#This Row],['# people reached by regular dedicated hygiene promotion]],WWWW[[#This Row],['# People received regular supply of hygiene items]])</f>
        <v>97</v>
      </c>
      <c r="BN10" s="653">
        <f>IF(WWWW[[#This Row],[HRP3]]/WWWW[[#This Row],[Total PoP ]]&gt;100%,100%,WWWW[[#This Row],[HRP3]]/WWWW[[#This Row],[Total PoP ]])</f>
        <v>0.37596899224806202</v>
      </c>
      <c r="BO10" s="650">
        <f>1-WWWW[[#This Row],[Hygiene Coverage%]]</f>
        <v>0.62403100775193798</v>
      </c>
      <c r="BP10" s="652">
        <f>WWWW[[#This Row],['# people reached by regular dedicated hygiene promotion]]/WWWW[[#This Row],[Total PoP ]]</f>
        <v>0.37596899224806202</v>
      </c>
      <c r="BQ1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0" s="478">
        <f>WWWW[[#This Row],['#_of_affected_women_and_girls_receiving_a_sufficient_quantity_of_sanitary_pads]]</f>
        <v>0</v>
      </c>
      <c r="BS10" s="524">
        <f>IF(WWWW[[#This Row],['# People with access to soap]]&gt;WWWW[[#This Row],['# People with access to Sanity Pads]],WWWW[[#This Row],['# People with access to soap]],WWWW[[#This Row],['# People with access to Sanity Pads]])</f>
        <v>0</v>
      </c>
      <c r="BT10" s="483" t="str">
        <f>IF(OR(WWWW[[#This Row],['#of students in school]]="",WWWW[[#This Row],['#of students in school]]=0),"No","Yes")</f>
        <v>No</v>
      </c>
      <c r="BU10" s="645" t="str">
        <f>VLOOKUP(WWWW[[#This Row],[Village  Name]],SiteDB6[[Site Name]:[Location Type 1]],9,FALSE)</f>
        <v>Village</v>
      </c>
      <c r="BV10" s="645" t="str">
        <f>VLOOKUP(WWWW[[#This Row],[Village  Name]],SiteDB6[[Site Name]:[Type of Accommodation]],10,FALSE)</f>
        <v>Village</v>
      </c>
      <c r="BW10" s="645">
        <f>VLOOKUP(WWWW[[#This Row],[Village  Name]],SiteDB6[[Site Name]:[Ethnic or GCA/NGCA]],11,FALSE)</f>
        <v>0</v>
      </c>
      <c r="BX10" s="645">
        <f>VLOOKUP(WWWW[[#This Row],[Village  Name]],SiteDB6[[Site Name]:[Lat]],12,FALSE)</f>
        <v>0</v>
      </c>
      <c r="BY10" s="645">
        <f>VLOOKUP(WWWW[[#This Row],[Village  Name]],SiteDB6[[Site Name]:[Long]],13,FALSE)</f>
        <v>0</v>
      </c>
      <c r="BZ10" s="645">
        <f>VLOOKUP(WWWW[[#This Row],[Village  Name]],SiteDB6[[Site Name]:[Pcode]],3,FALSE)</f>
        <v>0</v>
      </c>
      <c r="CA10" s="645" t="str">
        <f t="shared" si="0"/>
        <v>Covered</v>
      </c>
      <c r="CB10" s="655"/>
    </row>
    <row r="11" spans="1:80">
      <c r="A11" s="641" t="s">
        <v>3150</v>
      </c>
      <c r="B11" s="641" t="s">
        <v>2994</v>
      </c>
      <c r="C11" s="642"/>
      <c r="D11" s="642" t="s">
        <v>231</v>
      </c>
      <c r="E11" s="643" t="s">
        <v>698</v>
      </c>
      <c r="F11" s="642" t="s">
        <v>1278</v>
      </c>
      <c r="G11" s="644" t="str">
        <f>VLOOKUP(WWWW[[#This Row],[Village  Name]],SiteDB6[[Site Name]:[Location Type]],8,FALSE)</f>
        <v>Village</v>
      </c>
      <c r="H11" s="642" t="s">
        <v>3000</v>
      </c>
      <c r="I11" s="646"/>
      <c r="J11" s="646">
        <v>190</v>
      </c>
      <c r="K11" s="647">
        <v>43258</v>
      </c>
      <c r="L11" s="648">
        <v>43830</v>
      </c>
      <c r="M11" s="646"/>
      <c r="N11" s="646"/>
      <c r="O11" s="524"/>
      <c r="P11" s="646"/>
      <c r="Q11" s="646"/>
      <c r="R11" s="646"/>
      <c r="S11" s="646"/>
      <c r="T11" s="646"/>
      <c r="U11" s="649"/>
      <c r="V11" s="646"/>
      <c r="W11" s="646"/>
      <c r="X11" s="646"/>
      <c r="Y11" s="646"/>
      <c r="Z11" s="646"/>
      <c r="AA11" s="646"/>
      <c r="AB11" s="646"/>
      <c r="AC11" s="649"/>
      <c r="AD11" s="646">
        <v>247</v>
      </c>
      <c r="AE11" s="646">
        <v>238</v>
      </c>
      <c r="AF11" s="646"/>
      <c r="AG11" s="646"/>
      <c r="AH11" s="646"/>
      <c r="AI11" s="646"/>
      <c r="AJ11" s="524"/>
      <c r="AK11" s="646"/>
      <c r="AL11" s="524"/>
      <c r="AM11" s="524"/>
      <c r="AN11" s="649"/>
      <c r="AO11" s="477"/>
      <c r="AP11" s="477"/>
      <c r="AQ11" s="524"/>
      <c r="AR11" s="524"/>
      <c r="AS11" s="524"/>
      <c r="AT11"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1" s="651">
        <f>WWWW[[#This Row],[%Equitable and continuous access to sufficient quantity of safe drinking water]]*WWWW[[#This Row],[Total PoP ]]</f>
        <v>0</v>
      </c>
      <c r="AV11"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1" s="651">
        <f>WWWW[[#This Row],[% Access to unimproved water points]]*WWWW[[#This Row],[Total PoP ]]</f>
        <v>0</v>
      </c>
      <c r="AX11"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1"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1" s="651">
        <f>WWWW[[#This Row],[HRP1]]/250</f>
        <v>0</v>
      </c>
      <c r="BA11" s="653">
        <f>1-WWWW[[#This Row],[% Equitable and continuous access to sufficient quantity of domestic water]]</f>
        <v>1</v>
      </c>
      <c r="BB11" s="651">
        <f>WWWW[[#This Row],[%equitable and continuous access to sufficient quantity of safe drinking and domestic water''s GAP]]*WWWW[[#This Row],[Total PoP ]]</f>
        <v>190</v>
      </c>
      <c r="BC11" s="654">
        <f>IF(WWWW[[#This Row],[Total required water points]]-WWWW[[#This Row],['#Water points coverage]]&lt;0,0,WWWW[[#This Row],[Total required water points]]-WWWW[[#This Row],['#Water points coverage]])</f>
        <v>1</v>
      </c>
      <c r="BD11" s="654">
        <f>ROUND(IF(WWWW[[#This Row],[Total PoP ]]&lt;250,1,WWWW[[#This Row],[Total PoP ]]/250),0)</f>
        <v>1</v>
      </c>
      <c r="BE1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1" s="651">
        <f>WWWW[[#This Row],[% people access to functioning Latrine]]*WWWW[[#This Row],[Total PoP ]]</f>
        <v>0</v>
      </c>
      <c r="BG11" s="654">
        <f>WWWW[[#This Row],['#_of_Functioning_latrines_in_school]]*50</f>
        <v>0</v>
      </c>
      <c r="BH11" s="654">
        <f>ROUND((WWWW[[#This Row],[Total PoP ]]/6),0)</f>
        <v>32</v>
      </c>
      <c r="BI11" s="654">
        <f>IF(WWWW[[#This Row],[Total required Latrines]]-(WWWW[[#This Row],['#_of_sanitary_fly-proof_HH_latrines]])&lt;0,0,WWWW[[#This Row],[Total required Latrines]]-(WWWW[[#This Row],['#_of_sanitary_fly-proof_HH_latrines]]))</f>
        <v>32</v>
      </c>
      <c r="BJ11" s="650">
        <f>1-WWWW[[#This Row],[% people access to functioning Latrine]]</f>
        <v>1</v>
      </c>
      <c r="BK11"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190</v>
      </c>
      <c r="BL11" s="483">
        <f>IF(WWWW[[#This Row],['#_of_functional_handwashing_facilities_at_HH_level]]*6&gt;WWWW[[#This Row],[Total PoP ]],WWWW[[#This Row],[Total PoP ]],WWWW[[#This Row],['#_of_functional_handwashing_facilities_at_HH_level]]*6)</f>
        <v>0</v>
      </c>
      <c r="BM11" s="654">
        <f>IF(WWWW[[#This Row],['# people reached by regular dedicated hygiene promotion]]&gt;WWWW[[#This Row],['# People received regular supply of hygiene items]],WWWW[[#This Row],['# people reached by regular dedicated hygiene promotion]],WWWW[[#This Row],['# People received regular supply of hygiene items]])</f>
        <v>190</v>
      </c>
      <c r="BN11" s="653">
        <f>IF(WWWW[[#This Row],[HRP3]]/WWWW[[#This Row],[Total PoP ]]&gt;100%,100%,WWWW[[#This Row],[HRP3]]/WWWW[[#This Row],[Total PoP ]])</f>
        <v>1</v>
      </c>
      <c r="BO11" s="650">
        <f>1-WWWW[[#This Row],[Hygiene Coverage%]]</f>
        <v>0</v>
      </c>
      <c r="BP11" s="652">
        <f>WWWW[[#This Row],['# people reached by regular dedicated hygiene promotion]]/WWWW[[#This Row],[Total PoP ]]</f>
        <v>1</v>
      </c>
      <c r="BQ1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1" s="478">
        <f>WWWW[[#This Row],['#_of_affected_women_and_girls_receiving_a_sufficient_quantity_of_sanitary_pads]]</f>
        <v>0</v>
      </c>
      <c r="BS11" s="524">
        <f>IF(WWWW[[#This Row],['# People with access to soap]]&gt;WWWW[[#This Row],['# People with access to Sanity Pads]],WWWW[[#This Row],['# People with access to soap]],WWWW[[#This Row],['# People with access to Sanity Pads]])</f>
        <v>0</v>
      </c>
      <c r="BT11" s="483" t="str">
        <f>IF(OR(WWWW[[#This Row],['#of students in school]]="",WWWW[[#This Row],['#of students in school]]=0),"No","Yes")</f>
        <v>No</v>
      </c>
      <c r="BU11" s="645" t="str">
        <f>VLOOKUP(WWWW[[#This Row],[Village  Name]],SiteDB6[[Site Name]:[Location Type 1]],9,FALSE)</f>
        <v>Village</v>
      </c>
      <c r="BV11" s="645" t="str">
        <f>VLOOKUP(WWWW[[#This Row],[Village  Name]],SiteDB6[[Site Name]:[Type of Accommodation]],10,FALSE)</f>
        <v>Village</v>
      </c>
      <c r="BW11" s="645">
        <f>VLOOKUP(WWWW[[#This Row],[Village  Name]],SiteDB6[[Site Name]:[Ethnic or GCA/NGCA]],11,FALSE)</f>
        <v>0</v>
      </c>
      <c r="BX11" s="645">
        <f>VLOOKUP(WWWW[[#This Row],[Village  Name]],SiteDB6[[Site Name]:[Lat]],12,FALSE)</f>
        <v>0</v>
      </c>
      <c r="BY11" s="645">
        <f>VLOOKUP(WWWW[[#This Row],[Village  Name]],SiteDB6[[Site Name]:[Long]],13,FALSE)</f>
        <v>0</v>
      </c>
      <c r="BZ11" s="645">
        <f>VLOOKUP(WWWW[[#This Row],[Village  Name]],SiteDB6[[Site Name]:[Pcode]],3,FALSE)</f>
        <v>0</v>
      </c>
      <c r="CA11" s="645" t="str">
        <f t="shared" si="0"/>
        <v>Covered</v>
      </c>
      <c r="CB11" s="655"/>
    </row>
    <row r="12" spans="1:80">
      <c r="A12" s="641" t="s">
        <v>3150</v>
      </c>
      <c r="B12" s="641" t="s">
        <v>2994</v>
      </c>
      <c r="C12" s="642"/>
      <c r="D12" s="642" t="s">
        <v>231</v>
      </c>
      <c r="E12" s="643" t="s">
        <v>698</v>
      </c>
      <c r="F12" s="642" t="s">
        <v>1278</v>
      </c>
      <c r="G12" s="644" t="str">
        <f>VLOOKUP(WWWW[[#This Row],[Village  Name]],SiteDB6[[Site Name]:[Location Type]],8,FALSE)</f>
        <v>Village</v>
      </c>
      <c r="H12" s="642" t="s">
        <v>3001</v>
      </c>
      <c r="I12" s="646">
        <v>43</v>
      </c>
      <c r="J12" s="646">
        <v>254</v>
      </c>
      <c r="K12" s="647">
        <v>43258</v>
      </c>
      <c r="L12" s="648">
        <v>43830</v>
      </c>
      <c r="M12" s="646"/>
      <c r="N12" s="646"/>
      <c r="O12" s="524"/>
      <c r="P12" s="646"/>
      <c r="Q12" s="646"/>
      <c r="R12" s="646"/>
      <c r="S12" s="646"/>
      <c r="T12" s="646"/>
      <c r="U12" s="649"/>
      <c r="V12" s="646"/>
      <c r="W12" s="646"/>
      <c r="X12" s="646"/>
      <c r="Y12" s="646"/>
      <c r="Z12" s="646"/>
      <c r="AA12" s="646"/>
      <c r="AB12" s="646"/>
      <c r="AC12" s="649"/>
      <c r="AD12" s="646">
        <v>8</v>
      </c>
      <c r="AE12" s="646">
        <v>12</v>
      </c>
      <c r="AF12" s="646">
        <v>8</v>
      </c>
      <c r="AG12" s="646">
        <v>11</v>
      </c>
      <c r="AH12" s="646"/>
      <c r="AI12" s="646"/>
      <c r="AJ12" s="524"/>
      <c r="AK12" s="646"/>
      <c r="AL12" s="524"/>
      <c r="AM12" s="524"/>
      <c r="AN12" s="649"/>
      <c r="AO12" s="477"/>
      <c r="AP12" s="477"/>
      <c r="AQ12" s="524"/>
      <c r="AR12" s="524"/>
      <c r="AS12" s="524"/>
      <c r="AT12"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2" s="651">
        <f>WWWW[[#This Row],[%Equitable and continuous access to sufficient quantity of safe drinking water]]*WWWW[[#This Row],[Total PoP ]]</f>
        <v>0</v>
      </c>
      <c r="AV12"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2" s="651">
        <f>WWWW[[#This Row],[% Access to unimproved water points]]*WWWW[[#This Row],[Total PoP ]]</f>
        <v>0</v>
      </c>
      <c r="AX12"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2"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2" s="651">
        <f>WWWW[[#This Row],[HRP1]]/250</f>
        <v>0</v>
      </c>
      <c r="BA12" s="653">
        <f>1-WWWW[[#This Row],[% Equitable and continuous access to sufficient quantity of domestic water]]</f>
        <v>1</v>
      </c>
      <c r="BB12" s="651">
        <f>WWWW[[#This Row],[%equitable and continuous access to sufficient quantity of safe drinking and domestic water''s GAP]]*WWWW[[#This Row],[Total PoP ]]</f>
        <v>254</v>
      </c>
      <c r="BC12" s="654">
        <f>IF(WWWW[[#This Row],[Total required water points]]-WWWW[[#This Row],['#Water points coverage]]&lt;0,0,WWWW[[#This Row],[Total required water points]]-WWWW[[#This Row],['#Water points coverage]])</f>
        <v>1</v>
      </c>
      <c r="BD12" s="654">
        <f>ROUND(IF(WWWW[[#This Row],[Total PoP ]]&lt;250,1,WWWW[[#This Row],[Total PoP ]]/250),0)</f>
        <v>1</v>
      </c>
      <c r="BE1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2" s="651">
        <f>WWWW[[#This Row],[% people access to functioning Latrine]]*WWWW[[#This Row],[Total PoP ]]</f>
        <v>0</v>
      </c>
      <c r="BG12" s="654">
        <f>WWWW[[#This Row],['#_of_Functioning_latrines_in_school]]*50</f>
        <v>0</v>
      </c>
      <c r="BH12" s="654">
        <f>ROUND((WWWW[[#This Row],[Total PoP ]]/6),0)</f>
        <v>42</v>
      </c>
      <c r="BI12" s="654">
        <f>IF(WWWW[[#This Row],[Total required Latrines]]-(WWWW[[#This Row],['#_of_sanitary_fly-proof_HH_latrines]])&lt;0,0,WWWW[[#This Row],[Total required Latrines]]-(WWWW[[#This Row],['#_of_sanitary_fly-proof_HH_latrines]]))</f>
        <v>42</v>
      </c>
      <c r="BJ12" s="650">
        <f>1-WWWW[[#This Row],[% people access to functioning Latrine]]</f>
        <v>1</v>
      </c>
      <c r="BK12"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39</v>
      </c>
      <c r="BL12" s="483">
        <f>IF(WWWW[[#This Row],['#_of_functional_handwashing_facilities_at_HH_level]]*6&gt;WWWW[[#This Row],[Total PoP ]],WWWW[[#This Row],[Total PoP ]],WWWW[[#This Row],['#_of_functional_handwashing_facilities_at_HH_level]]*6)</f>
        <v>0</v>
      </c>
      <c r="BM12" s="654">
        <f>IF(WWWW[[#This Row],['# people reached by regular dedicated hygiene promotion]]&gt;WWWW[[#This Row],['# People received regular supply of hygiene items]],WWWW[[#This Row],['# people reached by regular dedicated hygiene promotion]],WWWW[[#This Row],['# People received regular supply of hygiene items]])</f>
        <v>39</v>
      </c>
      <c r="BN12" s="653">
        <f>IF(WWWW[[#This Row],[HRP3]]/WWWW[[#This Row],[Total PoP ]]&gt;100%,100%,WWWW[[#This Row],[HRP3]]/WWWW[[#This Row],[Total PoP ]])</f>
        <v>0.15354330708661418</v>
      </c>
      <c r="BO12" s="650">
        <f>1-WWWW[[#This Row],[Hygiene Coverage%]]</f>
        <v>0.84645669291338588</v>
      </c>
      <c r="BP12" s="652">
        <f>WWWW[[#This Row],['# people reached by regular dedicated hygiene promotion]]/WWWW[[#This Row],[Total PoP ]]</f>
        <v>0.15354330708661418</v>
      </c>
      <c r="BQ1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2" s="478">
        <f>WWWW[[#This Row],['#_of_affected_women_and_girls_receiving_a_sufficient_quantity_of_sanitary_pads]]</f>
        <v>0</v>
      </c>
      <c r="BS12" s="524">
        <f>IF(WWWW[[#This Row],['# People with access to soap]]&gt;WWWW[[#This Row],['# People with access to Sanity Pads]],WWWW[[#This Row],['# People with access to soap]],WWWW[[#This Row],['# People with access to Sanity Pads]])</f>
        <v>0</v>
      </c>
      <c r="BT12" s="483" t="str">
        <f>IF(OR(WWWW[[#This Row],['#of students in school]]="",WWWW[[#This Row],['#of students in school]]=0),"No","Yes")</f>
        <v>No</v>
      </c>
      <c r="BU12" s="645" t="str">
        <f>VLOOKUP(WWWW[[#This Row],[Village  Name]],SiteDB6[[Site Name]:[Location Type 1]],9,FALSE)</f>
        <v>Village</v>
      </c>
      <c r="BV12" s="645" t="str">
        <f>VLOOKUP(WWWW[[#This Row],[Village  Name]],SiteDB6[[Site Name]:[Type of Accommodation]],10,FALSE)</f>
        <v>Village</v>
      </c>
      <c r="BW12" s="645">
        <f>VLOOKUP(WWWW[[#This Row],[Village  Name]],SiteDB6[[Site Name]:[Ethnic or GCA/NGCA]],11,FALSE)</f>
        <v>0</v>
      </c>
      <c r="BX12" s="645">
        <f>VLOOKUP(WWWW[[#This Row],[Village  Name]],SiteDB6[[Site Name]:[Lat]],12,FALSE)</f>
        <v>0</v>
      </c>
      <c r="BY12" s="645">
        <f>VLOOKUP(WWWW[[#This Row],[Village  Name]],SiteDB6[[Site Name]:[Long]],13,FALSE)</f>
        <v>0</v>
      </c>
      <c r="BZ12" s="645">
        <f>VLOOKUP(WWWW[[#This Row],[Village  Name]],SiteDB6[[Site Name]:[Pcode]],3,FALSE)</f>
        <v>0</v>
      </c>
      <c r="CA12" s="645" t="str">
        <f t="shared" si="0"/>
        <v>Covered</v>
      </c>
      <c r="CB12" s="655"/>
    </row>
    <row r="13" spans="1:80">
      <c r="A13" s="641" t="s">
        <v>3150</v>
      </c>
      <c r="B13" s="641" t="s">
        <v>2994</v>
      </c>
      <c r="C13" s="642"/>
      <c r="D13" s="642" t="s">
        <v>231</v>
      </c>
      <c r="E13" s="643" t="s">
        <v>698</v>
      </c>
      <c r="F13" s="642" t="s">
        <v>1278</v>
      </c>
      <c r="G13" s="644" t="str">
        <f>VLOOKUP(WWWW[[#This Row],[Village  Name]],SiteDB6[[Site Name]:[Location Type]],8,FALSE)</f>
        <v>Village</v>
      </c>
      <c r="H13" s="642" t="s">
        <v>3002</v>
      </c>
      <c r="I13" s="646"/>
      <c r="J13" s="646">
        <v>169</v>
      </c>
      <c r="K13" s="647">
        <v>43258</v>
      </c>
      <c r="L13" s="648">
        <v>43830</v>
      </c>
      <c r="M13" s="646"/>
      <c r="N13" s="646"/>
      <c r="O13" s="524"/>
      <c r="P13" s="646"/>
      <c r="Q13" s="646"/>
      <c r="R13" s="646"/>
      <c r="S13" s="646"/>
      <c r="T13" s="646"/>
      <c r="U13" s="649"/>
      <c r="V13" s="646"/>
      <c r="W13" s="646"/>
      <c r="X13" s="646"/>
      <c r="Y13" s="646"/>
      <c r="Z13" s="646"/>
      <c r="AA13" s="646"/>
      <c r="AB13" s="646"/>
      <c r="AC13" s="649"/>
      <c r="AD13" s="646">
        <v>51</v>
      </c>
      <c r="AE13" s="646">
        <v>56</v>
      </c>
      <c r="AF13" s="646"/>
      <c r="AG13" s="646">
        <v>3</v>
      </c>
      <c r="AH13" s="646"/>
      <c r="AI13" s="646"/>
      <c r="AJ13" s="524"/>
      <c r="AK13" s="646"/>
      <c r="AL13" s="524"/>
      <c r="AM13" s="524"/>
      <c r="AN13" s="649"/>
      <c r="AO13" s="477"/>
      <c r="AP13" s="477"/>
      <c r="AQ13" s="524"/>
      <c r="AR13" s="524"/>
      <c r="AS13" s="524"/>
      <c r="AT13"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3" s="651">
        <f>WWWW[[#This Row],[%Equitable and continuous access to sufficient quantity of safe drinking water]]*WWWW[[#This Row],[Total PoP ]]</f>
        <v>0</v>
      </c>
      <c r="AV13"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3" s="651">
        <f>WWWW[[#This Row],[% Access to unimproved water points]]*WWWW[[#This Row],[Total PoP ]]</f>
        <v>0</v>
      </c>
      <c r="AX13"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3"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3" s="651">
        <f>WWWW[[#This Row],[HRP1]]/250</f>
        <v>0</v>
      </c>
      <c r="BA13" s="653">
        <f>1-WWWW[[#This Row],[% Equitable and continuous access to sufficient quantity of domestic water]]</f>
        <v>1</v>
      </c>
      <c r="BB13" s="651">
        <f>WWWW[[#This Row],[%equitable and continuous access to sufficient quantity of safe drinking and domestic water''s GAP]]*WWWW[[#This Row],[Total PoP ]]</f>
        <v>169</v>
      </c>
      <c r="BC13" s="654">
        <f>IF(WWWW[[#This Row],[Total required water points]]-WWWW[[#This Row],['#Water points coverage]]&lt;0,0,WWWW[[#This Row],[Total required water points]]-WWWW[[#This Row],['#Water points coverage]])</f>
        <v>1</v>
      </c>
      <c r="BD13" s="654">
        <f>ROUND(IF(WWWW[[#This Row],[Total PoP ]]&lt;250,1,WWWW[[#This Row],[Total PoP ]]/250),0)</f>
        <v>1</v>
      </c>
      <c r="BE1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3" s="651">
        <f>WWWW[[#This Row],[% people access to functioning Latrine]]*WWWW[[#This Row],[Total PoP ]]</f>
        <v>0</v>
      </c>
      <c r="BG13" s="654">
        <f>WWWW[[#This Row],['#_of_Functioning_latrines_in_school]]*50</f>
        <v>0</v>
      </c>
      <c r="BH13" s="654">
        <f>ROUND((WWWW[[#This Row],[Total PoP ]]/6),0)</f>
        <v>28</v>
      </c>
      <c r="BI13" s="654">
        <f>IF(WWWW[[#This Row],[Total required Latrines]]-(WWWW[[#This Row],['#_of_sanitary_fly-proof_HH_latrines]])&lt;0,0,WWWW[[#This Row],[Total required Latrines]]-(WWWW[[#This Row],['#_of_sanitary_fly-proof_HH_latrines]]))</f>
        <v>28</v>
      </c>
      <c r="BJ13" s="650">
        <f>1-WWWW[[#This Row],[% people access to functioning Latrine]]</f>
        <v>1</v>
      </c>
      <c r="BK13"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110</v>
      </c>
      <c r="BL13" s="483">
        <f>IF(WWWW[[#This Row],['#_of_functional_handwashing_facilities_at_HH_level]]*6&gt;WWWW[[#This Row],[Total PoP ]],WWWW[[#This Row],[Total PoP ]],WWWW[[#This Row],['#_of_functional_handwashing_facilities_at_HH_level]]*6)</f>
        <v>0</v>
      </c>
      <c r="BM13" s="654">
        <f>IF(WWWW[[#This Row],['# people reached by regular dedicated hygiene promotion]]&gt;WWWW[[#This Row],['# People received regular supply of hygiene items]],WWWW[[#This Row],['# people reached by regular dedicated hygiene promotion]],WWWW[[#This Row],['# People received regular supply of hygiene items]])</f>
        <v>110</v>
      </c>
      <c r="BN13" s="653">
        <f>IF(WWWW[[#This Row],[HRP3]]/WWWW[[#This Row],[Total PoP ]]&gt;100%,100%,WWWW[[#This Row],[HRP3]]/WWWW[[#This Row],[Total PoP ]])</f>
        <v>0.65088757396449703</v>
      </c>
      <c r="BO13" s="650">
        <f>1-WWWW[[#This Row],[Hygiene Coverage%]]</f>
        <v>0.34911242603550297</v>
      </c>
      <c r="BP13" s="652">
        <f>WWWW[[#This Row],['# people reached by regular dedicated hygiene promotion]]/WWWW[[#This Row],[Total PoP ]]</f>
        <v>0.65088757396449703</v>
      </c>
      <c r="BQ1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3" s="478">
        <f>WWWW[[#This Row],['#_of_affected_women_and_girls_receiving_a_sufficient_quantity_of_sanitary_pads]]</f>
        <v>0</v>
      </c>
      <c r="BS13" s="524">
        <f>IF(WWWW[[#This Row],['# People with access to soap]]&gt;WWWW[[#This Row],['# People with access to Sanity Pads]],WWWW[[#This Row],['# People with access to soap]],WWWW[[#This Row],['# People with access to Sanity Pads]])</f>
        <v>0</v>
      </c>
      <c r="BT13" s="483" t="str">
        <f>IF(OR(WWWW[[#This Row],['#of students in school]]="",WWWW[[#This Row],['#of students in school]]=0),"No","Yes")</f>
        <v>No</v>
      </c>
      <c r="BU13" s="645" t="str">
        <f>VLOOKUP(WWWW[[#This Row],[Village  Name]],SiteDB6[[Site Name]:[Location Type 1]],9,FALSE)</f>
        <v>Village</v>
      </c>
      <c r="BV13" s="645" t="str">
        <f>VLOOKUP(WWWW[[#This Row],[Village  Name]],SiteDB6[[Site Name]:[Type of Accommodation]],10,FALSE)</f>
        <v>Village</v>
      </c>
      <c r="BW13" s="645">
        <f>VLOOKUP(WWWW[[#This Row],[Village  Name]],SiteDB6[[Site Name]:[Ethnic or GCA/NGCA]],11,FALSE)</f>
        <v>0</v>
      </c>
      <c r="BX13" s="645">
        <f>VLOOKUP(WWWW[[#This Row],[Village  Name]],SiteDB6[[Site Name]:[Lat]],12,FALSE)</f>
        <v>0</v>
      </c>
      <c r="BY13" s="645">
        <f>VLOOKUP(WWWW[[#This Row],[Village  Name]],SiteDB6[[Site Name]:[Long]],13,FALSE)</f>
        <v>0</v>
      </c>
      <c r="BZ13" s="645">
        <f>VLOOKUP(WWWW[[#This Row],[Village  Name]],SiteDB6[[Site Name]:[Pcode]],3,FALSE)</f>
        <v>0</v>
      </c>
      <c r="CA13" s="645" t="str">
        <f t="shared" si="0"/>
        <v>Covered</v>
      </c>
      <c r="CB13" s="655"/>
    </row>
    <row r="14" spans="1:80">
      <c r="A14" s="641" t="s">
        <v>3150</v>
      </c>
      <c r="B14" s="641" t="s">
        <v>2994</v>
      </c>
      <c r="C14" s="642"/>
      <c r="D14" s="642" t="s">
        <v>231</v>
      </c>
      <c r="E14" s="643" t="s">
        <v>698</v>
      </c>
      <c r="F14" s="642" t="s">
        <v>3005</v>
      </c>
      <c r="G14" s="644" t="str">
        <f>VLOOKUP(WWWW[[#This Row],[Village  Name]],SiteDB6[[Site Name]:[Location Type]],8,FALSE)</f>
        <v>Village</v>
      </c>
      <c r="H14" s="642" t="s">
        <v>3006</v>
      </c>
      <c r="I14" s="646"/>
      <c r="J14" s="646">
        <v>937</v>
      </c>
      <c r="K14" s="647">
        <v>43258</v>
      </c>
      <c r="L14" s="648">
        <v>43830</v>
      </c>
      <c r="M14" s="646"/>
      <c r="N14" s="646"/>
      <c r="O14" s="524"/>
      <c r="P14" s="646"/>
      <c r="Q14" s="646"/>
      <c r="R14" s="646"/>
      <c r="S14" s="646"/>
      <c r="T14" s="646"/>
      <c r="U14" s="649"/>
      <c r="V14" s="646"/>
      <c r="W14" s="646"/>
      <c r="X14" s="646"/>
      <c r="Y14" s="646"/>
      <c r="Z14" s="646"/>
      <c r="AA14" s="646"/>
      <c r="AB14" s="646"/>
      <c r="AC14" s="649"/>
      <c r="AD14" s="646">
        <v>41</v>
      </c>
      <c r="AE14" s="646">
        <v>64</v>
      </c>
      <c r="AF14" s="646"/>
      <c r="AG14" s="646"/>
      <c r="AH14" s="646"/>
      <c r="AI14" s="646"/>
      <c r="AJ14" s="524"/>
      <c r="AK14" s="646"/>
      <c r="AL14" s="524"/>
      <c r="AM14" s="524"/>
      <c r="AN14" s="649"/>
      <c r="AO14" s="477"/>
      <c r="AP14" s="477"/>
      <c r="AQ14" s="524"/>
      <c r="AR14" s="524"/>
      <c r="AS14" s="524"/>
      <c r="AT14"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4" s="651">
        <f>WWWW[[#This Row],[%Equitable and continuous access to sufficient quantity of safe drinking water]]*WWWW[[#This Row],[Total PoP ]]</f>
        <v>0</v>
      </c>
      <c r="AV14"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4" s="651">
        <f>WWWW[[#This Row],[% Access to unimproved water points]]*WWWW[[#This Row],[Total PoP ]]</f>
        <v>0</v>
      </c>
      <c r="AX14"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4"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4" s="651">
        <f>WWWW[[#This Row],[HRP1]]/250</f>
        <v>0</v>
      </c>
      <c r="BA14" s="653">
        <f>1-WWWW[[#This Row],[% Equitable and continuous access to sufficient quantity of domestic water]]</f>
        <v>1</v>
      </c>
      <c r="BB14" s="651">
        <f>WWWW[[#This Row],[%equitable and continuous access to sufficient quantity of safe drinking and domestic water''s GAP]]*WWWW[[#This Row],[Total PoP ]]</f>
        <v>937</v>
      </c>
      <c r="BC14" s="654">
        <f>IF(WWWW[[#This Row],[Total required water points]]-WWWW[[#This Row],['#Water points coverage]]&lt;0,0,WWWW[[#This Row],[Total required water points]]-WWWW[[#This Row],['#Water points coverage]])</f>
        <v>4</v>
      </c>
      <c r="BD14" s="654">
        <f>ROUND(IF(WWWW[[#This Row],[Total PoP ]]&lt;250,1,WWWW[[#This Row],[Total PoP ]]/250),0)</f>
        <v>4</v>
      </c>
      <c r="BE1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4" s="651">
        <f>WWWW[[#This Row],[% people access to functioning Latrine]]*WWWW[[#This Row],[Total PoP ]]</f>
        <v>0</v>
      </c>
      <c r="BG14" s="654">
        <f>WWWW[[#This Row],['#_of_Functioning_latrines_in_school]]*50</f>
        <v>0</v>
      </c>
      <c r="BH14" s="654">
        <f>ROUND((WWWW[[#This Row],[Total PoP ]]/6),0)</f>
        <v>156</v>
      </c>
      <c r="BI14" s="654">
        <f>IF(WWWW[[#This Row],[Total required Latrines]]-(WWWW[[#This Row],['#_of_sanitary_fly-proof_HH_latrines]])&lt;0,0,WWWW[[#This Row],[Total required Latrines]]-(WWWW[[#This Row],['#_of_sanitary_fly-proof_HH_latrines]]))</f>
        <v>156</v>
      </c>
      <c r="BJ14" s="650">
        <f>1-WWWW[[#This Row],[% people access to functioning Latrine]]</f>
        <v>1</v>
      </c>
      <c r="BK14"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105</v>
      </c>
      <c r="BL14" s="483">
        <f>IF(WWWW[[#This Row],['#_of_functional_handwashing_facilities_at_HH_level]]*6&gt;WWWW[[#This Row],[Total PoP ]],WWWW[[#This Row],[Total PoP ]],WWWW[[#This Row],['#_of_functional_handwashing_facilities_at_HH_level]]*6)</f>
        <v>0</v>
      </c>
      <c r="BM14" s="654">
        <f>IF(WWWW[[#This Row],['# people reached by regular dedicated hygiene promotion]]&gt;WWWW[[#This Row],['# People received regular supply of hygiene items]],WWWW[[#This Row],['# people reached by regular dedicated hygiene promotion]],WWWW[[#This Row],['# People received regular supply of hygiene items]])</f>
        <v>105</v>
      </c>
      <c r="BN14" s="653">
        <f>IF(WWWW[[#This Row],[HRP3]]/WWWW[[#This Row],[Total PoP ]]&gt;100%,100%,WWWW[[#This Row],[HRP3]]/WWWW[[#This Row],[Total PoP ]])</f>
        <v>0.11205976520811099</v>
      </c>
      <c r="BO14" s="650">
        <f>1-WWWW[[#This Row],[Hygiene Coverage%]]</f>
        <v>0.88794023479188899</v>
      </c>
      <c r="BP14" s="652">
        <f>WWWW[[#This Row],['# people reached by regular dedicated hygiene promotion]]/WWWW[[#This Row],[Total PoP ]]</f>
        <v>0.11205976520811099</v>
      </c>
      <c r="BQ1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4" s="478">
        <f>WWWW[[#This Row],['#_of_affected_women_and_girls_receiving_a_sufficient_quantity_of_sanitary_pads]]</f>
        <v>0</v>
      </c>
      <c r="BS14" s="524">
        <f>IF(WWWW[[#This Row],['# People with access to soap]]&gt;WWWW[[#This Row],['# People with access to Sanity Pads]],WWWW[[#This Row],['# People with access to soap]],WWWW[[#This Row],['# People with access to Sanity Pads]])</f>
        <v>0</v>
      </c>
      <c r="BT14" s="483" t="str">
        <f>IF(OR(WWWW[[#This Row],['#of students in school]]="",WWWW[[#This Row],['#of students in school]]=0),"No","Yes")</f>
        <v>No</v>
      </c>
      <c r="BU14" s="645" t="str">
        <f>VLOOKUP(WWWW[[#This Row],[Village  Name]],SiteDB6[[Site Name]:[Location Type 1]],9,FALSE)</f>
        <v>Village</v>
      </c>
      <c r="BV14" s="645" t="str">
        <f>VLOOKUP(WWWW[[#This Row],[Village  Name]],SiteDB6[[Site Name]:[Type of Accommodation]],10,FALSE)</f>
        <v>Village</v>
      </c>
      <c r="BW14" s="645">
        <f>VLOOKUP(WWWW[[#This Row],[Village  Name]],SiteDB6[[Site Name]:[Ethnic or GCA/NGCA]],11,FALSE)</f>
        <v>0</v>
      </c>
      <c r="BX14" s="645">
        <f>VLOOKUP(WWWW[[#This Row],[Village  Name]],SiteDB6[[Site Name]:[Lat]],12,FALSE)</f>
        <v>0</v>
      </c>
      <c r="BY14" s="645">
        <f>VLOOKUP(WWWW[[#This Row],[Village  Name]],SiteDB6[[Site Name]:[Long]],13,FALSE)</f>
        <v>0</v>
      </c>
      <c r="BZ14" s="645">
        <f>VLOOKUP(WWWW[[#This Row],[Village  Name]],SiteDB6[[Site Name]:[Pcode]],3,FALSE)</f>
        <v>0</v>
      </c>
      <c r="CA14" s="645" t="str">
        <f t="shared" si="0"/>
        <v>Covered</v>
      </c>
      <c r="CB14" s="655"/>
    </row>
    <row r="15" spans="1:80">
      <c r="A15" s="641" t="s">
        <v>3150</v>
      </c>
      <c r="B15" s="641" t="s">
        <v>2994</v>
      </c>
      <c r="C15" s="642"/>
      <c r="D15" s="642" t="s">
        <v>231</v>
      </c>
      <c r="E15" s="643" t="s">
        <v>698</v>
      </c>
      <c r="F15" s="642" t="s">
        <v>1272</v>
      </c>
      <c r="G15" s="644" t="str">
        <f>VLOOKUP(WWWW[[#This Row],[Village  Name]],SiteDB6[[Site Name]:[Location Type]],8,FALSE)</f>
        <v>Village</v>
      </c>
      <c r="H15" s="642" t="s">
        <v>3007</v>
      </c>
      <c r="I15" s="646"/>
      <c r="J15" s="646">
        <v>352</v>
      </c>
      <c r="K15" s="647">
        <v>43258</v>
      </c>
      <c r="L15" s="648">
        <v>43830</v>
      </c>
      <c r="M15" s="646"/>
      <c r="N15" s="646"/>
      <c r="O15" s="524"/>
      <c r="P15" s="646"/>
      <c r="Q15" s="646"/>
      <c r="R15" s="646"/>
      <c r="S15" s="646"/>
      <c r="T15" s="646"/>
      <c r="U15" s="649"/>
      <c r="V15" s="646">
        <v>17</v>
      </c>
      <c r="W15" s="646"/>
      <c r="X15" s="646"/>
      <c r="Y15" s="646"/>
      <c r="Z15" s="646"/>
      <c r="AA15" s="646"/>
      <c r="AB15" s="646"/>
      <c r="AC15" s="649"/>
      <c r="AD15" s="646">
        <v>17</v>
      </c>
      <c r="AE15" s="646">
        <v>24</v>
      </c>
      <c r="AF15" s="646"/>
      <c r="AG15" s="646"/>
      <c r="AH15" s="646"/>
      <c r="AI15" s="646"/>
      <c r="AJ15" s="524"/>
      <c r="AK15" s="646"/>
      <c r="AL15" s="524"/>
      <c r="AM15" s="524"/>
      <c r="AN15" s="649"/>
      <c r="AO15" s="477"/>
      <c r="AP15" s="477"/>
      <c r="AQ15" s="524"/>
      <c r="AR15" s="524"/>
      <c r="AS15" s="524"/>
      <c r="AT15"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5" s="651">
        <f>WWWW[[#This Row],[%Equitable and continuous access to sufficient quantity of safe drinking water]]*WWWW[[#This Row],[Total PoP ]]</f>
        <v>0</v>
      </c>
      <c r="AV15"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5" s="651">
        <f>WWWW[[#This Row],[% Access to unimproved water points]]*WWWW[[#This Row],[Total PoP ]]</f>
        <v>0</v>
      </c>
      <c r="AX15"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5"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5" s="651">
        <f>WWWW[[#This Row],[HRP1]]/250</f>
        <v>0</v>
      </c>
      <c r="BA15" s="653">
        <f>1-WWWW[[#This Row],[% Equitable and continuous access to sufficient quantity of domestic water]]</f>
        <v>1</v>
      </c>
      <c r="BB15" s="651">
        <f>WWWW[[#This Row],[%equitable and continuous access to sufficient quantity of safe drinking and domestic water''s GAP]]*WWWW[[#This Row],[Total PoP ]]</f>
        <v>352</v>
      </c>
      <c r="BC15" s="654">
        <f>IF(WWWW[[#This Row],[Total required water points]]-WWWW[[#This Row],['#Water points coverage]]&lt;0,0,WWWW[[#This Row],[Total required water points]]-WWWW[[#This Row],['#Water points coverage]])</f>
        <v>1</v>
      </c>
      <c r="BD15" s="654">
        <f>ROUND(IF(WWWW[[#This Row],[Total PoP ]]&lt;250,1,WWWW[[#This Row],[Total PoP ]]/250),0)</f>
        <v>1</v>
      </c>
      <c r="BE1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0.28977272727272729</v>
      </c>
      <c r="BF15" s="651">
        <f>WWWW[[#This Row],[% people access to functioning Latrine]]*WWWW[[#This Row],[Total PoP ]]</f>
        <v>102</v>
      </c>
      <c r="BG15" s="654">
        <f>WWWW[[#This Row],['#_of_Functioning_latrines_in_school]]*50</f>
        <v>0</v>
      </c>
      <c r="BH15" s="654">
        <f>ROUND((WWWW[[#This Row],[Total PoP ]]/6),0)</f>
        <v>59</v>
      </c>
      <c r="BI15" s="654">
        <f>IF(WWWW[[#This Row],[Total required Latrines]]-(WWWW[[#This Row],['#_of_sanitary_fly-proof_HH_latrines]])&lt;0,0,WWWW[[#This Row],[Total required Latrines]]-(WWWW[[#This Row],['#_of_sanitary_fly-proof_HH_latrines]]))</f>
        <v>42</v>
      </c>
      <c r="BJ15" s="650">
        <f>1-WWWW[[#This Row],[% people access to functioning Latrine]]</f>
        <v>0.71022727272727271</v>
      </c>
      <c r="BK15"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41</v>
      </c>
      <c r="BL15" s="483">
        <f>IF(WWWW[[#This Row],['#_of_functional_handwashing_facilities_at_HH_level]]*6&gt;WWWW[[#This Row],[Total PoP ]],WWWW[[#This Row],[Total PoP ]],WWWW[[#This Row],['#_of_functional_handwashing_facilities_at_HH_level]]*6)</f>
        <v>0</v>
      </c>
      <c r="BM15" s="654">
        <f>IF(WWWW[[#This Row],['# people reached by regular dedicated hygiene promotion]]&gt;WWWW[[#This Row],['# People received regular supply of hygiene items]],WWWW[[#This Row],['# people reached by regular dedicated hygiene promotion]],WWWW[[#This Row],['# People received regular supply of hygiene items]])</f>
        <v>41</v>
      </c>
      <c r="BN15" s="653">
        <f>IF(WWWW[[#This Row],[HRP3]]/WWWW[[#This Row],[Total PoP ]]&gt;100%,100%,WWWW[[#This Row],[HRP3]]/WWWW[[#This Row],[Total PoP ]])</f>
        <v>0.11647727272727272</v>
      </c>
      <c r="BO15" s="650">
        <f>1-WWWW[[#This Row],[Hygiene Coverage%]]</f>
        <v>0.88352272727272729</v>
      </c>
      <c r="BP15" s="652">
        <f>WWWW[[#This Row],['# people reached by regular dedicated hygiene promotion]]/WWWW[[#This Row],[Total PoP ]]</f>
        <v>0.11647727272727272</v>
      </c>
      <c r="BQ1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5" s="478">
        <f>WWWW[[#This Row],['#_of_affected_women_and_girls_receiving_a_sufficient_quantity_of_sanitary_pads]]</f>
        <v>0</v>
      </c>
      <c r="BS15" s="524">
        <f>IF(WWWW[[#This Row],['# People with access to soap]]&gt;WWWW[[#This Row],['# People with access to Sanity Pads]],WWWW[[#This Row],['# People with access to soap]],WWWW[[#This Row],['# People with access to Sanity Pads]])</f>
        <v>0</v>
      </c>
      <c r="BT15" s="483" t="str">
        <f>IF(OR(WWWW[[#This Row],['#of students in school]]="",WWWW[[#This Row],['#of students in school]]=0),"No","Yes")</f>
        <v>No</v>
      </c>
      <c r="BU15" s="645" t="str">
        <f>VLOOKUP(WWWW[[#This Row],[Village  Name]],SiteDB6[[Site Name]:[Location Type 1]],9,FALSE)</f>
        <v>Village</v>
      </c>
      <c r="BV15" s="645" t="str">
        <f>VLOOKUP(WWWW[[#This Row],[Village  Name]],SiteDB6[[Site Name]:[Type of Accommodation]],10,FALSE)</f>
        <v>Village</v>
      </c>
      <c r="BW15" s="645">
        <f>VLOOKUP(WWWW[[#This Row],[Village  Name]],SiteDB6[[Site Name]:[Ethnic or GCA/NGCA]],11,FALSE)</f>
        <v>0</v>
      </c>
      <c r="BX15" s="645">
        <f>VLOOKUP(WWWW[[#This Row],[Village  Name]],SiteDB6[[Site Name]:[Lat]],12,FALSE)</f>
        <v>0</v>
      </c>
      <c r="BY15" s="645">
        <f>VLOOKUP(WWWW[[#This Row],[Village  Name]],SiteDB6[[Site Name]:[Long]],13,FALSE)</f>
        <v>0</v>
      </c>
      <c r="BZ15" s="645">
        <f>VLOOKUP(WWWW[[#This Row],[Village  Name]],SiteDB6[[Site Name]:[Pcode]],3,FALSE)</f>
        <v>0</v>
      </c>
      <c r="CA15" s="645" t="str">
        <f t="shared" si="0"/>
        <v>Covered</v>
      </c>
      <c r="CB15" s="655"/>
    </row>
    <row r="16" spans="1:80">
      <c r="A16" s="641" t="s">
        <v>3150</v>
      </c>
      <c r="B16" s="641" t="s">
        <v>2994</v>
      </c>
      <c r="C16" s="642"/>
      <c r="D16" s="642" t="s">
        <v>231</v>
      </c>
      <c r="E16" s="643" t="s">
        <v>698</v>
      </c>
      <c r="F16" s="642" t="s">
        <v>1272</v>
      </c>
      <c r="G16" s="644" t="str">
        <f>VLOOKUP(WWWW[[#This Row],[Village  Name]],SiteDB6[[Site Name]:[Location Type]],8,FALSE)</f>
        <v>Village</v>
      </c>
      <c r="H16" s="642" t="s">
        <v>3008</v>
      </c>
      <c r="I16" s="646"/>
      <c r="J16" s="646">
        <v>265</v>
      </c>
      <c r="K16" s="647">
        <v>43258</v>
      </c>
      <c r="L16" s="648">
        <v>43830</v>
      </c>
      <c r="M16" s="646"/>
      <c r="N16" s="646"/>
      <c r="O16" s="524"/>
      <c r="P16" s="646"/>
      <c r="Q16" s="646"/>
      <c r="R16" s="646"/>
      <c r="S16" s="646"/>
      <c r="T16" s="646"/>
      <c r="U16" s="649"/>
      <c r="V16" s="646">
        <v>9</v>
      </c>
      <c r="W16" s="646"/>
      <c r="X16" s="646"/>
      <c r="Y16" s="646"/>
      <c r="Z16" s="646"/>
      <c r="AA16" s="646"/>
      <c r="AB16" s="646"/>
      <c r="AC16" s="649"/>
      <c r="AD16" s="646">
        <v>11</v>
      </c>
      <c r="AE16" s="646">
        <v>23</v>
      </c>
      <c r="AF16" s="646"/>
      <c r="AG16" s="646"/>
      <c r="AH16" s="646"/>
      <c r="AI16" s="646"/>
      <c r="AJ16" s="524"/>
      <c r="AK16" s="646"/>
      <c r="AL16" s="524"/>
      <c r="AM16" s="524"/>
      <c r="AN16" s="649"/>
      <c r="AO16" s="477"/>
      <c r="AP16" s="477"/>
      <c r="AQ16" s="524"/>
      <c r="AR16" s="524"/>
      <c r="AS16" s="524"/>
      <c r="AT16"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6" s="651">
        <f>WWWW[[#This Row],[%Equitable and continuous access to sufficient quantity of safe drinking water]]*WWWW[[#This Row],[Total PoP ]]</f>
        <v>0</v>
      </c>
      <c r="AV16"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6" s="651">
        <f>WWWW[[#This Row],[% Access to unimproved water points]]*WWWW[[#This Row],[Total PoP ]]</f>
        <v>0</v>
      </c>
      <c r="AX16"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6"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6" s="651">
        <f>WWWW[[#This Row],[HRP1]]/250</f>
        <v>0</v>
      </c>
      <c r="BA16" s="653">
        <f>1-WWWW[[#This Row],[% Equitable and continuous access to sufficient quantity of domestic water]]</f>
        <v>1</v>
      </c>
      <c r="BB16" s="651">
        <f>WWWW[[#This Row],[%equitable and continuous access to sufficient quantity of safe drinking and domestic water''s GAP]]*WWWW[[#This Row],[Total PoP ]]</f>
        <v>265</v>
      </c>
      <c r="BC16" s="654">
        <f>IF(WWWW[[#This Row],[Total required water points]]-WWWW[[#This Row],['#Water points coverage]]&lt;0,0,WWWW[[#This Row],[Total required water points]]-WWWW[[#This Row],['#Water points coverage]])</f>
        <v>1</v>
      </c>
      <c r="BD16" s="654">
        <f>ROUND(IF(WWWW[[#This Row],[Total PoP ]]&lt;250,1,WWWW[[#This Row],[Total PoP ]]/250),0)</f>
        <v>1</v>
      </c>
      <c r="BE1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0.20377358490566039</v>
      </c>
      <c r="BF16" s="651">
        <f>WWWW[[#This Row],[% people access to functioning Latrine]]*WWWW[[#This Row],[Total PoP ]]</f>
        <v>54</v>
      </c>
      <c r="BG16" s="654">
        <f>WWWW[[#This Row],['#_of_Functioning_latrines_in_school]]*50</f>
        <v>0</v>
      </c>
      <c r="BH16" s="654">
        <f>ROUND((WWWW[[#This Row],[Total PoP ]]/6),0)</f>
        <v>44</v>
      </c>
      <c r="BI16" s="654">
        <f>IF(WWWW[[#This Row],[Total required Latrines]]-(WWWW[[#This Row],['#_of_sanitary_fly-proof_HH_latrines]])&lt;0,0,WWWW[[#This Row],[Total required Latrines]]-(WWWW[[#This Row],['#_of_sanitary_fly-proof_HH_latrines]]))</f>
        <v>35</v>
      </c>
      <c r="BJ16" s="650">
        <f>1-WWWW[[#This Row],[% people access to functioning Latrine]]</f>
        <v>0.79622641509433967</v>
      </c>
      <c r="BK16"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34</v>
      </c>
      <c r="BL16" s="483">
        <f>IF(WWWW[[#This Row],['#_of_functional_handwashing_facilities_at_HH_level]]*6&gt;WWWW[[#This Row],[Total PoP ]],WWWW[[#This Row],[Total PoP ]],WWWW[[#This Row],['#_of_functional_handwashing_facilities_at_HH_level]]*6)</f>
        <v>0</v>
      </c>
      <c r="BM16" s="654">
        <f>IF(WWWW[[#This Row],['# people reached by regular dedicated hygiene promotion]]&gt;WWWW[[#This Row],['# People received regular supply of hygiene items]],WWWW[[#This Row],['# people reached by regular dedicated hygiene promotion]],WWWW[[#This Row],['# People received regular supply of hygiene items]])</f>
        <v>34</v>
      </c>
      <c r="BN16" s="653">
        <f>IF(WWWW[[#This Row],[HRP3]]/WWWW[[#This Row],[Total PoP ]]&gt;100%,100%,WWWW[[#This Row],[HRP3]]/WWWW[[#This Row],[Total PoP ]])</f>
        <v>0.12830188679245283</v>
      </c>
      <c r="BO16" s="650">
        <f>1-WWWW[[#This Row],[Hygiene Coverage%]]</f>
        <v>0.8716981132075472</v>
      </c>
      <c r="BP16" s="652">
        <f>WWWW[[#This Row],['# people reached by regular dedicated hygiene promotion]]/WWWW[[#This Row],[Total PoP ]]</f>
        <v>0.12830188679245283</v>
      </c>
      <c r="BQ1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6" s="478">
        <f>WWWW[[#This Row],['#_of_affected_women_and_girls_receiving_a_sufficient_quantity_of_sanitary_pads]]</f>
        <v>0</v>
      </c>
      <c r="BS16" s="524">
        <f>IF(WWWW[[#This Row],['# People with access to soap]]&gt;WWWW[[#This Row],['# People with access to Sanity Pads]],WWWW[[#This Row],['# People with access to soap]],WWWW[[#This Row],['# People with access to Sanity Pads]])</f>
        <v>0</v>
      </c>
      <c r="BT16" s="483" t="str">
        <f>IF(OR(WWWW[[#This Row],['#of students in school]]="",WWWW[[#This Row],['#of students in school]]=0),"No","Yes")</f>
        <v>No</v>
      </c>
      <c r="BU16" s="645" t="str">
        <f>VLOOKUP(WWWW[[#This Row],[Village  Name]],SiteDB6[[Site Name]:[Location Type 1]],9,FALSE)</f>
        <v>Village</v>
      </c>
      <c r="BV16" s="645" t="str">
        <f>VLOOKUP(WWWW[[#This Row],[Village  Name]],SiteDB6[[Site Name]:[Type of Accommodation]],10,FALSE)</f>
        <v>Village</v>
      </c>
      <c r="BW16" s="645">
        <f>VLOOKUP(WWWW[[#This Row],[Village  Name]],SiteDB6[[Site Name]:[Ethnic or GCA/NGCA]],11,FALSE)</f>
        <v>0</v>
      </c>
      <c r="BX16" s="645">
        <f>VLOOKUP(WWWW[[#This Row],[Village  Name]],SiteDB6[[Site Name]:[Lat]],12,FALSE)</f>
        <v>0</v>
      </c>
      <c r="BY16" s="645">
        <f>VLOOKUP(WWWW[[#This Row],[Village  Name]],SiteDB6[[Site Name]:[Long]],13,FALSE)</f>
        <v>0</v>
      </c>
      <c r="BZ16" s="645">
        <f>VLOOKUP(WWWW[[#This Row],[Village  Name]],SiteDB6[[Site Name]:[Pcode]],3,FALSE)</f>
        <v>0</v>
      </c>
      <c r="CA16" s="645" t="str">
        <f t="shared" si="0"/>
        <v>Covered</v>
      </c>
      <c r="CB16" s="655"/>
    </row>
    <row r="17" spans="1:80">
      <c r="A17" s="641" t="s">
        <v>3150</v>
      </c>
      <c r="B17" s="641" t="s">
        <v>2994</v>
      </c>
      <c r="C17" s="642"/>
      <c r="D17" s="642" t="s">
        <v>231</v>
      </c>
      <c r="E17" s="643" t="s">
        <v>698</v>
      </c>
      <c r="F17" s="642" t="s">
        <v>1246</v>
      </c>
      <c r="G17" s="644" t="str">
        <f>VLOOKUP(WWWW[[#This Row],[Village  Name]],SiteDB6[[Site Name]:[Location Type]],8,FALSE)</f>
        <v>Village</v>
      </c>
      <c r="H17" s="642" t="s">
        <v>3009</v>
      </c>
      <c r="I17" s="646"/>
      <c r="J17" s="646">
        <v>117</v>
      </c>
      <c r="K17" s="647">
        <v>43258</v>
      </c>
      <c r="L17" s="648">
        <v>43830</v>
      </c>
      <c r="M17" s="646"/>
      <c r="N17" s="646"/>
      <c r="O17" s="524"/>
      <c r="P17" s="646"/>
      <c r="Q17" s="646"/>
      <c r="R17" s="646"/>
      <c r="S17" s="646"/>
      <c r="T17" s="646"/>
      <c r="U17" s="649"/>
      <c r="V17" s="646"/>
      <c r="W17" s="646"/>
      <c r="X17" s="646"/>
      <c r="Y17" s="646"/>
      <c r="Z17" s="646"/>
      <c r="AA17" s="646"/>
      <c r="AB17" s="646"/>
      <c r="AC17" s="649"/>
      <c r="AD17" s="646">
        <v>14</v>
      </c>
      <c r="AE17" s="646">
        <v>9</v>
      </c>
      <c r="AF17" s="646">
        <v>9</v>
      </c>
      <c r="AG17" s="646">
        <v>8</v>
      </c>
      <c r="AH17" s="646"/>
      <c r="AI17" s="646"/>
      <c r="AJ17" s="524"/>
      <c r="AK17" s="646"/>
      <c r="AL17" s="524"/>
      <c r="AM17" s="524"/>
      <c r="AN17" s="649"/>
      <c r="AO17" s="477"/>
      <c r="AP17" s="477"/>
      <c r="AQ17" s="524"/>
      <c r="AR17" s="524"/>
      <c r="AS17" s="524"/>
      <c r="AT17"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7" s="651">
        <f>WWWW[[#This Row],[%Equitable and continuous access to sufficient quantity of safe drinking water]]*WWWW[[#This Row],[Total PoP ]]</f>
        <v>0</v>
      </c>
      <c r="AV17"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7" s="651">
        <f>WWWW[[#This Row],[% Access to unimproved water points]]*WWWW[[#This Row],[Total PoP ]]</f>
        <v>0</v>
      </c>
      <c r="AX17"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7"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7" s="651">
        <f>WWWW[[#This Row],[HRP1]]/250</f>
        <v>0</v>
      </c>
      <c r="BA17" s="653">
        <f>1-WWWW[[#This Row],[% Equitable and continuous access to sufficient quantity of domestic water]]</f>
        <v>1</v>
      </c>
      <c r="BB17" s="651">
        <f>WWWW[[#This Row],[%equitable and continuous access to sufficient quantity of safe drinking and domestic water''s GAP]]*WWWW[[#This Row],[Total PoP ]]</f>
        <v>117</v>
      </c>
      <c r="BC17" s="654">
        <f>IF(WWWW[[#This Row],[Total required water points]]-WWWW[[#This Row],['#Water points coverage]]&lt;0,0,WWWW[[#This Row],[Total required water points]]-WWWW[[#This Row],['#Water points coverage]])</f>
        <v>1</v>
      </c>
      <c r="BD17" s="654">
        <f>ROUND(IF(WWWW[[#This Row],[Total PoP ]]&lt;250,1,WWWW[[#This Row],[Total PoP ]]/250),0)</f>
        <v>1</v>
      </c>
      <c r="BE1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7" s="651">
        <f>WWWW[[#This Row],[% people access to functioning Latrine]]*WWWW[[#This Row],[Total PoP ]]</f>
        <v>0</v>
      </c>
      <c r="BG17" s="654">
        <f>WWWW[[#This Row],['#_of_Functioning_latrines_in_school]]*50</f>
        <v>0</v>
      </c>
      <c r="BH17" s="654">
        <f>ROUND((WWWW[[#This Row],[Total PoP ]]/6),0)</f>
        <v>20</v>
      </c>
      <c r="BI17" s="654">
        <f>IF(WWWW[[#This Row],[Total required Latrines]]-(WWWW[[#This Row],['#_of_sanitary_fly-proof_HH_latrines]])&lt;0,0,WWWW[[#This Row],[Total required Latrines]]-(WWWW[[#This Row],['#_of_sanitary_fly-proof_HH_latrines]]))</f>
        <v>20</v>
      </c>
      <c r="BJ17" s="650">
        <f>1-WWWW[[#This Row],[% people access to functioning Latrine]]</f>
        <v>1</v>
      </c>
      <c r="BK17"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40</v>
      </c>
      <c r="BL17" s="483">
        <f>IF(WWWW[[#This Row],['#_of_functional_handwashing_facilities_at_HH_level]]*6&gt;WWWW[[#This Row],[Total PoP ]],WWWW[[#This Row],[Total PoP ]],WWWW[[#This Row],['#_of_functional_handwashing_facilities_at_HH_level]]*6)</f>
        <v>0</v>
      </c>
      <c r="BM17" s="654">
        <f>IF(WWWW[[#This Row],['# people reached by regular dedicated hygiene promotion]]&gt;WWWW[[#This Row],['# People received regular supply of hygiene items]],WWWW[[#This Row],['# people reached by regular dedicated hygiene promotion]],WWWW[[#This Row],['# People received regular supply of hygiene items]])</f>
        <v>40</v>
      </c>
      <c r="BN17" s="653">
        <f>IF(WWWW[[#This Row],[HRP3]]/WWWW[[#This Row],[Total PoP ]]&gt;100%,100%,WWWW[[#This Row],[HRP3]]/WWWW[[#This Row],[Total PoP ]])</f>
        <v>0.34188034188034189</v>
      </c>
      <c r="BO17" s="650">
        <f>1-WWWW[[#This Row],[Hygiene Coverage%]]</f>
        <v>0.65811965811965811</v>
      </c>
      <c r="BP17" s="652">
        <f>WWWW[[#This Row],['# people reached by regular dedicated hygiene promotion]]/WWWW[[#This Row],[Total PoP ]]</f>
        <v>0.34188034188034189</v>
      </c>
      <c r="BQ1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7" s="478">
        <f>WWWW[[#This Row],['#_of_affected_women_and_girls_receiving_a_sufficient_quantity_of_sanitary_pads]]</f>
        <v>0</v>
      </c>
      <c r="BS17" s="524">
        <f>IF(WWWW[[#This Row],['# People with access to soap]]&gt;WWWW[[#This Row],['# People with access to Sanity Pads]],WWWW[[#This Row],['# People with access to soap]],WWWW[[#This Row],['# People with access to Sanity Pads]])</f>
        <v>0</v>
      </c>
      <c r="BT17" s="483" t="str">
        <f>IF(OR(WWWW[[#This Row],['#of students in school]]="",WWWW[[#This Row],['#of students in school]]=0),"No","Yes")</f>
        <v>No</v>
      </c>
      <c r="BU17" s="645" t="str">
        <f>VLOOKUP(WWWW[[#This Row],[Village  Name]],SiteDB6[[Site Name]:[Location Type 1]],9,FALSE)</f>
        <v>Village</v>
      </c>
      <c r="BV17" s="645" t="str">
        <f>VLOOKUP(WWWW[[#This Row],[Village  Name]],SiteDB6[[Site Name]:[Type of Accommodation]],10,FALSE)</f>
        <v>Village</v>
      </c>
      <c r="BW17" s="645">
        <f>VLOOKUP(WWWW[[#This Row],[Village  Name]],SiteDB6[[Site Name]:[Ethnic or GCA/NGCA]],11,FALSE)</f>
        <v>0</v>
      </c>
      <c r="BX17" s="645">
        <f>VLOOKUP(WWWW[[#This Row],[Village  Name]],SiteDB6[[Site Name]:[Lat]],12,FALSE)</f>
        <v>0</v>
      </c>
      <c r="BY17" s="645">
        <f>VLOOKUP(WWWW[[#This Row],[Village  Name]],SiteDB6[[Site Name]:[Long]],13,FALSE)</f>
        <v>0</v>
      </c>
      <c r="BZ17" s="645">
        <f>VLOOKUP(WWWW[[#This Row],[Village  Name]],SiteDB6[[Site Name]:[Pcode]],3,FALSE)</f>
        <v>0</v>
      </c>
      <c r="CA17" s="645" t="str">
        <f t="shared" si="0"/>
        <v>Covered</v>
      </c>
      <c r="CB17" s="655"/>
    </row>
    <row r="18" spans="1:80">
      <c r="A18" s="641" t="s">
        <v>3150</v>
      </c>
      <c r="B18" s="641" t="s">
        <v>2994</v>
      </c>
      <c r="C18" s="642"/>
      <c r="D18" s="642" t="s">
        <v>231</v>
      </c>
      <c r="E18" s="643" t="s">
        <v>698</v>
      </c>
      <c r="F18" s="642" t="s">
        <v>1246</v>
      </c>
      <c r="G18" s="644" t="str">
        <f>VLOOKUP(WWWW[[#This Row],[Village  Name]],SiteDB6[[Site Name]:[Location Type]],8,FALSE)</f>
        <v>Village</v>
      </c>
      <c r="H18" s="642" t="s">
        <v>3010</v>
      </c>
      <c r="I18" s="646"/>
      <c r="J18" s="646">
        <v>155</v>
      </c>
      <c r="K18" s="647">
        <v>43258</v>
      </c>
      <c r="L18" s="648">
        <v>43830</v>
      </c>
      <c r="M18" s="646"/>
      <c r="N18" s="646"/>
      <c r="O18" s="524"/>
      <c r="P18" s="646"/>
      <c r="Q18" s="646"/>
      <c r="R18" s="646"/>
      <c r="S18" s="646"/>
      <c r="T18" s="646"/>
      <c r="U18" s="649"/>
      <c r="V18" s="646"/>
      <c r="W18" s="646"/>
      <c r="X18" s="646"/>
      <c r="Y18" s="646"/>
      <c r="Z18" s="646"/>
      <c r="AA18" s="646"/>
      <c r="AB18" s="646"/>
      <c r="AC18" s="649"/>
      <c r="AD18" s="646">
        <v>18</v>
      </c>
      <c r="AE18" s="646">
        <v>20</v>
      </c>
      <c r="AF18" s="646">
        <v>12</v>
      </c>
      <c r="AG18" s="646">
        <v>13</v>
      </c>
      <c r="AH18" s="646"/>
      <c r="AI18" s="646"/>
      <c r="AJ18" s="524"/>
      <c r="AK18" s="646"/>
      <c r="AL18" s="524"/>
      <c r="AM18" s="524"/>
      <c r="AN18" s="649"/>
      <c r="AO18" s="477"/>
      <c r="AP18" s="477"/>
      <c r="AQ18" s="524"/>
      <c r="AR18" s="524"/>
      <c r="AS18" s="524"/>
      <c r="AT18"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8" s="651">
        <f>WWWW[[#This Row],[%Equitable and continuous access to sufficient quantity of safe drinking water]]*WWWW[[#This Row],[Total PoP ]]</f>
        <v>0</v>
      </c>
      <c r="AV18"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8" s="651">
        <f>WWWW[[#This Row],[% Access to unimproved water points]]*WWWW[[#This Row],[Total PoP ]]</f>
        <v>0</v>
      </c>
      <c r="AX18"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8"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8" s="651">
        <f>WWWW[[#This Row],[HRP1]]/250</f>
        <v>0</v>
      </c>
      <c r="BA18" s="653">
        <f>1-WWWW[[#This Row],[% Equitable and continuous access to sufficient quantity of domestic water]]</f>
        <v>1</v>
      </c>
      <c r="BB18" s="651">
        <f>WWWW[[#This Row],[%equitable and continuous access to sufficient quantity of safe drinking and domestic water''s GAP]]*WWWW[[#This Row],[Total PoP ]]</f>
        <v>155</v>
      </c>
      <c r="BC18" s="654">
        <f>IF(WWWW[[#This Row],[Total required water points]]-WWWW[[#This Row],['#Water points coverage]]&lt;0,0,WWWW[[#This Row],[Total required water points]]-WWWW[[#This Row],['#Water points coverage]])</f>
        <v>1</v>
      </c>
      <c r="BD18" s="654">
        <f>ROUND(IF(WWWW[[#This Row],[Total PoP ]]&lt;250,1,WWWW[[#This Row],[Total PoP ]]/250),0)</f>
        <v>1</v>
      </c>
      <c r="BE1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8" s="651">
        <f>WWWW[[#This Row],[% people access to functioning Latrine]]*WWWW[[#This Row],[Total PoP ]]</f>
        <v>0</v>
      </c>
      <c r="BG18" s="654">
        <f>WWWW[[#This Row],['#_of_Functioning_latrines_in_school]]*50</f>
        <v>0</v>
      </c>
      <c r="BH18" s="654">
        <f>ROUND((WWWW[[#This Row],[Total PoP ]]/6),0)</f>
        <v>26</v>
      </c>
      <c r="BI18" s="654">
        <f>IF(WWWW[[#This Row],[Total required Latrines]]-(WWWW[[#This Row],['#_of_sanitary_fly-proof_HH_latrines]])&lt;0,0,WWWW[[#This Row],[Total required Latrines]]-(WWWW[[#This Row],['#_of_sanitary_fly-proof_HH_latrines]]))</f>
        <v>26</v>
      </c>
      <c r="BJ18" s="650">
        <f>1-WWWW[[#This Row],[% people access to functioning Latrine]]</f>
        <v>1</v>
      </c>
      <c r="BK18"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63</v>
      </c>
      <c r="BL18" s="483">
        <f>IF(WWWW[[#This Row],['#_of_functional_handwashing_facilities_at_HH_level]]*6&gt;WWWW[[#This Row],[Total PoP ]],WWWW[[#This Row],[Total PoP ]],WWWW[[#This Row],['#_of_functional_handwashing_facilities_at_HH_level]]*6)</f>
        <v>0</v>
      </c>
      <c r="BM18" s="654">
        <f>IF(WWWW[[#This Row],['# people reached by regular dedicated hygiene promotion]]&gt;WWWW[[#This Row],['# People received regular supply of hygiene items]],WWWW[[#This Row],['# people reached by regular dedicated hygiene promotion]],WWWW[[#This Row],['# People received regular supply of hygiene items]])</f>
        <v>63</v>
      </c>
      <c r="BN18" s="653">
        <f>IF(WWWW[[#This Row],[HRP3]]/WWWW[[#This Row],[Total PoP ]]&gt;100%,100%,WWWW[[#This Row],[HRP3]]/WWWW[[#This Row],[Total PoP ]])</f>
        <v>0.40645161290322579</v>
      </c>
      <c r="BO18" s="650">
        <f>1-WWWW[[#This Row],[Hygiene Coverage%]]</f>
        <v>0.59354838709677415</v>
      </c>
      <c r="BP18" s="652">
        <f>WWWW[[#This Row],['# people reached by regular dedicated hygiene promotion]]/WWWW[[#This Row],[Total PoP ]]</f>
        <v>0.40645161290322579</v>
      </c>
      <c r="BQ1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8" s="478">
        <f>WWWW[[#This Row],['#_of_affected_women_and_girls_receiving_a_sufficient_quantity_of_sanitary_pads]]</f>
        <v>0</v>
      </c>
      <c r="BS18" s="524">
        <f>IF(WWWW[[#This Row],['# People with access to soap]]&gt;WWWW[[#This Row],['# People with access to Sanity Pads]],WWWW[[#This Row],['# People with access to soap]],WWWW[[#This Row],['# People with access to Sanity Pads]])</f>
        <v>0</v>
      </c>
      <c r="BT18" s="483" t="str">
        <f>IF(OR(WWWW[[#This Row],['#of students in school]]="",WWWW[[#This Row],['#of students in school]]=0),"No","Yes")</f>
        <v>No</v>
      </c>
      <c r="BU18" s="645" t="str">
        <f>VLOOKUP(WWWW[[#This Row],[Village  Name]],SiteDB6[[Site Name]:[Location Type 1]],9,FALSE)</f>
        <v>Village</v>
      </c>
      <c r="BV18" s="645" t="str">
        <f>VLOOKUP(WWWW[[#This Row],[Village  Name]],SiteDB6[[Site Name]:[Type of Accommodation]],10,FALSE)</f>
        <v>Village</v>
      </c>
      <c r="BW18" s="645">
        <f>VLOOKUP(WWWW[[#This Row],[Village  Name]],SiteDB6[[Site Name]:[Ethnic or GCA/NGCA]],11,FALSE)</f>
        <v>0</v>
      </c>
      <c r="BX18" s="645">
        <f>VLOOKUP(WWWW[[#This Row],[Village  Name]],SiteDB6[[Site Name]:[Lat]],12,FALSE)</f>
        <v>0</v>
      </c>
      <c r="BY18" s="645">
        <f>VLOOKUP(WWWW[[#This Row],[Village  Name]],SiteDB6[[Site Name]:[Long]],13,FALSE)</f>
        <v>0</v>
      </c>
      <c r="BZ18" s="645">
        <f>VLOOKUP(WWWW[[#This Row],[Village  Name]],SiteDB6[[Site Name]:[Pcode]],3,FALSE)</f>
        <v>0</v>
      </c>
      <c r="CA18" s="645" t="str">
        <f t="shared" si="0"/>
        <v>Covered</v>
      </c>
      <c r="CB18" s="655"/>
    </row>
    <row r="19" spans="1:80">
      <c r="A19" s="641" t="s">
        <v>3150</v>
      </c>
      <c r="B19" s="641" t="s">
        <v>2994</v>
      </c>
      <c r="C19" s="642"/>
      <c r="D19" s="642" t="s">
        <v>231</v>
      </c>
      <c r="E19" s="643" t="s">
        <v>698</v>
      </c>
      <c r="F19" s="642" t="s">
        <v>3012</v>
      </c>
      <c r="G19" s="644" t="str">
        <f>VLOOKUP(WWWW[[#This Row],[Village  Name]],SiteDB6[[Site Name]:[Location Type]],8,FALSE)</f>
        <v>Village</v>
      </c>
      <c r="H19" s="642" t="s">
        <v>3013</v>
      </c>
      <c r="I19" s="646"/>
      <c r="J19" s="646">
        <v>172</v>
      </c>
      <c r="K19" s="647">
        <v>43258</v>
      </c>
      <c r="L19" s="648">
        <v>43830</v>
      </c>
      <c r="M19" s="646"/>
      <c r="N19" s="646"/>
      <c r="O19" s="524"/>
      <c r="P19" s="646"/>
      <c r="Q19" s="646"/>
      <c r="R19" s="646"/>
      <c r="S19" s="646"/>
      <c r="T19" s="646"/>
      <c r="U19" s="649"/>
      <c r="V19" s="646">
        <v>12</v>
      </c>
      <c r="W19" s="646"/>
      <c r="X19" s="646"/>
      <c r="Y19" s="646"/>
      <c r="Z19" s="646"/>
      <c r="AA19" s="646"/>
      <c r="AB19" s="646"/>
      <c r="AC19" s="649"/>
      <c r="AD19" s="646"/>
      <c r="AE19" s="646"/>
      <c r="AF19" s="646"/>
      <c r="AG19" s="646"/>
      <c r="AH19" s="646"/>
      <c r="AI19" s="646"/>
      <c r="AJ19" s="524"/>
      <c r="AK19" s="646"/>
      <c r="AL19" s="524"/>
      <c r="AM19" s="524"/>
      <c r="AN19" s="649"/>
      <c r="AO19" s="477"/>
      <c r="AP19" s="477"/>
      <c r="AQ19" s="524"/>
      <c r="AR19" s="524"/>
      <c r="AS19" s="524"/>
      <c r="AT19"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9" s="651">
        <f>WWWW[[#This Row],[%Equitable and continuous access to sufficient quantity of safe drinking water]]*WWWW[[#This Row],[Total PoP ]]</f>
        <v>0</v>
      </c>
      <c r="AV19"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9" s="651">
        <f>WWWW[[#This Row],[% Access to unimproved water points]]*WWWW[[#This Row],[Total PoP ]]</f>
        <v>0</v>
      </c>
      <c r="AX19"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9"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9" s="651">
        <f>WWWW[[#This Row],[HRP1]]/250</f>
        <v>0</v>
      </c>
      <c r="BA19" s="653">
        <f>1-WWWW[[#This Row],[% Equitable and continuous access to sufficient quantity of domestic water]]</f>
        <v>1</v>
      </c>
      <c r="BB19" s="651">
        <f>WWWW[[#This Row],[%equitable and continuous access to sufficient quantity of safe drinking and domestic water''s GAP]]*WWWW[[#This Row],[Total PoP ]]</f>
        <v>172</v>
      </c>
      <c r="BC19" s="654">
        <f>IF(WWWW[[#This Row],[Total required water points]]-WWWW[[#This Row],['#Water points coverage]]&lt;0,0,WWWW[[#This Row],[Total required water points]]-WWWW[[#This Row],['#Water points coverage]])</f>
        <v>1</v>
      </c>
      <c r="BD19" s="654">
        <f>ROUND(IF(WWWW[[#This Row],[Total PoP ]]&lt;250,1,WWWW[[#This Row],[Total PoP ]]/250),0)</f>
        <v>1</v>
      </c>
      <c r="BE1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0.41860465116279072</v>
      </c>
      <c r="BF19" s="651">
        <f>WWWW[[#This Row],[% people access to functioning Latrine]]*WWWW[[#This Row],[Total PoP ]]</f>
        <v>72</v>
      </c>
      <c r="BG19" s="654">
        <f>WWWW[[#This Row],['#_of_Functioning_latrines_in_school]]*50</f>
        <v>0</v>
      </c>
      <c r="BH19" s="654">
        <f>ROUND((WWWW[[#This Row],[Total PoP ]]/6),0)</f>
        <v>29</v>
      </c>
      <c r="BI19" s="654">
        <f>IF(WWWW[[#This Row],[Total required Latrines]]-(WWWW[[#This Row],['#_of_sanitary_fly-proof_HH_latrines]])&lt;0,0,WWWW[[#This Row],[Total required Latrines]]-(WWWW[[#This Row],['#_of_sanitary_fly-proof_HH_latrines]]))</f>
        <v>17</v>
      </c>
      <c r="BJ19" s="650">
        <f>1-WWWW[[#This Row],[% people access to functioning Latrine]]</f>
        <v>0.58139534883720922</v>
      </c>
      <c r="BK19"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9" s="483">
        <f>IF(WWWW[[#This Row],['#_of_functional_handwashing_facilities_at_HH_level]]*6&gt;WWWW[[#This Row],[Total PoP ]],WWWW[[#This Row],[Total PoP ]],WWWW[[#This Row],['#_of_functional_handwashing_facilities_at_HH_level]]*6)</f>
        <v>0</v>
      </c>
      <c r="BM19" s="654">
        <f>IF(WWWW[[#This Row],['# people reached by regular dedicated hygiene promotion]]&gt;WWWW[[#This Row],['# People received regular supply of hygiene items]],WWWW[[#This Row],['# people reached by regular dedicated hygiene promotion]],WWWW[[#This Row],['# People received regular supply of hygiene items]])</f>
        <v>0</v>
      </c>
      <c r="BN19" s="653">
        <f>IF(WWWW[[#This Row],[HRP3]]/WWWW[[#This Row],[Total PoP ]]&gt;100%,100%,WWWW[[#This Row],[HRP3]]/WWWW[[#This Row],[Total PoP ]])</f>
        <v>0</v>
      </c>
      <c r="BO19" s="650">
        <f>1-WWWW[[#This Row],[Hygiene Coverage%]]</f>
        <v>1</v>
      </c>
      <c r="BP19" s="652">
        <f>WWWW[[#This Row],['# people reached by regular dedicated hygiene promotion]]/WWWW[[#This Row],[Total PoP ]]</f>
        <v>0</v>
      </c>
      <c r="BQ1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9" s="478">
        <f>WWWW[[#This Row],['#_of_affected_women_and_girls_receiving_a_sufficient_quantity_of_sanitary_pads]]</f>
        <v>0</v>
      </c>
      <c r="BS19" s="524">
        <f>IF(WWWW[[#This Row],['# People with access to soap]]&gt;WWWW[[#This Row],['# People with access to Sanity Pads]],WWWW[[#This Row],['# People with access to soap]],WWWW[[#This Row],['# People with access to Sanity Pads]])</f>
        <v>0</v>
      </c>
      <c r="BT19" s="483" t="str">
        <f>IF(OR(WWWW[[#This Row],['#of students in school]]="",WWWW[[#This Row],['#of students in school]]=0),"No","Yes")</f>
        <v>No</v>
      </c>
      <c r="BU19" s="645" t="str">
        <f>VLOOKUP(WWWW[[#This Row],[Village  Name]],SiteDB6[[Site Name]:[Location Type 1]],9,FALSE)</f>
        <v>Village</v>
      </c>
      <c r="BV19" s="645" t="str">
        <f>VLOOKUP(WWWW[[#This Row],[Village  Name]],SiteDB6[[Site Name]:[Type of Accommodation]],10,FALSE)</f>
        <v>Village</v>
      </c>
      <c r="BW19" s="645">
        <f>VLOOKUP(WWWW[[#This Row],[Village  Name]],SiteDB6[[Site Name]:[Ethnic or GCA/NGCA]],11,FALSE)</f>
        <v>0</v>
      </c>
      <c r="BX19" s="645">
        <f>VLOOKUP(WWWW[[#This Row],[Village  Name]],SiteDB6[[Site Name]:[Lat]],12,FALSE)</f>
        <v>0</v>
      </c>
      <c r="BY19" s="645">
        <f>VLOOKUP(WWWW[[#This Row],[Village  Name]],SiteDB6[[Site Name]:[Long]],13,FALSE)</f>
        <v>0</v>
      </c>
      <c r="BZ19" s="645">
        <f>VLOOKUP(WWWW[[#This Row],[Village  Name]],SiteDB6[[Site Name]:[Pcode]],3,FALSE)</f>
        <v>0</v>
      </c>
      <c r="CA19" s="645" t="str">
        <f t="shared" si="0"/>
        <v>Covered</v>
      </c>
      <c r="CB19" s="655"/>
    </row>
    <row r="20" spans="1:80">
      <c r="A20" s="641" t="s">
        <v>3150</v>
      </c>
      <c r="B20" s="641" t="s">
        <v>2994</v>
      </c>
      <c r="C20" s="642"/>
      <c r="D20" s="642" t="s">
        <v>231</v>
      </c>
      <c r="E20" s="643" t="s">
        <v>698</v>
      </c>
      <c r="F20" s="642" t="s">
        <v>3012</v>
      </c>
      <c r="G20" s="644" t="str">
        <f>VLOOKUP(WWWW[[#This Row],[Village  Name]],SiteDB6[[Site Name]:[Location Type]],8,FALSE)</f>
        <v>Village</v>
      </c>
      <c r="H20" s="642" t="s">
        <v>3014</v>
      </c>
      <c r="I20" s="646"/>
      <c r="J20" s="646">
        <v>266</v>
      </c>
      <c r="K20" s="647">
        <v>43258</v>
      </c>
      <c r="L20" s="648">
        <v>43830</v>
      </c>
      <c r="M20" s="646"/>
      <c r="N20" s="646"/>
      <c r="O20" s="524"/>
      <c r="P20" s="646"/>
      <c r="Q20" s="646"/>
      <c r="R20" s="646"/>
      <c r="S20" s="646"/>
      <c r="T20" s="646"/>
      <c r="U20" s="649"/>
      <c r="V20" s="646">
        <v>3</v>
      </c>
      <c r="W20" s="646"/>
      <c r="X20" s="646"/>
      <c r="Y20" s="646"/>
      <c r="Z20" s="646"/>
      <c r="AA20" s="646"/>
      <c r="AB20" s="646"/>
      <c r="AC20" s="649"/>
      <c r="AD20" s="646"/>
      <c r="AE20" s="646"/>
      <c r="AF20" s="646"/>
      <c r="AG20" s="646"/>
      <c r="AH20" s="646"/>
      <c r="AI20" s="646"/>
      <c r="AJ20" s="524"/>
      <c r="AK20" s="646"/>
      <c r="AL20" s="524"/>
      <c r="AM20" s="524"/>
      <c r="AN20" s="649"/>
      <c r="AO20" s="477"/>
      <c r="AP20" s="477"/>
      <c r="AQ20" s="524"/>
      <c r="AR20" s="524"/>
      <c r="AS20" s="524"/>
      <c r="AT20"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0" s="651">
        <f>WWWW[[#This Row],[%Equitable and continuous access to sufficient quantity of safe drinking water]]*WWWW[[#This Row],[Total PoP ]]</f>
        <v>0</v>
      </c>
      <c r="AV20"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0" s="651">
        <f>WWWW[[#This Row],[% Access to unimproved water points]]*WWWW[[#This Row],[Total PoP ]]</f>
        <v>0</v>
      </c>
      <c r="AX20"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0"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0" s="651">
        <f>WWWW[[#This Row],[HRP1]]/250</f>
        <v>0</v>
      </c>
      <c r="BA20" s="653">
        <f>1-WWWW[[#This Row],[% Equitable and continuous access to sufficient quantity of domestic water]]</f>
        <v>1</v>
      </c>
      <c r="BB20" s="651">
        <f>WWWW[[#This Row],[%equitable and continuous access to sufficient quantity of safe drinking and domestic water''s GAP]]*WWWW[[#This Row],[Total PoP ]]</f>
        <v>266</v>
      </c>
      <c r="BC20" s="654">
        <f>IF(WWWW[[#This Row],[Total required water points]]-WWWW[[#This Row],['#Water points coverage]]&lt;0,0,WWWW[[#This Row],[Total required water points]]-WWWW[[#This Row],['#Water points coverage]])</f>
        <v>1</v>
      </c>
      <c r="BD20" s="654">
        <f>ROUND(IF(WWWW[[#This Row],[Total PoP ]]&lt;250,1,WWWW[[#This Row],[Total PoP ]]/250),0)</f>
        <v>1</v>
      </c>
      <c r="BE2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6.7669172932330823E-2</v>
      </c>
      <c r="BF20" s="651">
        <f>WWWW[[#This Row],[% people access to functioning Latrine]]*WWWW[[#This Row],[Total PoP ]]</f>
        <v>18</v>
      </c>
      <c r="BG20" s="654">
        <f>WWWW[[#This Row],['#_of_Functioning_latrines_in_school]]*50</f>
        <v>0</v>
      </c>
      <c r="BH20" s="654">
        <f>ROUND((WWWW[[#This Row],[Total PoP ]]/6),0)</f>
        <v>44</v>
      </c>
      <c r="BI20" s="654">
        <f>IF(WWWW[[#This Row],[Total required Latrines]]-(WWWW[[#This Row],['#_of_sanitary_fly-proof_HH_latrines]])&lt;0,0,WWWW[[#This Row],[Total required Latrines]]-(WWWW[[#This Row],['#_of_sanitary_fly-proof_HH_latrines]]))</f>
        <v>41</v>
      </c>
      <c r="BJ20" s="650">
        <f>1-WWWW[[#This Row],[% people access to functioning Latrine]]</f>
        <v>0.93233082706766912</v>
      </c>
      <c r="BK20"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0" s="483">
        <f>IF(WWWW[[#This Row],['#_of_functional_handwashing_facilities_at_HH_level]]*6&gt;WWWW[[#This Row],[Total PoP ]],WWWW[[#This Row],[Total PoP ]],WWWW[[#This Row],['#_of_functional_handwashing_facilities_at_HH_level]]*6)</f>
        <v>0</v>
      </c>
      <c r="BM20" s="654">
        <f>IF(WWWW[[#This Row],['# people reached by regular dedicated hygiene promotion]]&gt;WWWW[[#This Row],['# People received regular supply of hygiene items]],WWWW[[#This Row],['# people reached by regular dedicated hygiene promotion]],WWWW[[#This Row],['# People received regular supply of hygiene items]])</f>
        <v>0</v>
      </c>
      <c r="BN20" s="653">
        <f>IF(WWWW[[#This Row],[HRP3]]/WWWW[[#This Row],[Total PoP ]]&gt;100%,100%,WWWW[[#This Row],[HRP3]]/WWWW[[#This Row],[Total PoP ]])</f>
        <v>0</v>
      </c>
      <c r="BO20" s="650">
        <f>1-WWWW[[#This Row],[Hygiene Coverage%]]</f>
        <v>1</v>
      </c>
      <c r="BP20" s="652">
        <f>WWWW[[#This Row],['# people reached by regular dedicated hygiene promotion]]/WWWW[[#This Row],[Total PoP ]]</f>
        <v>0</v>
      </c>
      <c r="BQ2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0" s="478">
        <f>WWWW[[#This Row],['#_of_affected_women_and_girls_receiving_a_sufficient_quantity_of_sanitary_pads]]</f>
        <v>0</v>
      </c>
      <c r="BS20" s="524">
        <f>IF(WWWW[[#This Row],['# People with access to soap]]&gt;WWWW[[#This Row],['# People with access to Sanity Pads]],WWWW[[#This Row],['# People with access to soap]],WWWW[[#This Row],['# People with access to Sanity Pads]])</f>
        <v>0</v>
      </c>
      <c r="BT20" s="483" t="str">
        <f>IF(OR(WWWW[[#This Row],['#of students in school]]="",WWWW[[#This Row],['#of students in school]]=0),"No","Yes")</f>
        <v>No</v>
      </c>
      <c r="BU20" s="645" t="str">
        <f>VLOOKUP(WWWW[[#This Row],[Village  Name]],SiteDB6[[Site Name]:[Location Type 1]],9,FALSE)</f>
        <v>Village</v>
      </c>
      <c r="BV20" s="645" t="str">
        <f>VLOOKUP(WWWW[[#This Row],[Village  Name]],SiteDB6[[Site Name]:[Type of Accommodation]],10,FALSE)</f>
        <v>Village</v>
      </c>
      <c r="BW20" s="645">
        <f>VLOOKUP(WWWW[[#This Row],[Village  Name]],SiteDB6[[Site Name]:[Ethnic or GCA/NGCA]],11,FALSE)</f>
        <v>0</v>
      </c>
      <c r="BX20" s="645">
        <f>VLOOKUP(WWWW[[#This Row],[Village  Name]],SiteDB6[[Site Name]:[Lat]],12,FALSE)</f>
        <v>0</v>
      </c>
      <c r="BY20" s="645">
        <f>VLOOKUP(WWWW[[#This Row],[Village  Name]],SiteDB6[[Site Name]:[Long]],13,FALSE)</f>
        <v>0</v>
      </c>
      <c r="BZ20" s="645">
        <f>VLOOKUP(WWWW[[#This Row],[Village  Name]],SiteDB6[[Site Name]:[Pcode]],3,FALSE)</f>
        <v>0</v>
      </c>
      <c r="CA20" s="645" t="str">
        <f t="shared" si="0"/>
        <v>Covered</v>
      </c>
      <c r="CB20" s="655"/>
    </row>
    <row r="21" spans="1:80">
      <c r="A21" s="641" t="s">
        <v>3150</v>
      </c>
      <c r="B21" s="641" t="s">
        <v>2994</v>
      </c>
      <c r="C21" s="642"/>
      <c r="D21" s="642" t="s">
        <v>231</v>
      </c>
      <c r="E21" s="643" t="s">
        <v>698</v>
      </c>
      <c r="F21" s="642" t="s">
        <v>3012</v>
      </c>
      <c r="G21" s="644" t="str">
        <f>VLOOKUP(WWWW[[#This Row],[Village  Name]],SiteDB6[[Site Name]:[Location Type]],8,FALSE)</f>
        <v>Village</v>
      </c>
      <c r="H21" s="642" t="s">
        <v>3015</v>
      </c>
      <c r="I21" s="646"/>
      <c r="J21" s="646">
        <v>136</v>
      </c>
      <c r="K21" s="647">
        <v>43258</v>
      </c>
      <c r="L21" s="648">
        <v>43830</v>
      </c>
      <c r="M21" s="646"/>
      <c r="N21" s="646"/>
      <c r="O21" s="524"/>
      <c r="P21" s="646"/>
      <c r="Q21" s="646"/>
      <c r="R21" s="646"/>
      <c r="S21" s="646"/>
      <c r="T21" s="646"/>
      <c r="U21" s="649"/>
      <c r="V21" s="646">
        <v>6</v>
      </c>
      <c r="W21" s="646"/>
      <c r="X21" s="646"/>
      <c r="Y21" s="646"/>
      <c r="Z21" s="646"/>
      <c r="AA21" s="646"/>
      <c r="AB21" s="646"/>
      <c r="AC21" s="649"/>
      <c r="AD21" s="646"/>
      <c r="AE21" s="646"/>
      <c r="AF21" s="646"/>
      <c r="AG21" s="646"/>
      <c r="AH21" s="646"/>
      <c r="AI21" s="646"/>
      <c r="AJ21" s="524"/>
      <c r="AK21" s="646"/>
      <c r="AL21" s="524"/>
      <c r="AM21" s="524"/>
      <c r="AN21" s="649"/>
      <c r="AO21" s="477"/>
      <c r="AP21" s="477"/>
      <c r="AQ21" s="524"/>
      <c r="AR21" s="524"/>
      <c r="AS21" s="524"/>
      <c r="AT21"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1" s="651">
        <f>WWWW[[#This Row],[%Equitable and continuous access to sufficient quantity of safe drinking water]]*WWWW[[#This Row],[Total PoP ]]</f>
        <v>0</v>
      </c>
      <c r="AV21"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1" s="651">
        <f>WWWW[[#This Row],[% Access to unimproved water points]]*WWWW[[#This Row],[Total PoP ]]</f>
        <v>0</v>
      </c>
      <c r="AX21"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1"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1" s="651">
        <f>WWWW[[#This Row],[HRP1]]/250</f>
        <v>0</v>
      </c>
      <c r="BA21" s="653">
        <f>1-WWWW[[#This Row],[% Equitable and continuous access to sufficient quantity of domestic water]]</f>
        <v>1</v>
      </c>
      <c r="BB21" s="651">
        <f>WWWW[[#This Row],[%equitable and continuous access to sufficient quantity of safe drinking and domestic water''s GAP]]*WWWW[[#This Row],[Total PoP ]]</f>
        <v>136</v>
      </c>
      <c r="BC21" s="654">
        <f>IF(WWWW[[#This Row],[Total required water points]]-WWWW[[#This Row],['#Water points coverage]]&lt;0,0,WWWW[[#This Row],[Total required water points]]-WWWW[[#This Row],['#Water points coverage]])</f>
        <v>1</v>
      </c>
      <c r="BD21" s="654">
        <f>ROUND(IF(WWWW[[#This Row],[Total PoP ]]&lt;250,1,WWWW[[#This Row],[Total PoP ]]/250),0)</f>
        <v>1</v>
      </c>
      <c r="BE2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0.26470588235294118</v>
      </c>
      <c r="BF21" s="651">
        <f>WWWW[[#This Row],[% people access to functioning Latrine]]*WWWW[[#This Row],[Total PoP ]]</f>
        <v>36</v>
      </c>
      <c r="BG21" s="654">
        <f>WWWW[[#This Row],['#_of_Functioning_latrines_in_school]]*50</f>
        <v>0</v>
      </c>
      <c r="BH21" s="654">
        <f>ROUND((WWWW[[#This Row],[Total PoP ]]/6),0)</f>
        <v>23</v>
      </c>
      <c r="BI21" s="654">
        <f>IF(WWWW[[#This Row],[Total required Latrines]]-(WWWW[[#This Row],['#_of_sanitary_fly-proof_HH_latrines]])&lt;0,0,WWWW[[#This Row],[Total required Latrines]]-(WWWW[[#This Row],['#_of_sanitary_fly-proof_HH_latrines]]))</f>
        <v>17</v>
      </c>
      <c r="BJ21" s="650">
        <f>1-WWWW[[#This Row],[% people access to functioning Latrine]]</f>
        <v>0.73529411764705888</v>
      </c>
      <c r="BK21"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1" s="483">
        <f>IF(WWWW[[#This Row],['#_of_functional_handwashing_facilities_at_HH_level]]*6&gt;WWWW[[#This Row],[Total PoP ]],WWWW[[#This Row],[Total PoP ]],WWWW[[#This Row],['#_of_functional_handwashing_facilities_at_HH_level]]*6)</f>
        <v>0</v>
      </c>
      <c r="BM21" s="654">
        <f>IF(WWWW[[#This Row],['# people reached by regular dedicated hygiene promotion]]&gt;WWWW[[#This Row],['# People received regular supply of hygiene items]],WWWW[[#This Row],['# people reached by regular dedicated hygiene promotion]],WWWW[[#This Row],['# People received regular supply of hygiene items]])</f>
        <v>0</v>
      </c>
      <c r="BN21" s="653">
        <f>IF(WWWW[[#This Row],[HRP3]]/WWWW[[#This Row],[Total PoP ]]&gt;100%,100%,WWWW[[#This Row],[HRP3]]/WWWW[[#This Row],[Total PoP ]])</f>
        <v>0</v>
      </c>
      <c r="BO21" s="650">
        <f>1-WWWW[[#This Row],[Hygiene Coverage%]]</f>
        <v>1</v>
      </c>
      <c r="BP21" s="652">
        <f>WWWW[[#This Row],['# people reached by regular dedicated hygiene promotion]]/WWWW[[#This Row],[Total PoP ]]</f>
        <v>0</v>
      </c>
      <c r="BQ2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1" s="478">
        <f>WWWW[[#This Row],['#_of_affected_women_and_girls_receiving_a_sufficient_quantity_of_sanitary_pads]]</f>
        <v>0</v>
      </c>
      <c r="BS21" s="524">
        <f>IF(WWWW[[#This Row],['# People with access to soap]]&gt;WWWW[[#This Row],['# People with access to Sanity Pads]],WWWW[[#This Row],['# People with access to soap]],WWWW[[#This Row],['# People with access to Sanity Pads]])</f>
        <v>0</v>
      </c>
      <c r="BT21" s="483" t="str">
        <f>IF(OR(WWWW[[#This Row],['#of students in school]]="",WWWW[[#This Row],['#of students in school]]=0),"No","Yes")</f>
        <v>No</v>
      </c>
      <c r="BU21" s="645" t="str">
        <f>VLOOKUP(WWWW[[#This Row],[Village  Name]],SiteDB6[[Site Name]:[Location Type 1]],9,FALSE)</f>
        <v>Village</v>
      </c>
      <c r="BV21" s="645" t="str">
        <f>VLOOKUP(WWWW[[#This Row],[Village  Name]],SiteDB6[[Site Name]:[Type of Accommodation]],10,FALSE)</f>
        <v>Village</v>
      </c>
      <c r="BW21" s="645">
        <f>VLOOKUP(WWWW[[#This Row],[Village  Name]],SiteDB6[[Site Name]:[Ethnic or GCA/NGCA]],11,FALSE)</f>
        <v>0</v>
      </c>
      <c r="BX21" s="645">
        <f>VLOOKUP(WWWW[[#This Row],[Village  Name]],SiteDB6[[Site Name]:[Lat]],12,FALSE)</f>
        <v>0</v>
      </c>
      <c r="BY21" s="645">
        <f>VLOOKUP(WWWW[[#This Row],[Village  Name]],SiteDB6[[Site Name]:[Long]],13,FALSE)</f>
        <v>0</v>
      </c>
      <c r="BZ21" s="645">
        <f>VLOOKUP(WWWW[[#This Row],[Village  Name]],SiteDB6[[Site Name]:[Pcode]],3,FALSE)</f>
        <v>0</v>
      </c>
      <c r="CA21" s="645" t="str">
        <f t="shared" si="0"/>
        <v>Covered</v>
      </c>
      <c r="CB21" s="655"/>
    </row>
    <row r="22" spans="1:80">
      <c r="A22" s="641" t="s">
        <v>3150</v>
      </c>
      <c r="B22" s="641" t="s">
        <v>2994</v>
      </c>
      <c r="C22" s="642"/>
      <c r="D22" s="642" t="s">
        <v>231</v>
      </c>
      <c r="E22" s="643" t="s">
        <v>698</v>
      </c>
      <c r="F22" s="642" t="s">
        <v>3012</v>
      </c>
      <c r="G22" s="644" t="str">
        <f>VLOOKUP(WWWW[[#This Row],[Village  Name]],SiteDB6[[Site Name]:[Location Type]],8,FALSE)</f>
        <v>Village</v>
      </c>
      <c r="H22" s="642" t="s">
        <v>3019</v>
      </c>
      <c r="I22" s="646"/>
      <c r="J22" s="646">
        <v>131</v>
      </c>
      <c r="K22" s="647">
        <v>43258</v>
      </c>
      <c r="L22" s="648">
        <v>43830</v>
      </c>
      <c r="M22" s="646"/>
      <c r="N22" s="646"/>
      <c r="O22" s="524"/>
      <c r="P22" s="646"/>
      <c r="Q22" s="646"/>
      <c r="R22" s="646"/>
      <c r="S22" s="646"/>
      <c r="T22" s="646"/>
      <c r="U22" s="649"/>
      <c r="V22" s="646">
        <v>48</v>
      </c>
      <c r="W22" s="646"/>
      <c r="X22" s="646"/>
      <c r="Y22" s="646"/>
      <c r="Z22" s="646"/>
      <c r="AA22" s="646"/>
      <c r="AB22" s="646"/>
      <c r="AC22" s="649"/>
      <c r="AD22" s="646"/>
      <c r="AE22" s="646"/>
      <c r="AF22" s="646"/>
      <c r="AG22" s="646"/>
      <c r="AH22" s="646"/>
      <c r="AI22" s="646"/>
      <c r="AJ22" s="524"/>
      <c r="AK22" s="646"/>
      <c r="AL22" s="524"/>
      <c r="AM22" s="524"/>
      <c r="AN22" s="649"/>
      <c r="AO22" s="477"/>
      <c r="AP22" s="477"/>
      <c r="AQ22" s="524"/>
      <c r="AR22" s="524"/>
      <c r="AS22" s="524"/>
      <c r="AT22"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2" s="651">
        <f>WWWW[[#This Row],[%Equitable and continuous access to sufficient quantity of safe drinking water]]*WWWW[[#This Row],[Total PoP ]]</f>
        <v>0</v>
      </c>
      <c r="AV22"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2" s="651">
        <f>WWWW[[#This Row],[% Access to unimproved water points]]*WWWW[[#This Row],[Total PoP ]]</f>
        <v>0</v>
      </c>
      <c r="AX22"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2"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2" s="651">
        <f>WWWW[[#This Row],[HRP1]]/250</f>
        <v>0</v>
      </c>
      <c r="BA22" s="653">
        <f>1-WWWW[[#This Row],[% Equitable and continuous access to sufficient quantity of domestic water]]</f>
        <v>1</v>
      </c>
      <c r="BB22" s="651">
        <f>WWWW[[#This Row],[%equitable and continuous access to sufficient quantity of safe drinking and domestic water''s GAP]]*WWWW[[#This Row],[Total PoP ]]</f>
        <v>131</v>
      </c>
      <c r="BC22" s="654">
        <f>IF(WWWW[[#This Row],[Total required water points]]-WWWW[[#This Row],['#Water points coverage]]&lt;0,0,WWWW[[#This Row],[Total required water points]]-WWWW[[#This Row],['#Water points coverage]])</f>
        <v>1</v>
      </c>
      <c r="BD22" s="654">
        <f>ROUND(IF(WWWW[[#This Row],[Total PoP ]]&lt;250,1,WWWW[[#This Row],[Total PoP ]]/250),0)</f>
        <v>1</v>
      </c>
      <c r="BE2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2" s="651">
        <f>WWWW[[#This Row],[% people access to functioning Latrine]]*WWWW[[#This Row],[Total PoP ]]</f>
        <v>131</v>
      </c>
      <c r="BG22" s="654">
        <f>WWWW[[#This Row],['#_of_Functioning_latrines_in_school]]*50</f>
        <v>0</v>
      </c>
      <c r="BH22" s="654">
        <f>ROUND((WWWW[[#This Row],[Total PoP ]]/6),0)</f>
        <v>22</v>
      </c>
      <c r="BI22" s="654">
        <f>IF(WWWW[[#This Row],[Total required Latrines]]-(WWWW[[#This Row],['#_of_sanitary_fly-proof_HH_latrines]])&lt;0,0,WWWW[[#This Row],[Total required Latrines]]-(WWWW[[#This Row],['#_of_sanitary_fly-proof_HH_latrines]]))</f>
        <v>0</v>
      </c>
      <c r="BJ22" s="650">
        <f>1-WWWW[[#This Row],[% people access to functioning Latrine]]</f>
        <v>0</v>
      </c>
      <c r="BK22"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2" s="483">
        <f>IF(WWWW[[#This Row],['#_of_functional_handwashing_facilities_at_HH_level]]*6&gt;WWWW[[#This Row],[Total PoP ]],WWWW[[#This Row],[Total PoP ]],WWWW[[#This Row],['#_of_functional_handwashing_facilities_at_HH_level]]*6)</f>
        <v>0</v>
      </c>
      <c r="BM22" s="654">
        <f>IF(WWWW[[#This Row],['# people reached by regular dedicated hygiene promotion]]&gt;WWWW[[#This Row],['# People received regular supply of hygiene items]],WWWW[[#This Row],['# people reached by regular dedicated hygiene promotion]],WWWW[[#This Row],['# People received regular supply of hygiene items]])</f>
        <v>0</v>
      </c>
      <c r="BN22" s="653">
        <f>IF(WWWW[[#This Row],[HRP3]]/WWWW[[#This Row],[Total PoP ]]&gt;100%,100%,WWWW[[#This Row],[HRP3]]/WWWW[[#This Row],[Total PoP ]])</f>
        <v>0</v>
      </c>
      <c r="BO22" s="650">
        <f>1-WWWW[[#This Row],[Hygiene Coverage%]]</f>
        <v>1</v>
      </c>
      <c r="BP22" s="652">
        <f>WWWW[[#This Row],['# people reached by regular dedicated hygiene promotion]]/WWWW[[#This Row],[Total PoP ]]</f>
        <v>0</v>
      </c>
      <c r="BQ2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2" s="478">
        <f>WWWW[[#This Row],['#_of_affected_women_and_girls_receiving_a_sufficient_quantity_of_sanitary_pads]]</f>
        <v>0</v>
      </c>
      <c r="BS22" s="524">
        <f>IF(WWWW[[#This Row],['# People with access to soap]]&gt;WWWW[[#This Row],['# People with access to Sanity Pads]],WWWW[[#This Row],['# People with access to soap]],WWWW[[#This Row],['# People with access to Sanity Pads]])</f>
        <v>0</v>
      </c>
      <c r="BT22" s="483" t="str">
        <f>IF(OR(WWWW[[#This Row],['#of students in school]]="",WWWW[[#This Row],['#of students in school]]=0),"No","Yes")</f>
        <v>No</v>
      </c>
      <c r="BU22" s="645" t="str">
        <f>VLOOKUP(WWWW[[#This Row],[Village  Name]],SiteDB6[[Site Name]:[Location Type 1]],9,FALSE)</f>
        <v>Village</v>
      </c>
      <c r="BV22" s="645" t="str">
        <f>VLOOKUP(WWWW[[#This Row],[Village  Name]],SiteDB6[[Site Name]:[Type of Accommodation]],10,FALSE)</f>
        <v>Village</v>
      </c>
      <c r="BW22" s="645">
        <f>VLOOKUP(WWWW[[#This Row],[Village  Name]],SiteDB6[[Site Name]:[Ethnic or GCA/NGCA]],11,FALSE)</f>
        <v>0</v>
      </c>
      <c r="BX22" s="645">
        <f>VLOOKUP(WWWW[[#This Row],[Village  Name]],SiteDB6[[Site Name]:[Lat]],12,FALSE)</f>
        <v>0</v>
      </c>
      <c r="BY22" s="645">
        <f>VLOOKUP(WWWW[[#This Row],[Village  Name]],SiteDB6[[Site Name]:[Long]],13,FALSE)</f>
        <v>0</v>
      </c>
      <c r="BZ22" s="645">
        <f>VLOOKUP(WWWW[[#This Row],[Village  Name]],SiteDB6[[Site Name]:[Pcode]],3,FALSE)</f>
        <v>0</v>
      </c>
      <c r="CA22" s="645" t="str">
        <f t="shared" si="0"/>
        <v>Covered</v>
      </c>
      <c r="CB22" s="655"/>
    </row>
    <row r="23" spans="1:80">
      <c r="A23" s="641" t="s">
        <v>3150</v>
      </c>
      <c r="B23" s="641" t="s">
        <v>2994</v>
      </c>
      <c r="C23" s="642"/>
      <c r="D23" s="642" t="s">
        <v>231</v>
      </c>
      <c r="E23" s="643" t="s">
        <v>698</v>
      </c>
      <c r="F23" s="642" t="s">
        <v>3012</v>
      </c>
      <c r="G23" s="644" t="str">
        <f>VLOOKUP(WWWW[[#This Row],[Village  Name]],SiteDB6[[Site Name]:[Location Type]],8,FALSE)</f>
        <v>Village</v>
      </c>
      <c r="H23" s="642" t="s">
        <v>3020</v>
      </c>
      <c r="I23" s="646"/>
      <c r="J23" s="646">
        <v>142</v>
      </c>
      <c r="K23" s="647">
        <v>43258</v>
      </c>
      <c r="L23" s="648">
        <v>43830</v>
      </c>
      <c r="M23" s="646"/>
      <c r="N23" s="646"/>
      <c r="O23" s="524"/>
      <c r="P23" s="646"/>
      <c r="Q23" s="646"/>
      <c r="R23" s="646"/>
      <c r="S23" s="646"/>
      <c r="T23" s="646"/>
      <c r="U23" s="649"/>
      <c r="V23" s="646">
        <v>61</v>
      </c>
      <c r="W23" s="646"/>
      <c r="X23" s="646"/>
      <c r="Y23" s="646"/>
      <c r="Z23" s="646"/>
      <c r="AA23" s="646"/>
      <c r="AB23" s="646"/>
      <c r="AC23" s="649"/>
      <c r="AD23" s="646"/>
      <c r="AE23" s="646"/>
      <c r="AF23" s="646"/>
      <c r="AG23" s="646"/>
      <c r="AH23" s="646"/>
      <c r="AI23" s="646"/>
      <c r="AJ23" s="524"/>
      <c r="AK23" s="646"/>
      <c r="AL23" s="524"/>
      <c r="AM23" s="524"/>
      <c r="AN23" s="649"/>
      <c r="AO23" s="477"/>
      <c r="AP23" s="477"/>
      <c r="AQ23" s="524"/>
      <c r="AR23" s="524"/>
      <c r="AS23" s="524"/>
      <c r="AT23"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3" s="651">
        <f>WWWW[[#This Row],[%Equitable and continuous access to sufficient quantity of safe drinking water]]*WWWW[[#This Row],[Total PoP ]]</f>
        <v>0</v>
      </c>
      <c r="AV23"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3" s="651">
        <f>WWWW[[#This Row],[% Access to unimproved water points]]*WWWW[[#This Row],[Total PoP ]]</f>
        <v>0</v>
      </c>
      <c r="AX23"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3"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3" s="651">
        <f>WWWW[[#This Row],[HRP1]]/250</f>
        <v>0</v>
      </c>
      <c r="BA23" s="653">
        <f>1-WWWW[[#This Row],[% Equitable and continuous access to sufficient quantity of domestic water]]</f>
        <v>1</v>
      </c>
      <c r="BB23" s="651">
        <f>WWWW[[#This Row],[%equitable and continuous access to sufficient quantity of safe drinking and domestic water''s GAP]]*WWWW[[#This Row],[Total PoP ]]</f>
        <v>142</v>
      </c>
      <c r="BC23" s="654">
        <f>IF(WWWW[[#This Row],[Total required water points]]-WWWW[[#This Row],['#Water points coverage]]&lt;0,0,WWWW[[#This Row],[Total required water points]]-WWWW[[#This Row],['#Water points coverage]])</f>
        <v>1</v>
      </c>
      <c r="BD23" s="654">
        <f>ROUND(IF(WWWW[[#This Row],[Total PoP ]]&lt;250,1,WWWW[[#This Row],[Total PoP ]]/250),0)</f>
        <v>1</v>
      </c>
      <c r="BE2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3" s="651">
        <f>WWWW[[#This Row],[% people access to functioning Latrine]]*WWWW[[#This Row],[Total PoP ]]</f>
        <v>142</v>
      </c>
      <c r="BG23" s="654">
        <f>WWWW[[#This Row],['#_of_Functioning_latrines_in_school]]*50</f>
        <v>0</v>
      </c>
      <c r="BH23" s="654">
        <f>ROUND((WWWW[[#This Row],[Total PoP ]]/6),0)</f>
        <v>24</v>
      </c>
      <c r="BI23" s="654">
        <f>IF(WWWW[[#This Row],[Total required Latrines]]-(WWWW[[#This Row],['#_of_sanitary_fly-proof_HH_latrines]])&lt;0,0,WWWW[[#This Row],[Total required Latrines]]-(WWWW[[#This Row],['#_of_sanitary_fly-proof_HH_latrines]]))</f>
        <v>0</v>
      </c>
      <c r="BJ23" s="650">
        <f>1-WWWW[[#This Row],[% people access to functioning Latrine]]</f>
        <v>0</v>
      </c>
      <c r="BK23"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3" s="483">
        <f>IF(WWWW[[#This Row],['#_of_functional_handwashing_facilities_at_HH_level]]*6&gt;WWWW[[#This Row],[Total PoP ]],WWWW[[#This Row],[Total PoP ]],WWWW[[#This Row],['#_of_functional_handwashing_facilities_at_HH_level]]*6)</f>
        <v>0</v>
      </c>
      <c r="BM23" s="654">
        <f>IF(WWWW[[#This Row],['# people reached by regular dedicated hygiene promotion]]&gt;WWWW[[#This Row],['# People received regular supply of hygiene items]],WWWW[[#This Row],['# people reached by regular dedicated hygiene promotion]],WWWW[[#This Row],['# People received regular supply of hygiene items]])</f>
        <v>0</v>
      </c>
      <c r="BN23" s="653">
        <f>IF(WWWW[[#This Row],[HRP3]]/WWWW[[#This Row],[Total PoP ]]&gt;100%,100%,WWWW[[#This Row],[HRP3]]/WWWW[[#This Row],[Total PoP ]])</f>
        <v>0</v>
      </c>
      <c r="BO23" s="650">
        <f>1-WWWW[[#This Row],[Hygiene Coverage%]]</f>
        <v>1</v>
      </c>
      <c r="BP23" s="652">
        <f>WWWW[[#This Row],['# people reached by regular dedicated hygiene promotion]]/WWWW[[#This Row],[Total PoP ]]</f>
        <v>0</v>
      </c>
      <c r="BQ2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3" s="478">
        <f>WWWW[[#This Row],['#_of_affected_women_and_girls_receiving_a_sufficient_quantity_of_sanitary_pads]]</f>
        <v>0</v>
      </c>
      <c r="BS23" s="524">
        <f>IF(WWWW[[#This Row],['# People with access to soap]]&gt;WWWW[[#This Row],['# People with access to Sanity Pads]],WWWW[[#This Row],['# People with access to soap]],WWWW[[#This Row],['# People with access to Sanity Pads]])</f>
        <v>0</v>
      </c>
      <c r="BT23" s="483" t="str">
        <f>IF(OR(WWWW[[#This Row],['#of students in school]]="",WWWW[[#This Row],['#of students in school]]=0),"No","Yes")</f>
        <v>No</v>
      </c>
      <c r="BU23" s="645" t="str">
        <f>VLOOKUP(WWWW[[#This Row],[Village  Name]],SiteDB6[[Site Name]:[Location Type 1]],9,FALSE)</f>
        <v>Village</v>
      </c>
      <c r="BV23" s="645" t="str">
        <f>VLOOKUP(WWWW[[#This Row],[Village  Name]],SiteDB6[[Site Name]:[Type of Accommodation]],10,FALSE)</f>
        <v>Village</v>
      </c>
      <c r="BW23" s="645">
        <f>VLOOKUP(WWWW[[#This Row],[Village  Name]],SiteDB6[[Site Name]:[Ethnic or GCA/NGCA]],11,FALSE)</f>
        <v>0</v>
      </c>
      <c r="BX23" s="645">
        <f>VLOOKUP(WWWW[[#This Row],[Village  Name]],SiteDB6[[Site Name]:[Lat]],12,FALSE)</f>
        <v>0</v>
      </c>
      <c r="BY23" s="645">
        <f>VLOOKUP(WWWW[[#This Row],[Village  Name]],SiteDB6[[Site Name]:[Long]],13,FALSE)</f>
        <v>0</v>
      </c>
      <c r="BZ23" s="645">
        <f>VLOOKUP(WWWW[[#This Row],[Village  Name]],SiteDB6[[Site Name]:[Pcode]],3,FALSE)</f>
        <v>0</v>
      </c>
      <c r="CA23" s="645" t="str">
        <f t="shared" si="0"/>
        <v>Covered</v>
      </c>
      <c r="CB23" s="655"/>
    </row>
    <row r="24" spans="1:80">
      <c r="A24" s="641" t="s">
        <v>3150</v>
      </c>
      <c r="B24" s="641" t="s">
        <v>2994</v>
      </c>
      <c r="C24" s="642"/>
      <c r="D24" s="642" t="s">
        <v>231</v>
      </c>
      <c r="E24" s="643" t="s">
        <v>698</v>
      </c>
      <c r="F24" s="642" t="s">
        <v>3012</v>
      </c>
      <c r="G24" s="644" t="str">
        <f>VLOOKUP(WWWW[[#This Row],[Village  Name]],SiteDB6[[Site Name]:[Location Type]],8,FALSE)</f>
        <v>Village</v>
      </c>
      <c r="H24" s="642" t="s">
        <v>3021</v>
      </c>
      <c r="I24" s="646"/>
      <c r="J24" s="646">
        <v>162</v>
      </c>
      <c r="K24" s="647">
        <v>43258</v>
      </c>
      <c r="L24" s="648">
        <v>43830</v>
      </c>
      <c r="M24" s="646"/>
      <c r="N24" s="646"/>
      <c r="O24" s="524"/>
      <c r="P24" s="646"/>
      <c r="Q24" s="646"/>
      <c r="R24" s="646"/>
      <c r="S24" s="646"/>
      <c r="T24" s="646"/>
      <c r="U24" s="649"/>
      <c r="V24" s="646">
        <v>36</v>
      </c>
      <c r="W24" s="646"/>
      <c r="X24" s="646"/>
      <c r="Y24" s="646"/>
      <c r="Z24" s="646"/>
      <c r="AA24" s="646"/>
      <c r="AB24" s="646"/>
      <c r="AC24" s="649"/>
      <c r="AD24" s="646"/>
      <c r="AE24" s="646"/>
      <c r="AF24" s="646"/>
      <c r="AG24" s="646"/>
      <c r="AH24" s="646"/>
      <c r="AI24" s="646"/>
      <c r="AJ24" s="524"/>
      <c r="AK24" s="646"/>
      <c r="AL24" s="524"/>
      <c r="AM24" s="524"/>
      <c r="AN24" s="649"/>
      <c r="AO24" s="477"/>
      <c r="AP24" s="477"/>
      <c r="AQ24" s="524"/>
      <c r="AR24" s="524"/>
      <c r="AS24" s="524"/>
      <c r="AT24"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4" s="651">
        <f>WWWW[[#This Row],[%Equitable and continuous access to sufficient quantity of safe drinking water]]*WWWW[[#This Row],[Total PoP ]]</f>
        <v>0</v>
      </c>
      <c r="AV24"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4" s="651">
        <f>WWWW[[#This Row],[% Access to unimproved water points]]*WWWW[[#This Row],[Total PoP ]]</f>
        <v>0</v>
      </c>
      <c r="AX24"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4"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4" s="651">
        <f>WWWW[[#This Row],[HRP1]]/250</f>
        <v>0</v>
      </c>
      <c r="BA24" s="653">
        <f>1-WWWW[[#This Row],[% Equitable and continuous access to sufficient quantity of domestic water]]</f>
        <v>1</v>
      </c>
      <c r="BB24" s="651">
        <f>WWWW[[#This Row],[%equitable and continuous access to sufficient quantity of safe drinking and domestic water''s GAP]]*WWWW[[#This Row],[Total PoP ]]</f>
        <v>162</v>
      </c>
      <c r="BC24" s="654">
        <f>IF(WWWW[[#This Row],[Total required water points]]-WWWW[[#This Row],['#Water points coverage]]&lt;0,0,WWWW[[#This Row],[Total required water points]]-WWWW[[#This Row],['#Water points coverage]])</f>
        <v>1</v>
      </c>
      <c r="BD24" s="654">
        <f>ROUND(IF(WWWW[[#This Row],[Total PoP ]]&lt;250,1,WWWW[[#This Row],[Total PoP ]]/250),0)</f>
        <v>1</v>
      </c>
      <c r="BE2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4" s="651">
        <f>WWWW[[#This Row],[% people access to functioning Latrine]]*WWWW[[#This Row],[Total PoP ]]</f>
        <v>162</v>
      </c>
      <c r="BG24" s="654">
        <f>WWWW[[#This Row],['#_of_Functioning_latrines_in_school]]*50</f>
        <v>0</v>
      </c>
      <c r="BH24" s="654">
        <f>ROUND((WWWW[[#This Row],[Total PoP ]]/6),0)</f>
        <v>27</v>
      </c>
      <c r="BI24" s="654">
        <f>IF(WWWW[[#This Row],[Total required Latrines]]-(WWWW[[#This Row],['#_of_sanitary_fly-proof_HH_latrines]])&lt;0,0,WWWW[[#This Row],[Total required Latrines]]-(WWWW[[#This Row],['#_of_sanitary_fly-proof_HH_latrines]]))</f>
        <v>0</v>
      </c>
      <c r="BJ24" s="650">
        <f>1-WWWW[[#This Row],[% people access to functioning Latrine]]</f>
        <v>0</v>
      </c>
      <c r="BK24"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4" s="483">
        <f>IF(WWWW[[#This Row],['#_of_functional_handwashing_facilities_at_HH_level]]*6&gt;WWWW[[#This Row],[Total PoP ]],WWWW[[#This Row],[Total PoP ]],WWWW[[#This Row],['#_of_functional_handwashing_facilities_at_HH_level]]*6)</f>
        <v>0</v>
      </c>
      <c r="BM24" s="654">
        <f>IF(WWWW[[#This Row],['# people reached by regular dedicated hygiene promotion]]&gt;WWWW[[#This Row],['# People received regular supply of hygiene items]],WWWW[[#This Row],['# people reached by regular dedicated hygiene promotion]],WWWW[[#This Row],['# People received regular supply of hygiene items]])</f>
        <v>0</v>
      </c>
      <c r="BN24" s="653">
        <f>IF(WWWW[[#This Row],[HRP3]]/WWWW[[#This Row],[Total PoP ]]&gt;100%,100%,WWWW[[#This Row],[HRP3]]/WWWW[[#This Row],[Total PoP ]])</f>
        <v>0</v>
      </c>
      <c r="BO24" s="650">
        <f>1-WWWW[[#This Row],[Hygiene Coverage%]]</f>
        <v>1</v>
      </c>
      <c r="BP24" s="652">
        <f>WWWW[[#This Row],['# people reached by regular dedicated hygiene promotion]]/WWWW[[#This Row],[Total PoP ]]</f>
        <v>0</v>
      </c>
      <c r="BQ2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4" s="478">
        <f>WWWW[[#This Row],['#_of_affected_women_and_girls_receiving_a_sufficient_quantity_of_sanitary_pads]]</f>
        <v>0</v>
      </c>
      <c r="BS24" s="524">
        <f>IF(WWWW[[#This Row],['# People with access to soap]]&gt;WWWW[[#This Row],['# People with access to Sanity Pads]],WWWW[[#This Row],['# People with access to soap]],WWWW[[#This Row],['# People with access to Sanity Pads]])</f>
        <v>0</v>
      </c>
      <c r="BT24" s="483" t="str">
        <f>IF(OR(WWWW[[#This Row],['#of students in school]]="",WWWW[[#This Row],['#of students in school]]=0),"No","Yes")</f>
        <v>No</v>
      </c>
      <c r="BU24" s="645" t="str">
        <f>VLOOKUP(WWWW[[#This Row],[Village  Name]],SiteDB6[[Site Name]:[Location Type 1]],9,FALSE)</f>
        <v>Village</v>
      </c>
      <c r="BV24" s="645" t="str">
        <f>VLOOKUP(WWWW[[#This Row],[Village  Name]],SiteDB6[[Site Name]:[Type of Accommodation]],10,FALSE)</f>
        <v>Village</v>
      </c>
      <c r="BW24" s="645">
        <f>VLOOKUP(WWWW[[#This Row],[Village  Name]],SiteDB6[[Site Name]:[Ethnic or GCA/NGCA]],11,FALSE)</f>
        <v>0</v>
      </c>
      <c r="BX24" s="645">
        <f>VLOOKUP(WWWW[[#This Row],[Village  Name]],SiteDB6[[Site Name]:[Lat]],12,FALSE)</f>
        <v>0</v>
      </c>
      <c r="BY24" s="645">
        <f>VLOOKUP(WWWW[[#This Row],[Village  Name]],SiteDB6[[Site Name]:[Long]],13,FALSE)</f>
        <v>0</v>
      </c>
      <c r="BZ24" s="645">
        <f>VLOOKUP(WWWW[[#This Row],[Village  Name]],SiteDB6[[Site Name]:[Pcode]],3,FALSE)</f>
        <v>0</v>
      </c>
      <c r="CA24" s="645" t="str">
        <f t="shared" si="0"/>
        <v>Covered</v>
      </c>
      <c r="CB24" s="655"/>
    </row>
    <row r="25" spans="1:80">
      <c r="A25" s="641" t="s">
        <v>3150</v>
      </c>
      <c r="B25" s="641" t="s">
        <v>2994</v>
      </c>
      <c r="C25" s="642"/>
      <c r="D25" s="642" t="s">
        <v>231</v>
      </c>
      <c r="E25" s="643" t="s">
        <v>698</v>
      </c>
      <c r="F25" s="642" t="s">
        <v>3012</v>
      </c>
      <c r="G25" s="644" t="str">
        <f>VLOOKUP(WWWW[[#This Row],[Village  Name]],SiteDB6[[Site Name]:[Location Type]],8,FALSE)</f>
        <v>Village</v>
      </c>
      <c r="H25" s="642" t="s">
        <v>3022</v>
      </c>
      <c r="I25" s="646"/>
      <c r="J25" s="646">
        <v>190</v>
      </c>
      <c r="K25" s="647">
        <v>43258</v>
      </c>
      <c r="L25" s="648">
        <v>43830</v>
      </c>
      <c r="M25" s="646"/>
      <c r="N25" s="646"/>
      <c r="O25" s="524"/>
      <c r="P25" s="646"/>
      <c r="Q25" s="646"/>
      <c r="R25" s="646"/>
      <c r="S25" s="646"/>
      <c r="T25" s="646"/>
      <c r="U25" s="649"/>
      <c r="V25" s="646">
        <v>5</v>
      </c>
      <c r="W25" s="646"/>
      <c r="X25" s="646"/>
      <c r="Y25" s="646"/>
      <c r="Z25" s="646"/>
      <c r="AA25" s="646"/>
      <c r="AB25" s="646"/>
      <c r="AC25" s="649"/>
      <c r="AD25" s="646"/>
      <c r="AE25" s="646"/>
      <c r="AF25" s="646"/>
      <c r="AG25" s="646"/>
      <c r="AH25" s="646"/>
      <c r="AI25" s="646"/>
      <c r="AJ25" s="524"/>
      <c r="AK25" s="646"/>
      <c r="AL25" s="524"/>
      <c r="AM25" s="524"/>
      <c r="AN25" s="649"/>
      <c r="AO25" s="477"/>
      <c r="AP25" s="477"/>
      <c r="AQ25" s="524"/>
      <c r="AR25" s="524"/>
      <c r="AS25" s="524"/>
      <c r="AT25"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5" s="651">
        <f>WWWW[[#This Row],[%Equitable and continuous access to sufficient quantity of safe drinking water]]*WWWW[[#This Row],[Total PoP ]]</f>
        <v>0</v>
      </c>
      <c r="AV25"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5" s="651">
        <f>WWWW[[#This Row],[% Access to unimproved water points]]*WWWW[[#This Row],[Total PoP ]]</f>
        <v>0</v>
      </c>
      <c r="AX25"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5"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5" s="651">
        <f>WWWW[[#This Row],[HRP1]]/250</f>
        <v>0</v>
      </c>
      <c r="BA25" s="653">
        <f>1-WWWW[[#This Row],[% Equitable and continuous access to sufficient quantity of domestic water]]</f>
        <v>1</v>
      </c>
      <c r="BB25" s="651">
        <f>WWWW[[#This Row],[%equitable and continuous access to sufficient quantity of safe drinking and domestic water''s GAP]]*WWWW[[#This Row],[Total PoP ]]</f>
        <v>190</v>
      </c>
      <c r="BC25" s="654">
        <f>IF(WWWW[[#This Row],[Total required water points]]-WWWW[[#This Row],['#Water points coverage]]&lt;0,0,WWWW[[#This Row],[Total required water points]]-WWWW[[#This Row],['#Water points coverage]])</f>
        <v>1</v>
      </c>
      <c r="BD25" s="654">
        <f>ROUND(IF(WWWW[[#This Row],[Total PoP ]]&lt;250,1,WWWW[[#This Row],[Total PoP ]]/250),0)</f>
        <v>1</v>
      </c>
      <c r="BE2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0.15789473684210525</v>
      </c>
      <c r="BF25" s="651">
        <f>WWWW[[#This Row],[% people access to functioning Latrine]]*WWWW[[#This Row],[Total PoP ]]</f>
        <v>30</v>
      </c>
      <c r="BG25" s="654">
        <f>WWWW[[#This Row],['#_of_Functioning_latrines_in_school]]*50</f>
        <v>0</v>
      </c>
      <c r="BH25" s="654">
        <f>ROUND((WWWW[[#This Row],[Total PoP ]]/6),0)</f>
        <v>32</v>
      </c>
      <c r="BI25" s="654">
        <f>IF(WWWW[[#This Row],[Total required Latrines]]-(WWWW[[#This Row],['#_of_sanitary_fly-proof_HH_latrines]])&lt;0,0,WWWW[[#This Row],[Total required Latrines]]-(WWWW[[#This Row],['#_of_sanitary_fly-proof_HH_latrines]]))</f>
        <v>27</v>
      </c>
      <c r="BJ25" s="650">
        <f>1-WWWW[[#This Row],[% people access to functioning Latrine]]</f>
        <v>0.84210526315789469</v>
      </c>
      <c r="BK25"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5" s="483">
        <f>IF(WWWW[[#This Row],['#_of_functional_handwashing_facilities_at_HH_level]]*6&gt;WWWW[[#This Row],[Total PoP ]],WWWW[[#This Row],[Total PoP ]],WWWW[[#This Row],['#_of_functional_handwashing_facilities_at_HH_level]]*6)</f>
        <v>0</v>
      </c>
      <c r="BM25" s="654">
        <f>IF(WWWW[[#This Row],['# people reached by regular dedicated hygiene promotion]]&gt;WWWW[[#This Row],['# People received regular supply of hygiene items]],WWWW[[#This Row],['# people reached by regular dedicated hygiene promotion]],WWWW[[#This Row],['# People received regular supply of hygiene items]])</f>
        <v>0</v>
      </c>
      <c r="BN25" s="653">
        <f>IF(WWWW[[#This Row],[HRP3]]/WWWW[[#This Row],[Total PoP ]]&gt;100%,100%,WWWW[[#This Row],[HRP3]]/WWWW[[#This Row],[Total PoP ]])</f>
        <v>0</v>
      </c>
      <c r="BO25" s="650">
        <f>1-WWWW[[#This Row],[Hygiene Coverage%]]</f>
        <v>1</v>
      </c>
      <c r="BP25" s="652">
        <f>WWWW[[#This Row],['# people reached by regular dedicated hygiene promotion]]/WWWW[[#This Row],[Total PoP ]]</f>
        <v>0</v>
      </c>
      <c r="BQ2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5" s="478">
        <f>WWWW[[#This Row],['#_of_affected_women_and_girls_receiving_a_sufficient_quantity_of_sanitary_pads]]</f>
        <v>0</v>
      </c>
      <c r="BS25" s="524">
        <f>IF(WWWW[[#This Row],['# People with access to soap]]&gt;WWWW[[#This Row],['# People with access to Sanity Pads]],WWWW[[#This Row],['# People with access to soap]],WWWW[[#This Row],['# People with access to Sanity Pads]])</f>
        <v>0</v>
      </c>
      <c r="BT25" s="483" t="str">
        <f>IF(OR(WWWW[[#This Row],['#of students in school]]="",WWWW[[#This Row],['#of students in school]]=0),"No","Yes")</f>
        <v>No</v>
      </c>
      <c r="BU25" s="645" t="str">
        <f>VLOOKUP(WWWW[[#This Row],[Village  Name]],SiteDB6[[Site Name]:[Location Type 1]],9,FALSE)</f>
        <v>Village</v>
      </c>
      <c r="BV25" s="645" t="str">
        <f>VLOOKUP(WWWW[[#This Row],[Village  Name]],SiteDB6[[Site Name]:[Type of Accommodation]],10,FALSE)</f>
        <v>Village</v>
      </c>
      <c r="BW25" s="645">
        <f>VLOOKUP(WWWW[[#This Row],[Village  Name]],SiteDB6[[Site Name]:[Ethnic or GCA/NGCA]],11,FALSE)</f>
        <v>0</v>
      </c>
      <c r="BX25" s="645">
        <f>VLOOKUP(WWWW[[#This Row],[Village  Name]],SiteDB6[[Site Name]:[Lat]],12,FALSE)</f>
        <v>0</v>
      </c>
      <c r="BY25" s="645">
        <f>VLOOKUP(WWWW[[#This Row],[Village  Name]],SiteDB6[[Site Name]:[Long]],13,FALSE)</f>
        <v>0</v>
      </c>
      <c r="BZ25" s="645">
        <f>VLOOKUP(WWWW[[#This Row],[Village  Name]],SiteDB6[[Site Name]:[Pcode]],3,FALSE)</f>
        <v>0</v>
      </c>
      <c r="CA25" s="645" t="str">
        <f t="shared" si="0"/>
        <v>Covered</v>
      </c>
      <c r="CB25" s="655"/>
    </row>
    <row r="26" spans="1:80">
      <c r="A26" s="641" t="s">
        <v>3150</v>
      </c>
      <c r="B26" s="641" t="s">
        <v>2994</v>
      </c>
      <c r="C26" s="642"/>
      <c r="D26" s="642" t="s">
        <v>231</v>
      </c>
      <c r="E26" s="643" t="s">
        <v>698</v>
      </c>
      <c r="F26" s="642" t="s">
        <v>3012</v>
      </c>
      <c r="G26" s="644" t="str">
        <f>VLOOKUP(WWWW[[#This Row],[Village  Name]],SiteDB6[[Site Name]:[Location Type]],8,FALSE)</f>
        <v>Village</v>
      </c>
      <c r="H26" s="642" t="s">
        <v>3023</v>
      </c>
      <c r="I26" s="646"/>
      <c r="J26" s="646">
        <v>275</v>
      </c>
      <c r="K26" s="647">
        <v>43258</v>
      </c>
      <c r="L26" s="648">
        <v>43830</v>
      </c>
      <c r="M26" s="646"/>
      <c r="N26" s="646"/>
      <c r="O26" s="524"/>
      <c r="P26" s="646"/>
      <c r="Q26" s="646"/>
      <c r="R26" s="646"/>
      <c r="S26" s="646"/>
      <c r="T26" s="646"/>
      <c r="U26" s="649"/>
      <c r="V26" s="646">
        <v>6</v>
      </c>
      <c r="W26" s="646"/>
      <c r="X26" s="646"/>
      <c r="Y26" s="646"/>
      <c r="Z26" s="646"/>
      <c r="AA26" s="646"/>
      <c r="AB26" s="646"/>
      <c r="AC26" s="649"/>
      <c r="AD26" s="646"/>
      <c r="AE26" s="646"/>
      <c r="AF26" s="646"/>
      <c r="AG26" s="646"/>
      <c r="AH26" s="646"/>
      <c r="AI26" s="646"/>
      <c r="AJ26" s="524"/>
      <c r="AK26" s="646"/>
      <c r="AL26" s="524"/>
      <c r="AM26" s="524"/>
      <c r="AN26" s="649"/>
      <c r="AO26" s="477"/>
      <c r="AP26" s="477"/>
      <c r="AQ26" s="524"/>
      <c r="AR26" s="524"/>
      <c r="AS26" s="524"/>
      <c r="AT26"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6" s="651">
        <f>WWWW[[#This Row],[%Equitable and continuous access to sufficient quantity of safe drinking water]]*WWWW[[#This Row],[Total PoP ]]</f>
        <v>0</v>
      </c>
      <c r="AV26"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6" s="651">
        <f>WWWW[[#This Row],[% Access to unimproved water points]]*WWWW[[#This Row],[Total PoP ]]</f>
        <v>0</v>
      </c>
      <c r="AX26"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6"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6" s="651">
        <f>WWWW[[#This Row],[HRP1]]/250</f>
        <v>0</v>
      </c>
      <c r="BA26" s="653">
        <f>1-WWWW[[#This Row],[% Equitable and continuous access to sufficient quantity of domestic water]]</f>
        <v>1</v>
      </c>
      <c r="BB26" s="651">
        <f>WWWW[[#This Row],[%equitable and continuous access to sufficient quantity of safe drinking and domestic water''s GAP]]*WWWW[[#This Row],[Total PoP ]]</f>
        <v>275</v>
      </c>
      <c r="BC26" s="654">
        <f>IF(WWWW[[#This Row],[Total required water points]]-WWWW[[#This Row],['#Water points coverage]]&lt;0,0,WWWW[[#This Row],[Total required water points]]-WWWW[[#This Row],['#Water points coverage]])</f>
        <v>1</v>
      </c>
      <c r="BD26" s="654">
        <f>ROUND(IF(WWWW[[#This Row],[Total PoP ]]&lt;250,1,WWWW[[#This Row],[Total PoP ]]/250),0)</f>
        <v>1</v>
      </c>
      <c r="BE2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0.13090909090909092</v>
      </c>
      <c r="BF26" s="651">
        <f>WWWW[[#This Row],[% people access to functioning Latrine]]*WWWW[[#This Row],[Total PoP ]]</f>
        <v>36</v>
      </c>
      <c r="BG26" s="654">
        <f>WWWW[[#This Row],['#_of_Functioning_latrines_in_school]]*50</f>
        <v>0</v>
      </c>
      <c r="BH26" s="654">
        <f>ROUND((WWWW[[#This Row],[Total PoP ]]/6),0)</f>
        <v>46</v>
      </c>
      <c r="BI26" s="654">
        <f>IF(WWWW[[#This Row],[Total required Latrines]]-(WWWW[[#This Row],['#_of_sanitary_fly-proof_HH_latrines]])&lt;0,0,WWWW[[#This Row],[Total required Latrines]]-(WWWW[[#This Row],['#_of_sanitary_fly-proof_HH_latrines]]))</f>
        <v>40</v>
      </c>
      <c r="BJ26" s="650">
        <f>1-WWWW[[#This Row],[% people access to functioning Latrine]]</f>
        <v>0.86909090909090914</v>
      </c>
      <c r="BK26"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6" s="483">
        <f>IF(WWWW[[#This Row],['#_of_functional_handwashing_facilities_at_HH_level]]*6&gt;WWWW[[#This Row],[Total PoP ]],WWWW[[#This Row],[Total PoP ]],WWWW[[#This Row],['#_of_functional_handwashing_facilities_at_HH_level]]*6)</f>
        <v>0</v>
      </c>
      <c r="BM26" s="654">
        <f>IF(WWWW[[#This Row],['# people reached by regular dedicated hygiene promotion]]&gt;WWWW[[#This Row],['# People received regular supply of hygiene items]],WWWW[[#This Row],['# people reached by regular dedicated hygiene promotion]],WWWW[[#This Row],['# People received regular supply of hygiene items]])</f>
        <v>0</v>
      </c>
      <c r="BN26" s="653">
        <f>IF(WWWW[[#This Row],[HRP3]]/WWWW[[#This Row],[Total PoP ]]&gt;100%,100%,WWWW[[#This Row],[HRP3]]/WWWW[[#This Row],[Total PoP ]])</f>
        <v>0</v>
      </c>
      <c r="BO26" s="650">
        <f>1-WWWW[[#This Row],[Hygiene Coverage%]]</f>
        <v>1</v>
      </c>
      <c r="BP26" s="652">
        <f>WWWW[[#This Row],['# people reached by regular dedicated hygiene promotion]]/WWWW[[#This Row],[Total PoP ]]</f>
        <v>0</v>
      </c>
      <c r="BQ2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6" s="478">
        <f>WWWW[[#This Row],['#_of_affected_women_and_girls_receiving_a_sufficient_quantity_of_sanitary_pads]]</f>
        <v>0</v>
      </c>
      <c r="BS26" s="524">
        <f>IF(WWWW[[#This Row],['# People with access to soap]]&gt;WWWW[[#This Row],['# People with access to Sanity Pads]],WWWW[[#This Row],['# People with access to soap]],WWWW[[#This Row],['# People with access to Sanity Pads]])</f>
        <v>0</v>
      </c>
      <c r="BT26" s="483" t="str">
        <f>IF(OR(WWWW[[#This Row],['#of students in school]]="",WWWW[[#This Row],['#of students in school]]=0),"No","Yes")</f>
        <v>No</v>
      </c>
      <c r="BU26" s="645" t="str">
        <f>VLOOKUP(WWWW[[#This Row],[Village  Name]],SiteDB6[[Site Name]:[Location Type 1]],9,FALSE)</f>
        <v>Village</v>
      </c>
      <c r="BV26" s="645" t="str">
        <f>VLOOKUP(WWWW[[#This Row],[Village  Name]],SiteDB6[[Site Name]:[Type of Accommodation]],10,FALSE)</f>
        <v>Village</v>
      </c>
      <c r="BW26" s="645">
        <f>VLOOKUP(WWWW[[#This Row],[Village  Name]],SiteDB6[[Site Name]:[Ethnic or GCA/NGCA]],11,FALSE)</f>
        <v>0</v>
      </c>
      <c r="BX26" s="645">
        <f>VLOOKUP(WWWW[[#This Row],[Village  Name]],SiteDB6[[Site Name]:[Lat]],12,FALSE)</f>
        <v>0</v>
      </c>
      <c r="BY26" s="645">
        <f>VLOOKUP(WWWW[[#This Row],[Village  Name]],SiteDB6[[Site Name]:[Long]],13,FALSE)</f>
        <v>0</v>
      </c>
      <c r="BZ26" s="645">
        <f>VLOOKUP(WWWW[[#This Row],[Village  Name]],SiteDB6[[Site Name]:[Pcode]],3,FALSE)</f>
        <v>0</v>
      </c>
      <c r="CA26" s="645" t="str">
        <f t="shared" si="0"/>
        <v>Covered</v>
      </c>
      <c r="CB26" s="655"/>
    </row>
    <row r="27" spans="1:80">
      <c r="A27" s="641" t="s">
        <v>3150</v>
      </c>
      <c r="B27" s="641" t="s">
        <v>2994</v>
      </c>
      <c r="C27" s="642"/>
      <c r="D27" s="642" t="s">
        <v>231</v>
      </c>
      <c r="E27" s="643" t="s">
        <v>698</v>
      </c>
      <c r="F27" s="642" t="s">
        <v>3012</v>
      </c>
      <c r="G27" s="644" t="str">
        <f>VLOOKUP(WWWW[[#This Row],[Village  Name]],SiteDB6[[Site Name]:[Location Type]],8,FALSE)</f>
        <v>Village</v>
      </c>
      <c r="H27" s="642" t="s">
        <v>3024</v>
      </c>
      <c r="I27" s="646"/>
      <c r="J27" s="646">
        <v>185</v>
      </c>
      <c r="K27" s="647">
        <v>43258</v>
      </c>
      <c r="L27" s="648">
        <v>43830</v>
      </c>
      <c r="M27" s="646"/>
      <c r="N27" s="646"/>
      <c r="O27" s="524"/>
      <c r="P27" s="646"/>
      <c r="Q27" s="646"/>
      <c r="R27" s="646"/>
      <c r="S27" s="646"/>
      <c r="T27" s="646"/>
      <c r="U27" s="649"/>
      <c r="V27" s="646">
        <v>3</v>
      </c>
      <c r="W27" s="646"/>
      <c r="X27" s="646"/>
      <c r="Y27" s="646"/>
      <c r="Z27" s="646"/>
      <c r="AA27" s="646"/>
      <c r="AB27" s="646"/>
      <c r="AC27" s="649"/>
      <c r="AD27" s="646"/>
      <c r="AE27" s="646"/>
      <c r="AF27" s="646"/>
      <c r="AG27" s="646"/>
      <c r="AH27" s="646"/>
      <c r="AI27" s="646"/>
      <c r="AJ27" s="524"/>
      <c r="AK27" s="646"/>
      <c r="AL27" s="524"/>
      <c r="AM27" s="524"/>
      <c r="AN27" s="649"/>
      <c r="AO27" s="477"/>
      <c r="AP27" s="477"/>
      <c r="AQ27" s="524"/>
      <c r="AR27" s="524"/>
      <c r="AS27" s="524"/>
      <c r="AT27"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7" s="651">
        <f>WWWW[[#This Row],[%Equitable and continuous access to sufficient quantity of safe drinking water]]*WWWW[[#This Row],[Total PoP ]]</f>
        <v>0</v>
      </c>
      <c r="AV27"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7" s="651">
        <f>WWWW[[#This Row],[% Access to unimproved water points]]*WWWW[[#This Row],[Total PoP ]]</f>
        <v>0</v>
      </c>
      <c r="AX27"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7"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7" s="651">
        <f>WWWW[[#This Row],[HRP1]]/250</f>
        <v>0</v>
      </c>
      <c r="BA27" s="653">
        <f>1-WWWW[[#This Row],[% Equitable and continuous access to sufficient quantity of domestic water]]</f>
        <v>1</v>
      </c>
      <c r="BB27" s="651">
        <f>WWWW[[#This Row],[%equitable and continuous access to sufficient quantity of safe drinking and domestic water''s GAP]]*WWWW[[#This Row],[Total PoP ]]</f>
        <v>185</v>
      </c>
      <c r="BC27" s="654">
        <f>IF(WWWW[[#This Row],[Total required water points]]-WWWW[[#This Row],['#Water points coverage]]&lt;0,0,WWWW[[#This Row],[Total required water points]]-WWWW[[#This Row],['#Water points coverage]])</f>
        <v>1</v>
      </c>
      <c r="BD27" s="654">
        <f>ROUND(IF(WWWW[[#This Row],[Total PoP ]]&lt;250,1,WWWW[[#This Row],[Total PoP ]]/250),0)</f>
        <v>1</v>
      </c>
      <c r="BE2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9.7297297297297303E-2</v>
      </c>
      <c r="BF27" s="651">
        <f>WWWW[[#This Row],[% people access to functioning Latrine]]*WWWW[[#This Row],[Total PoP ]]</f>
        <v>18</v>
      </c>
      <c r="BG27" s="654">
        <f>WWWW[[#This Row],['#_of_Functioning_latrines_in_school]]*50</f>
        <v>0</v>
      </c>
      <c r="BH27" s="654">
        <f>ROUND((WWWW[[#This Row],[Total PoP ]]/6),0)</f>
        <v>31</v>
      </c>
      <c r="BI27" s="654">
        <f>IF(WWWW[[#This Row],[Total required Latrines]]-(WWWW[[#This Row],['#_of_sanitary_fly-proof_HH_latrines]])&lt;0,0,WWWW[[#This Row],[Total required Latrines]]-(WWWW[[#This Row],['#_of_sanitary_fly-proof_HH_latrines]]))</f>
        <v>28</v>
      </c>
      <c r="BJ27" s="650">
        <f>1-WWWW[[#This Row],[% people access to functioning Latrine]]</f>
        <v>0.9027027027027027</v>
      </c>
      <c r="BK27"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7" s="483">
        <f>IF(WWWW[[#This Row],['#_of_functional_handwashing_facilities_at_HH_level]]*6&gt;WWWW[[#This Row],[Total PoP ]],WWWW[[#This Row],[Total PoP ]],WWWW[[#This Row],['#_of_functional_handwashing_facilities_at_HH_level]]*6)</f>
        <v>0</v>
      </c>
      <c r="BM27" s="654">
        <f>IF(WWWW[[#This Row],['# people reached by regular dedicated hygiene promotion]]&gt;WWWW[[#This Row],['# People received regular supply of hygiene items]],WWWW[[#This Row],['# people reached by regular dedicated hygiene promotion]],WWWW[[#This Row],['# People received regular supply of hygiene items]])</f>
        <v>0</v>
      </c>
      <c r="BN27" s="653">
        <f>IF(WWWW[[#This Row],[HRP3]]/WWWW[[#This Row],[Total PoP ]]&gt;100%,100%,WWWW[[#This Row],[HRP3]]/WWWW[[#This Row],[Total PoP ]])</f>
        <v>0</v>
      </c>
      <c r="BO27" s="650">
        <f>1-WWWW[[#This Row],[Hygiene Coverage%]]</f>
        <v>1</v>
      </c>
      <c r="BP27" s="652">
        <f>WWWW[[#This Row],['# people reached by regular dedicated hygiene promotion]]/WWWW[[#This Row],[Total PoP ]]</f>
        <v>0</v>
      </c>
      <c r="BQ2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7" s="478">
        <f>WWWW[[#This Row],['#_of_affected_women_and_girls_receiving_a_sufficient_quantity_of_sanitary_pads]]</f>
        <v>0</v>
      </c>
      <c r="BS27" s="524">
        <f>IF(WWWW[[#This Row],['# People with access to soap]]&gt;WWWW[[#This Row],['# People with access to Sanity Pads]],WWWW[[#This Row],['# People with access to soap]],WWWW[[#This Row],['# People with access to Sanity Pads]])</f>
        <v>0</v>
      </c>
      <c r="BT27" s="483" t="str">
        <f>IF(OR(WWWW[[#This Row],['#of students in school]]="",WWWW[[#This Row],['#of students in school]]=0),"No","Yes")</f>
        <v>No</v>
      </c>
      <c r="BU27" s="645" t="str">
        <f>VLOOKUP(WWWW[[#This Row],[Village  Name]],SiteDB6[[Site Name]:[Location Type 1]],9,FALSE)</f>
        <v>Village</v>
      </c>
      <c r="BV27" s="645" t="str">
        <f>VLOOKUP(WWWW[[#This Row],[Village  Name]],SiteDB6[[Site Name]:[Type of Accommodation]],10,FALSE)</f>
        <v>Village</v>
      </c>
      <c r="BW27" s="645">
        <f>VLOOKUP(WWWW[[#This Row],[Village  Name]],SiteDB6[[Site Name]:[Ethnic or GCA/NGCA]],11,FALSE)</f>
        <v>0</v>
      </c>
      <c r="BX27" s="645">
        <f>VLOOKUP(WWWW[[#This Row],[Village  Name]],SiteDB6[[Site Name]:[Lat]],12,FALSE)</f>
        <v>0</v>
      </c>
      <c r="BY27" s="645">
        <f>VLOOKUP(WWWW[[#This Row],[Village  Name]],SiteDB6[[Site Name]:[Long]],13,FALSE)</f>
        <v>0</v>
      </c>
      <c r="BZ27" s="645">
        <f>VLOOKUP(WWWW[[#This Row],[Village  Name]],SiteDB6[[Site Name]:[Pcode]],3,FALSE)</f>
        <v>0</v>
      </c>
      <c r="CA27" s="645" t="str">
        <f t="shared" si="0"/>
        <v>Covered</v>
      </c>
      <c r="CB27" s="655"/>
    </row>
    <row r="28" spans="1:80">
      <c r="A28" s="641" t="s">
        <v>3150</v>
      </c>
      <c r="B28" s="641" t="s">
        <v>2994</v>
      </c>
      <c r="C28" s="642"/>
      <c r="D28" s="642" t="s">
        <v>231</v>
      </c>
      <c r="E28" s="643" t="s">
        <v>698</v>
      </c>
      <c r="F28" s="642" t="s">
        <v>3012</v>
      </c>
      <c r="G28" s="644" t="str">
        <f>VLOOKUP(WWWW[[#This Row],[Village  Name]],SiteDB6[[Site Name]:[Location Type]],8,FALSE)</f>
        <v>Village</v>
      </c>
      <c r="H28" s="642" t="s">
        <v>3025</v>
      </c>
      <c r="I28" s="646"/>
      <c r="J28" s="646">
        <v>189</v>
      </c>
      <c r="K28" s="647">
        <v>43258</v>
      </c>
      <c r="L28" s="648">
        <v>43830</v>
      </c>
      <c r="M28" s="646"/>
      <c r="N28" s="646"/>
      <c r="O28" s="524"/>
      <c r="P28" s="646"/>
      <c r="Q28" s="646"/>
      <c r="R28" s="646"/>
      <c r="S28" s="646"/>
      <c r="T28" s="646"/>
      <c r="U28" s="649"/>
      <c r="V28" s="646">
        <v>5</v>
      </c>
      <c r="W28" s="646"/>
      <c r="X28" s="646"/>
      <c r="Y28" s="646"/>
      <c r="Z28" s="646"/>
      <c r="AA28" s="646"/>
      <c r="AB28" s="646"/>
      <c r="AC28" s="649"/>
      <c r="AD28" s="646"/>
      <c r="AE28" s="646"/>
      <c r="AF28" s="646"/>
      <c r="AG28" s="646"/>
      <c r="AH28" s="646"/>
      <c r="AI28" s="646"/>
      <c r="AJ28" s="524"/>
      <c r="AK28" s="646"/>
      <c r="AL28" s="524"/>
      <c r="AM28" s="524"/>
      <c r="AN28" s="649"/>
      <c r="AO28" s="477"/>
      <c r="AP28" s="477"/>
      <c r="AQ28" s="524"/>
      <c r="AR28" s="524"/>
      <c r="AS28" s="524"/>
      <c r="AT28"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8" s="651">
        <f>WWWW[[#This Row],[%Equitable and continuous access to sufficient quantity of safe drinking water]]*WWWW[[#This Row],[Total PoP ]]</f>
        <v>0</v>
      </c>
      <c r="AV28"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8" s="651">
        <f>WWWW[[#This Row],[% Access to unimproved water points]]*WWWW[[#This Row],[Total PoP ]]</f>
        <v>0</v>
      </c>
      <c r="AX28"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8"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8" s="651">
        <f>WWWW[[#This Row],[HRP1]]/250</f>
        <v>0</v>
      </c>
      <c r="BA28" s="653">
        <f>1-WWWW[[#This Row],[% Equitable and continuous access to sufficient quantity of domestic water]]</f>
        <v>1</v>
      </c>
      <c r="BB28" s="651">
        <f>WWWW[[#This Row],[%equitable and continuous access to sufficient quantity of safe drinking and domestic water''s GAP]]*WWWW[[#This Row],[Total PoP ]]</f>
        <v>189</v>
      </c>
      <c r="BC28" s="654">
        <f>IF(WWWW[[#This Row],[Total required water points]]-WWWW[[#This Row],['#Water points coverage]]&lt;0,0,WWWW[[#This Row],[Total required water points]]-WWWW[[#This Row],['#Water points coverage]])</f>
        <v>1</v>
      </c>
      <c r="BD28" s="654">
        <f>ROUND(IF(WWWW[[#This Row],[Total PoP ]]&lt;250,1,WWWW[[#This Row],[Total PoP ]]/250),0)</f>
        <v>1</v>
      </c>
      <c r="BE2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0.15873015873015872</v>
      </c>
      <c r="BF28" s="651">
        <f>WWWW[[#This Row],[% people access to functioning Latrine]]*WWWW[[#This Row],[Total PoP ]]</f>
        <v>30</v>
      </c>
      <c r="BG28" s="654">
        <f>WWWW[[#This Row],['#_of_Functioning_latrines_in_school]]*50</f>
        <v>0</v>
      </c>
      <c r="BH28" s="654">
        <f>ROUND((WWWW[[#This Row],[Total PoP ]]/6),0)</f>
        <v>32</v>
      </c>
      <c r="BI28" s="654">
        <f>IF(WWWW[[#This Row],[Total required Latrines]]-(WWWW[[#This Row],['#_of_sanitary_fly-proof_HH_latrines]])&lt;0,0,WWWW[[#This Row],[Total required Latrines]]-(WWWW[[#This Row],['#_of_sanitary_fly-proof_HH_latrines]]))</f>
        <v>27</v>
      </c>
      <c r="BJ28" s="650">
        <f>1-WWWW[[#This Row],[% people access to functioning Latrine]]</f>
        <v>0.84126984126984128</v>
      </c>
      <c r="BK28"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8" s="483">
        <f>IF(WWWW[[#This Row],['#_of_functional_handwashing_facilities_at_HH_level]]*6&gt;WWWW[[#This Row],[Total PoP ]],WWWW[[#This Row],[Total PoP ]],WWWW[[#This Row],['#_of_functional_handwashing_facilities_at_HH_level]]*6)</f>
        <v>0</v>
      </c>
      <c r="BM28" s="654">
        <f>IF(WWWW[[#This Row],['# people reached by regular dedicated hygiene promotion]]&gt;WWWW[[#This Row],['# People received regular supply of hygiene items]],WWWW[[#This Row],['# people reached by regular dedicated hygiene promotion]],WWWW[[#This Row],['# People received regular supply of hygiene items]])</f>
        <v>0</v>
      </c>
      <c r="BN28" s="653">
        <f>IF(WWWW[[#This Row],[HRP3]]/WWWW[[#This Row],[Total PoP ]]&gt;100%,100%,WWWW[[#This Row],[HRP3]]/WWWW[[#This Row],[Total PoP ]])</f>
        <v>0</v>
      </c>
      <c r="BO28" s="650">
        <f>1-WWWW[[#This Row],[Hygiene Coverage%]]</f>
        <v>1</v>
      </c>
      <c r="BP28" s="652">
        <f>WWWW[[#This Row],['# people reached by regular dedicated hygiene promotion]]/WWWW[[#This Row],[Total PoP ]]</f>
        <v>0</v>
      </c>
      <c r="BQ2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8" s="478">
        <f>WWWW[[#This Row],['#_of_affected_women_and_girls_receiving_a_sufficient_quantity_of_sanitary_pads]]</f>
        <v>0</v>
      </c>
      <c r="BS28" s="524">
        <f>IF(WWWW[[#This Row],['# People with access to soap]]&gt;WWWW[[#This Row],['# People with access to Sanity Pads]],WWWW[[#This Row],['# People with access to soap]],WWWW[[#This Row],['# People with access to Sanity Pads]])</f>
        <v>0</v>
      </c>
      <c r="BT28" s="483" t="str">
        <f>IF(OR(WWWW[[#This Row],['#of students in school]]="",WWWW[[#This Row],['#of students in school]]=0),"No","Yes")</f>
        <v>No</v>
      </c>
      <c r="BU28" s="645" t="str">
        <f>VLOOKUP(WWWW[[#This Row],[Village  Name]],SiteDB6[[Site Name]:[Location Type 1]],9,FALSE)</f>
        <v>Village</v>
      </c>
      <c r="BV28" s="645" t="str">
        <f>VLOOKUP(WWWW[[#This Row],[Village  Name]],SiteDB6[[Site Name]:[Type of Accommodation]],10,FALSE)</f>
        <v>Village</v>
      </c>
      <c r="BW28" s="645">
        <f>VLOOKUP(WWWW[[#This Row],[Village  Name]],SiteDB6[[Site Name]:[Ethnic or GCA/NGCA]],11,FALSE)</f>
        <v>0</v>
      </c>
      <c r="BX28" s="645">
        <f>VLOOKUP(WWWW[[#This Row],[Village  Name]],SiteDB6[[Site Name]:[Lat]],12,FALSE)</f>
        <v>0</v>
      </c>
      <c r="BY28" s="645">
        <f>VLOOKUP(WWWW[[#This Row],[Village  Name]],SiteDB6[[Site Name]:[Long]],13,FALSE)</f>
        <v>0</v>
      </c>
      <c r="BZ28" s="645">
        <f>VLOOKUP(WWWW[[#This Row],[Village  Name]],SiteDB6[[Site Name]:[Pcode]],3,FALSE)</f>
        <v>0</v>
      </c>
      <c r="CA28" s="645" t="str">
        <f t="shared" si="0"/>
        <v>Covered</v>
      </c>
      <c r="CB28" s="655"/>
    </row>
    <row r="29" spans="1:80">
      <c r="A29" s="641" t="s">
        <v>3150</v>
      </c>
      <c r="B29" s="641" t="s">
        <v>2994</v>
      </c>
      <c r="C29" s="642"/>
      <c r="D29" s="642" t="s">
        <v>231</v>
      </c>
      <c r="E29" s="643" t="s">
        <v>698</v>
      </c>
      <c r="F29" s="642" t="s">
        <v>3012</v>
      </c>
      <c r="G29" s="644" t="str">
        <f>VLOOKUP(WWWW[[#This Row],[Village  Name]],SiteDB6[[Site Name]:[Location Type]],8,FALSE)</f>
        <v>Village</v>
      </c>
      <c r="H29" s="642" t="s">
        <v>3026</v>
      </c>
      <c r="I29" s="646"/>
      <c r="J29" s="646">
        <v>253</v>
      </c>
      <c r="K29" s="647">
        <v>43258</v>
      </c>
      <c r="L29" s="648">
        <v>43830</v>
      </c>
      <c r="M29" s="646"/>
      <c r="N29" s="646"/>
      <c r="O29" s="524"/>
      <c r="P29" s="646"/>
      <c r="Q29" s="646"/>
      <c r="R29" s="646"/>
      <c r="S29" s="646"/>
      <c r="T29" s="646"/>
      <c r="U29" s="649"/>
      <c r="V29" s="646">
        <v>7</v>
      </c>
      <c r="W29" s="646"/>
      <c r="X29" s="646"/>
      <c r="Y29" s="646"/>
      <c r="Z29" s="646"/>
      <c r="AA29" s="646"/>
      <c r="AB29" s="646"/>
      <c r="AC29" s="649"/>
      <c r="AD29" s="646"/>
      <c r="AE29" s="646"/>
      <c r="AF29" s="646"/>
      <c r="AG29" s="646"/>
      <c r="AH29" s="646"/>
      <c r="AI29" s="646"/>
      <c r="AJ29" s="524"/>
      <c r="AK29" s="646"/>
      <c r="AL29" s="524"/>
      <c r="AM29" s="524"/>
      <c r="AN29" s="649"/>
      <c r="AO29" s="477"/>
      <c r="AP29" s="477"/>
      <c r="AQ29" s="524"/>
      <c r="AR29" s="524"/>
      <c r="AS29" s="524"/>
      <c r="AT29"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9" s="651">
        <f>WWWW[[#This Row],[%Equitable and continuous access to sufficient quantity of safe drinking water]]*WWWW[[#This Row],[Total PoP ]]</f>
        <v>0</v>
      </c>
      <c r="AV29"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9" s="651">
        <f>WWWW[[#This Row],[% Access to unimproved water points]]*WWWW[[#This Row],[Total PoP ]]</f>
        <v>0</v>
      </c>
      <c r="AX29"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9"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9" s="651">
        <f>WWWW[[#This Row],[HRP1]]/250</f>
        <v>0</v>
      </c>
      <c r="BA29" s="653">
        <f>1-WWWW[[#This Row],[% Equitable and continuous access to sufficient quantity of domestic water]]</f>
        <v>1</v>
      </c>
      <c r="BB29" s="651">
        <f>WWWW[[#This Row],[%equitable and continuous access to sufficient quantity of safe drinking and domestic water''s GAP]]*WWWW[[#This Row],[Total PoP ]]</f>
        <v>253</v>
      </c>
      <c r="BC29" s="654">
        <f>IF(WWWW[[#This Row],[Total required water points]]-WWWW[[#This Row],['#Water points coverage]]&lt;0,0,WWWW[[#This Row],[Total required water points]]-WWWW[[#This Row],['#Water points coverage]])</f>
        <v>1</v>
      </c>
      <c r="BD29" s="654">
        <f>ROUND(IF(WWWW[[#This Row],[Total PoP ]]&lt;250,1,WWWW[[#This Row],[Total PoP ]]/250),0)</f>
        <v>1</v>
      </c>
      <c r="BE2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0.16600790513833993</v>
      </c>
      <c r="BF29" s="651">
        <f>WWWW[[#This Row],[% people access to functioning Latrine]]*WWWW[[#This Row],[Total PoP ]]</f>
        <v>42</v>
      </c>
      <c r="BG29" s="654">
        <f>WWWW[[#This Row],['#_of_Functioning_latrines_in_school]]*50</f>
        <v>0</v>
      </c>
      <c r="BH29" s="654">
        <f>ROUND((WWWW[[#This Row],[Total PoP ]]/6),0)</f>
        <v>42</v>
      </c>
      <c r="BI29" s="654">
        <f>IF(WWWW[[#This Row],[Total required Latrines]]-(WWWW[[#This Row],['#_of_sanitary_fly-proof_HH_latrines]])&lt;0,0,WWWW[[#This Row],[Total required Latrines]]-(WWWW[[#This Row],['#_of_sanitary_fly-proof_HH_latrines]]))</f>
        <v>35</v>
      </c>
      <c r="BJ29" s="650">
        <f>1-WWWW[[#This Row],[% people access to functioning Latrine]]</f>
        <v>0.83399209486166004</v>
      </c>
      <c r="BK29"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9" s="483">
        <f>IF(WWWW[[#This Row],['#_of_functional_handwashing_facilities_at_HH_level]]*6&gt;WWWW[[#This Row],[Total PoP ]],WWWW[[#This Row],[Total PoP ]],WWWW[[#This Row],['#_of_functional_handwashing_facilities_at_HH_level]]*6)</f>
        <v>0</v>
      </c>
      <c r="BM29" s="654">
        <f>IF(WWWW[[#This Row],['# people reached by regular dedicated hygiene promotion]]&gt;WWWW[[#This Row],['# People received regular supply of hygiene items]],WWWW[[#This Row],['# people reached by regular dedicated hygiene promotion]],WWWW[[#This Row],['# People received regular supply of hygiene items]])</f>
        <v>0</v>
      </c>
      <c r="BN29" s="653">
        <f>IF(WWWW[[#This Row],[HRP3]]/WWWW[[#This Row],[Total PoP ]]&gt;100%,100%,WWWW[[#This Row],[HRP3]]/WWWW[[#This Row],[Total PoP ]])</f>
        <v>0</v>
      </c>
      <c r="BO29" s="650">
        <f>1-WWWW[[#This Row],[Hygiene Coverage%]]</f>
        <v>1</v>
      </c>
      <c r="BP29" s="652">
        <f>WWWW[[#This Row],['# people reached by regular dedicated hygiene promotion]]/WWWW[[#This Row],[Total PoP ]]</f>
        <v>0</v>
      </c>
      <c r="BQ2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9" s="478">
        <f>WWWW[[#This Row],['#_of_affected_women_and_girls_receiving_a_sufficient_quantity_of_sanitary_pads]]</f>
        <v>0</v>
      </c>
      <c r="BS29" s="524">
        <f>IF(WWWW[[#This Row],['# People with access to soap]]&gt;WWWW[[#This Row],['# People with access to Sanity Pads]],WWWW[[#This Row],['# People with access to soap]],WWWW[[#This Row],['# People with access to Sanity Pads]])</f>
        <v>0</v>
      </c>
      <c r="BT29" s="483" t="str">
        <f>IF(OR(WWWW[[#This Row],['#of students in school]]="",WWWW[[#This Row],['#of students in school]]=0),"No","Yes")</f>
        <v>No</v>
      </c>
      <c r="BU29" s="645" t="str">
        <f>VLOOKUP(WWWW[[#This Row],[Village  Name]],SiteDB6[[Site Name]:[Location Type 1]],9,FALSE)</f>
        <v>Village</v>
      </c>
      <c r="BV29" s="645" t="str">
        <f>VLOOKUP(WWWW[[#This Row],[Village  Name]],SiteDB6[[Site Name]:[Type of Accommodation]],10,FALSE)</f>
        <v>Village</v>
      </c>
      <c r="BW29" s="645">
        <f>VLOOKUP(WWWW[[#This Row],[Village  Name]],SiteDB6[[Site Name]:[Ethnic or GCA/NGCA]],11,FALSE)</f>
        <v>0</v>
      </c>
      <c r="BX29" s="645">
        <f>VLOOKUP(WWWW[[#This Row],[Village  Name]],SiteDB6[[Site Name]:[Lat]],12,FALSE)</f>
        <v>0</v>
      </c>
      <c r="BY29" s="645">
        <f>VLOOKUP(WWWW[[#This Row],[Village  Name]],SiteDB6[[Site Name]:[Long]],13,FALSE)</f>
        <v>0</v>
      </c>
      <c r="BZ29" s="645">
        <f>VLOOKUP(WWWW[[#This Row],[Village  Name]],SiteDB6[[Site Name]:[Pcode]],3,FALSE)</f>
        <v>0</v>
      </c>
      <c r="CA29" s="645" t="str">
        <f t="shared" si="0"/>
        <v>Covered</v>
      </c>
      <c r="CB29" s="655"/>
    </row>
    <row r="30" spans="1:80">
      <c r="A30" s="641" t="s">
        <v>3150</v>
      </c>
      <c r="B30" s="641" t="s">
        <v>2994</v>
      </c>
      <c r="C30" s="642"/>
      <c r="D30" s="642" t="s">
        <v>231</v>
      </c>
      <c r="E30" s="643" t="s">
        <v>698</v>
      </c>
      <c r="F30" s="642" t="s">
        <v>3012</v>
      </c>
      <c r="G30" s="644" t="str">
        <f>VLOOKUP(WWWW[[#This Row],[Village  Name]],SiteDB6[[Site Name]:[Location Type]],8,FALSE)</f>
        <v>Village</v>
      </c>
      <c r="H30" s="642" t="s">
        <v>3027</v>
      </c>
      <c r="I30" s="646"/>
      <c r="J30" s="646">
        <v>150</v>
      </c>
      <c r="K30" s="647">
        <v>43258</v>
      </c>
      <c r="L30" s="648">
        <v>43830</v>
      </c>
      <c r="M30" s="646"/>
      <c r="N30" s="646"/>
      <c r="O30" s="524"/>
      <c r="P30" s="646"/>
      <c r="Q30" s="646"/>
      <c r="R30" s="646"/>
      <c r="S30" s="646"/>
      <c r="T30" s="646"/>
      <c r="U30" s="649"/>
      <c r="V30" s="646">
        <v>4</v>
      </c>
      <c r="W30" s="646"/>
      <c r="X30" s="646"/>
      <c r="Y30" s="646"/>
      <c r="Z30" s="646"/>
      <c r="AA30" s="646"/>
      <c r="AB30" s="646"/>
      <c r="AC30" s="649"/>
      <c r="AD30" s="646"/>
      <c r="AE30" s="646"/>
      <c r="AF30" s="646"/>
      <c r="AG30" s="646"/>
      <c r="AH30" s="646"/>
      <c r="AI30" s="646"/>
      <c r="AJ30" s="524"/>
      <c r="AK30" s="646"/>
      <c r="AL30" s="524"/>
      <c r="AM30" s="524"/>
      <c r="AN30" s="649"/>
      <c r="AO30" s="477"/>
      <c r="AP30" s="477"/>
      <c r="AQ30" s="524"/>
      <c r="AR30" s="524"/>
      <c r="AS30" s="524"/>
      <c r="AT30"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0" s="651">
        <f>WWWW[[#This Row],[%Equitable and continuous access to sufficient quantity of safe drinking water]]*WWWW[[#This Row],[Total PoP ]]</f>
        <v>0</v>
      </c>
      <c r="AV30"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0" s="651">
        <f>WWWW[[#This Row],[% Access to unimproved water points]]*WWWW[[#This Row],[Total PoP ]]</f>
        <v>0</v>
      </c>
      <c r="AX30"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0"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0" s="651">
        <f>WWWW[[#This Row],[HRP1]]/250</f>
        <v>0</v>
      </c>
      <c r="BA30" s="653">
        <f>1-WWWW[[#This Row],[% Equitable and continuous access to sufficient quantity of domestic water]]</f>
        <v>1</v>
      </c>
      <c r="BB30" s="651">
        <f>WWWW[[#This Row],[%equitable and continuous access to sufficient quantity of safe drinking and domestic water''s GAP]]*WWWW[[#This Row],[Total PoP ]]</f>
        <v>150</v>
      </c>
      <c r="BC30" s="654">
        <f>IF(WWWW[[#This Row],[Total required water points]]-WWWW[[#This Row],['#Water points coverage]]&lt;0,0,WWWW[[#This Row],[Total required water points]]-WWWW[[#This Row],['#Water points coverage]])</f>
        <v>1</v>
      </c>
      <c r="BD30" s="654">
        <f>ROUND(IF(WWWW[[#This Row],[Total PoP ]]&lt;250,1,WWWW[[#This Row],[Total PoP ]]/250),0)</f>
        <v>1</v>
      </c>
      <c r="BE3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0.16</v>
      </c>
      <c r="BF30" s="651">
        <f>WWWW[[#This Row],[% people access to functioning Latrine]]*WWWW[[#This Row],[Total PoP ]]</f>
        <v>24</v>
      </c>
      <c r="BG30" s="654">
        <f>WWWW[[#This Row],['#_of_Functioning_latrines_in_school]]*50</f>
        <v>0</v>
      </c>
      <c r="BH30" s="654">
        <f>ROUND((WWWW[[#This Row],[Total PoP ]]/6),0)</f>
        <v>25</v>
      </c>
      <c r="BI30" s="654">
        <f>IF(WWWW[[#This Row],[Total required Latrines]]-(WWWW[[#This Row],['#_of_sanitary_fly-proof_HH_latrines]])&lt;0,0,WWWW[[#This Row],[Total required Latrines]]-(WWWW[[#This Row],['#_of_sanitary_fly-proof_HH_latrines]]))</f>
        <v>21</v>
      </c>
      <c r="BJ30" s="650">
        <f>1-WWWW[[#This Row],[% people access to functioning Latrine]]</f>
        <v>0.84</v>
      </c>
      <c r="BK30"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0" s="483">
        <f>IF(WWWW[[#This Row],['#_of_functional_handwashing_facilities_at_HH_level]]*6&gt;WWWW[[#This Row],[Total PoP ]],WWWW[[#This Row],[Total PoP ]],WWWW[[#This Row],['#_of_functional_handwashing_facilities_at_HH_level]]*6)</f>
        <v>0</v>
      </c>
      <c r="BM30" s="654">
        <f>IF(WWWW[[#This Row],['# people reached by regular dedicated hygiene promotion]]&gt;WWWW[[#This Row],['# People received regular supply of hygiene items]],WWWW[[#This Row],['# people reached by regular dedicated hygiene promotion]],WWWW[[#This Row],['# People received regular supply of hygiene items]])</f>
        <v>0</v>
      </c>
      <c r="BN30" s="653">
        <f>IF(WWWW[[#This Row],[HRP3]]/WWWW[[#This Row],[Total PoP ]]&gt;100%,100%,WWWW[[#This Row],[HRP3]]/WWWW[[#This Row],[Total PoP ]])</f>
        <v>0</v>
      </c>
      <c r="BO30" s="650">
        <f>1-WWWW[[#This Row],[Hygiene Coverage%]]</f>
        <v>1</v>
      </c>
      <c r="BP30" s="652">
        <f>WWWW[[#This Row],['# people reached by regular dedicated hygiene promotion]]/WWWW[[#This Row],[Total PoP ]]</f>
        <v>0</v>
      </c>
      <c r="BQ3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0" s="478">
        <f>WWWW[[#This Row],['#_of_affected_women_and_girls_receiving_a_sufficient_quantity_of_sanitary_pads]]</f>
        <v>0</v>
      </c>
      <c r="BS30" s="524">
        <f>IF(WWWW[[#This Row],['# People with access to soap]]&gt;WWWW[[#This Row],['# People with access to Sanity Pads]],WWWW[[#This Row],['# People with access to soap]],WWWW[[#This Row],['# People with access to Sanity Pads]])</f>
        <v>0</v>
      </c>
      <c r="BT30" s="483" t="str">
        <f>IF(OR(WWWW[[#This Row],['#of students in school]]="",WWWW[[#This Row],['#of students in school]]=0),"No","Yes")</f>
        <v>No</v>
      </c>
      <c r="BU30" s="645" t="str">
        <f>VLOOKUP(WWWW[[#This Row],[Village  Name]],SiteDB6[[Site Name]:[Location Type 1]],9,FALSE)</f>
        <v>Village</v>
      </c>
      <c r="BV30" s="645" t="str">
        <f>VLOOKUP(WWWW[[#This Row],[Village  Name]],SiteDB6[[Site Name]:[Type of Accommodation]],10,FALSE)</f>
        <v>Village</v>
      </c>
      <c r="BW30" s="645">
        <f>VLOOKUP(WWWW[[#This Row],[Village  Name]],SiteDB6[[Site Name]:[Ethnic or GCA/NGCA]],11,FALSE)</f>
        <v>0</v>
      </c>
      <c r="BX30" s="645">
        <f>VLOOKUP(WWWW[[#This Row],[Village  Name]],SiteDB6[[Site Name]:[Lat]],12,FALSE)</f>
        <v>0</v>
      </c>
      <c r="BY30" s="645">
        <f>VLOOKUP(WWWW[[#This Row],[Village  Name]],SiteDB6[[Site Name]:[Long]],13,FALSE)</f>
        <v>0</v>
      </c>
      <c r="BZ30" s="645">
        <f>VLOOKUP(WWWW[[#This Row],[Village  Name]],SiteDB6[[Site Name]:[Pcode]],3,FALSE)</f>
        <v>0</v>
      </c>
      <c r="CA30" s="645" t="str">
        <f t="shared" si="0"/>
        <v>Covered</v>
      </c>
      <c r="CB30" s="655"/>
    </row>
    <row r="31" spans="1:80">
      <c r="A31" s="641" t="s">
        <v>3150</v>
      </c>
      <c r="B31" s="641" t="s">
        <v>2994</v>
      </c>
      <c r="C31" s="642"/>
      <c r="D31" s="642" t="s">
        <v>231</v>
      </c>
      <c r="E31" s="643" t="s">
        <v>698</v>
      </c>
      <c r="F31" s="642" t="s">
        <v>3012</v>
      </c>
      <c r="G31" s="644" t="str">
        <f>VLOOKUP(WWWW[[#This Row],[Village  Name]],SiteDB6[[Site Name]:[Location Type]],8,FALSE)</f>
        <v>Village</v>
      </c>
      <c r="H31" s="642" t="s">
        <v>3028</v>
      </c>
      <c r="I31" s="646"/>
      <c r="J31" s="646">
        <v>393</v>
      </c>
      <c r="K31" s="647">
        <v>43258</v>
      </c>
      <c r="L31" s="648">
        <v>43830</v>
      </c>
      <c r="M31" s="646"/>
      <c r="N31" s="646"/>
      <c r="O31" s="524"/>
      <c r="P31" s="646"/>
      <c r="Q31" s="646"/>
      <c r="R31" s="646"/>
      <c r="S31" s="646"/>
      <c r="T31" s="646"/>
      <c r="U31" s="649"/>
      <c r="V31" s="646"/>
      <c r="W31" s="646"/>
      <c r="X31" s="646"/>
      <c r="Y31" s="646"/>
      <c r="Z31" s="646"/>
      <c r="AA31" s="646"/>
      <c r="AB31" s="646"/>
      <c r="AC31" s="649"/>
      <c r="AD31" s="646"/>
      <c r="AE31" s="646"/>
      <c r="AF31" s="646"/>
      <c r="AG31" s="646"/>
      <c r="AH31" s="646"/>
      <c r="AI31" s="646"/>
      <c r="AJ31" s="524"/>
      <c r="AK31" s="646"/>
      <c r="AL31" s="524"/>
      <c r="AM31" s="524"/>
      <c r="AN31" s="649"/>
      <c r="AO31" s="477"/>
      <c r="AP31" s="477"/>
      <c r="AQ31" s="524"/>
      <c r="AR31" s="524"/>
      <c r="AS31" s="524"/>
      <c r="AT31"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1" s="651">
        <f>WWWW[[#This Row],[%Equitable and continuous access to sufficient quantity of safe drinking water]]*WWWW[[#This Row],[Total PoP ]]</f>
        <v>0</v>
      </c>
      <c r="AV31"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1" s="651">
        <f>WWWW[[#This Row],[% Access to unimproved water points]]*WWWW[[#This Row],[Total PoP ]]</f>
        <v>0</v>
      </c>
      <c r="AX31"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1"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1" s="651">
        <f>WWWW[[#This Row],[HRP1]]/250</f>
        <v>0</v>
      </c>
      <c r="BA31" s="653">
        <f>1-WWWW[[#This Row],[% Equitable and continuous access to sufficient quantity of domestic water]]</f>
        <v>1</v>
      </c>
      <c r="BB31" s="651">
        <f>WWWW[[#This Row],[%equitable and continuous access to sufficient quantity of safe drinking and domestic water''s GAP]]*WWWW[[#This Row],[Total PoP ]]</f>
        <v>393</v>
      </c>
      <c r="BC31" s="654">
        <f>IF(WWWW[[#This Row],[Total required water points]]-WWWW[[#This Row],['#Water points coverage]]&lt;0,0,WWWW[[#This Row],[Total required water points]]-WWWW[[#This Row],['#Water points coverage]])</f>
        <v>2</v>
      </c>
      <c r="BD31" s="654">
        <f>ROUND(IF(WWWW[[#This Row],[Total PoP ]]&lt;250,1,WWWW[[#This Row],[Total PoP ]]/250),0)</f>
        <v>2</v>
      </c>
      <c r="BE3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1" s="651">
        <f>WWWW[[#This Row],[% people access to functioning Latrine]]*WWWW[[#This Row],[Total PoP ]]</f>
        <v>0</v>
      </c>
      <c r="BG31" s="654">
        <f>WWWW[[#This Row],['#_of_Functioning_latrines_in_school]]*50</f>
        <v>0</v>
      </c>
      <c r="BH31" s="654">
        <f>ROUND((WWWW[[#This Row],[Total PoP ]]/6),0)</f>
        <v>66</v>
      </c>
      <c r="BI31" s="654">
        <f>IF(WWWW[[#This Row],[Total required Latrines]]-(WWWW[[#This Row],['#_of_sanitary_fly-proof_HH_latrines]])&lt;0,0,WWWW[[#This Row],[Total required Latrines]]-(WWWW[[#This Row],['#_of_sanitary_fly-proof_HH_latrines]]))</f>
        <v>66</v>
      </c>
      <c r="BJ31" s="650">
        <f>1-WWWW[[#This Row],[% people access to functioning Latrine]]</f>
        <v>1</v>
      </c>
      <c r="BK31"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1" s="483">
        <f>IF(WWWW[[#This Row],['#_of_functional_handwashing_facilities_at_HH_level]]*6&gt;WWWW[[#This Row],[Total PoP ]],WWWW[[#This Row],[Total PoP ]],WWWW[[#This Row],['#_of_functional_handwashing_facilities_at_HH_level]]*6)</f>
        <v>0</v>
      </c>
      <c r="BM31" s="654">
        <f>IF(WWWW[[#This Row],['# people reached by regular dedicated hygiene promotion]]&gt;WWWW[[#This Row],['# People received regular supply of hygiene items]],WWWW[[#This Row],['# people reached by regular dedicated hygiene promotion]],WWWW[[#This Row],['# People received regular supply of hygiene items]])</f>
        <v>0</v>
      </c>
      <c r="BN31" s="653">
        <f>IF(WWWW[[#This Row],[HRP3]]/WWWW[[#This Row],[Total PoP ]]&gt;100%,100%,WWWW[[#This Row],[HRP3]]/WWWW[[#This Row],[Total PoP ]])</f>
        <v>0</v>
      </c>
      <c r="BO31" s="650">
        <f>1-WWWW[[#This Row],[Hygiene Coverage%]]</f>
        <v>1</v>
      </c>
      <c r="BP31" s="652">
        <f>WWWW[[#This Row],['# people reached by regular dedicated hygiene promotion]]/WWWW[[#This Row],[Total PoP ]]</f>
        <v>0</v>
      </c>
      <c r="BQ3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1" s="478">
        <f>WWWW[[#This Row],['#_of_affected_women_and_girls_receiving_a_sufficient_quantity_of_sanitary_pads]]</f>
        <v>0</v>
      </c>
      <c r="BS31" s="524">
        <f>IF(WWWW[[#This Row],['# People with access to soap]]&gt;WWWW[[#This Row],['# People with access to Sanity Pads]],WWWW[[#This Row],['# People with access to soap]],WWWW[[#This Row],['# People with access to Sanity Pads]])</f>
        <v>0</v>
      </c>
      <c r="BT31" s="483" t="str">
        <f>IF(OR(WWWW[[#This Row],['#of students in school]]="",WWWW[[#This Row],['#of students in school]]=0),"No","Yes")</f>
        <v>No</v>
      </c>
      <c r="BU31" s="645" t="str">
        <f>VLOOKUP(WWWW[[#This Row],[Village  Name]],SiteDB6[[Site Name]:[Location Type 1]],9,FALSE)</f>
        <v>Village</v>
      </c>
      <c r="BV31" s="645" t="str">
        <f>VLOOKUP(WWWW[[#This Row],[Village  Name]],SiteDB6[[Site Name]:[Type of Accommodation]],10,FALSE)</f>
        <v>Village</v>
      </c>
      <c r="BW31" s="645">
        <f>VLOOKUP(WWWW[[#This Row],[Village  Name]],SiteDB6[[Site Name]:[Ethnic or GCA/NGCA]],11,FALSE)</f>
        <v>0</v>
      </c>
      <c r="BX31" s="645">
        <f>VLOOKUP(WWWW[[#This Row],[Village  Name]],SiteDB6[[Site Name]:[Lat]],12,FALSE)</f>
        <v>0</v>
      </c>
      <c r="BY31" s="645">
        <f>VLOOKUP(WWWW[[#This Row],[Village  Name]],SiteDB6[[Site Name]:[Long]],13,FALSE)</f>
        <v>0</v>
      </c>
      <c r="BZ31" s="645">
        <f>VLOOKUP(WWWW[[#This Row],[Village  Name]],SiteDB6[[Site Name]:[Pcode]],3,FALSE)</f>
        <v>0</v>
      </c>
      <c r="CA31" s="645" t="str">
        <f t="shared" si="0"/>
        <v>Covered</v>
      </c>
      <c r="CB31" s="655"/>
    </row>
    <row r="32" spans="1:80">
      <c r="A32" s="641" t="s">
        <v>3150</v>
      </c>
      <c r="B32" s="641" t="s">
        <v>2994</v>
      </c>
      <c r="C32" s="642"/>
      <c r="D32" s="642" t="s">
        <v>231</v>
      </c>
      <c r="E32" s="643" t="s">
        <v>698</v>
      </c>
      <c r="F32" s="642" t="s">
        <v>3012</v>
      </c>
      <c r="G32" s="644" t="str">
        <f>VLOOKUP(WWWW[[#This Row],[Village  Name]],SiteDB6[[Site Name]:[Location Type]],8,FALSE)</f>
        <v>Village</v>
      </c>
      <c r="H32" s="642" t="s">
        <v>3029</v>
      </c>
      <c r="I32" s="646"/>
      <c r="J32" s="646">
        <v>290</v>
      </c>
      <c r="K32" s="647">
        <v>43258</v>
      </c>
      <c r="L32" s="648">
        <v>43830</v>
      </c>
      <c r="M32" s="646"/>
      <c r="N32" s="646"/>
      <c r="O32" s="524"/>
      <c r="P32" s="646"/>
      <c r="Q32" s="646"/>
      <c r="R32" s="646"/>
      <c r="S32" s="646"/>
      <c r="T32" s="646"/>
      <c r="U32" s="649"/>
      <c r="V32" s="646"/>
      <c r="W32" s="646"/>
      <c r="X32" s="646"/>
      <c r="Y32" s="646"/>
      <c r="Z32" s="646"/>
      <c r="AA32" s="646"/>
      <c r="AB32" s="646"/>
      <c r="AC32" s="649"/>
      <c r="AD32" s="646"/>
      <c r="AE32" s="646"/>
      <c r="AF32" s="646"/>
      <c r="AG32" s="646"/>
      <c r="AH32" s="646"/>
      <c r="AI32" s="646"/>
      <c r="AJ32" s="524"/>
      <c r="AK32" s="646"/>
      <c r="AL32" s="524"/>
      <c r="AM32" s="524"/>
      <c r="AN32" s="649"/>
      <c r="AO32" s="477"/>
      <c r="AP32" s="477"/>
      <c r="AQ32" s="524"/>
      <c r="AR32" s="524"/>
      <c r="AS32" s="524"/>
      <c r="AT32"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2" s="651">
        <f>WWWW[[#This Row],[%Equitable and continuous access to sufficient quantity of safe drinking water]]*WWWW[[#This Row],[Total PoP ]]</f>
        <v>0</v>
      </c>
      <c r="AV32"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2" s="651">
        <f>WWWW[[#This Row],[% Access to unimproved water points]]*WWWW[[#This Row],[Total PoP ]]</f>
        <v>0</v>
      </c>
      <c r="AX32"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2"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2" s="651">
        <f>WWWW[[#This Row],[HRP1]]/250</f>
        <v>0</v>
      </c>
      <c r="BA32" s="653">
        <f>1-WWWW[[#This Row],[% Equitable and continuous access to sufficient quantity of domestic water]]</f>
        <v>1</v>
      </c>
      <c r="BB32" s="651">
        <f>WWWW[[#This Row],[%equitable and continuous access to sufficient quantity of safe drinking and domestic water''s GAP]]*WWWW[[#This Row],[Total PoP ]]</f>
        <v>290</v>
      </c>
      <c r="BC32" s="654">
        <f>IF(WWWW[[#This Row],[Total required water points]]-WWWW[[#This Row],['#Water points coverage]]&lt;0,0,WWWW[[#This Row],[Total required water points]]-WWWW[[#This Row],['#Water points coverage]])</f>
        <v>1</v>
      </c>
      <c r="BD32" s="654">
        <f>ROUND(IF(WWWW[[#This Row],[Total PoP ]]&lt;250,1,WWWW[[#This Row],[Total PoP ]]/250),0)</f>
        <v>1</v>
      </c>
      <c r="BE3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2" s="651">
        <f>WWWW[[#This Row],[% people access to functioning Latrine]]*WWWW[[#This Row],[Total PoP ]]</f>
        <v>0</v>
      </c>
      <c r="BG32" s="654">
        <f>WWWW[[#This Row],['#_of_Functioning_latrines_in_school]]*50</f>
        <v>0</v>
      </c>
      <c r="BH32" s="654">
        <f>ROUND((WWWW[[#This Row],[Total PoP ]]/6),0)</f>
        <v>48</v>
      </c>
      <c r="BI32" s="654">
        <f>IF(WWWW[[#This Row],[Total required Latrines]]-(WWWW[[#This Row],['#_of_sanitary_fly-proof_HH_latrines]])&lt;0,0,WWWW[[#This Row],[Total required Latrines]]-(WWWW[[#This Row],['#_of_sanitary_fly-proof_HH_latrines]]))</f>
        <v>48</v>
      </c>
      <c r="BJ32" s="650">
        <f>1-WWWW[[#This Row],[% people access to functioning Latrine]]</f>
        <v>1</v>
      </c>
      <c r="BK32"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2" s="483">
        <f>IF(WWWW[[#This Row],['#_of_functional_handwashing_facilities_at_HH_level]]*6&gt;WWWW[[#This Row],[Total PoP ]],WWWW[[#This Row],[Total PoP ]],WWWW[[#This Row],['#_of_functional_handwashing_facilities_at_HH_level]]*6)</f>
        <v>0</v>
      </c>
      <c r="BM32" s="654">
        <f>IF(WWWW[[#This Row],['# people reached by regular dedicated hygiene promotion]]&gt;WWWW[[#This Row],['# People received regular supply of hygiene items]],WWWW[[#This Row],['# people reached by regular dedicated hygiene promotion]],WWWW[[#This Row],['# People received regular supply of hygiene items]])</f>
        <v>0</v>
      </c>
      <c r="BN32" s="653">
        <f>IF(WWWW[[#This Row],[HRP3]]/WWWW[[#This Row],[Total PoP ]]&gt;100%,100%,WWWW[[#This Row],[HRP3]]/WWWW[[#This Row],[Total PoP ]])</f>
        <v>0</v>
      </c>
      <c r="BO32" s="650">
        <f>1-WWWW[[#This Row],[Hygiene Coverage%]]</f>
        <v>1</v>
      </c>
      <c r="BP32" s="652">
        <f>WWWW[[#This Row],['# people reached by regular dedicated hygiene promotion]]/WWWW[[#This Row],[Total PoP ]]</f>
        <v>0</v>
      </c>
      <c r="BQ3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2" s="478">
        <f>WWWW[[#This Row],['#_of_affected_women_and_girls_receiving_a_sufficient_quantity_of_sanitary_pads]]</f>
        <v>0</v>
      </c>
      <c r="BS32" s="524">
        <f>IF(WWWW[[#This Row],['# People with access to soap]]&gt;WWWW[[#This Row],['# People with access to Sanity Pads]],WWWW[[#This Row],['# People with access to soap]],WWWW[[#This Row],['# People with access to Sanity Pads]])</f>
        <v>0</v>
      </c>
      <c r="BT32" s="483" t="str">
        <f>IF(OR(WWWW[[#This Row],['#of students in school]]="",WWWW[[#This Row],['#of students in school]]=0),"No","Yes")</f>
        <v>No</v>
      </c>
      <c r="BU32" s="645" t="str">
        <f>VLOOKUP(WWWW[[#This Row],[Village  Name]],SiteDB6[[Site Name]:[Location Type 1]],9,FALSE)</f>
        <v>Village</v>
      </c>
      <c r="BV32" s="645" t="str">
        <f>VLOOKUP(WWWW[[#This Row],[Village  Name]],SiteDB6[[Site Name]:[Type of Accommodation]],10,FALSE)</f>
        <v>Village</v>
      </c>
      <c r="BW32" s="645">
        <f>VLOOKUP(WWWW[[#This Row],[Village  Name]],SiteDB6[[Site Name]:[Ethnic or GCA/NGCA]],11,FALSE)</f>
        <v>0</v>
      </c>
      <c r="BX32" s="645">
        <f>VLOOKUP(WWWW[[#This Row],[Village  Name]],SiteDB6[[Site Name]:[Lat]],12,FALSE)</f>
        <v>0</v>
      </c>
      <c r="BY32" s="645">
        <f>VLOOKUP(WWWW[[#This Row],[Village  Name]],SiteDB6[[Site Name]:[Long]],13,FALSE)</f>
        <v>0</v>
      </c>
      <c r="BZ32" s="645">
        <f>VLOOKUP(WWWW[[#This Row],[Village  Name]],SiteDB6[[Site Name]:[Pcode]],3,FALSE)</f>
        <v>0</v>
      </c>
      <c r="CA32" s="645" t="str">
        <f t="shared" si="0"/>
        <v>Covered</v>
      </c>
      <c r="CB32" s="655"/>
    </row>
    <row r="33" spans="1:80">
      <c r="A33" s="641" t="s">
        <v>3150</v>
      </c>
      <c r="B33" s="641" t="s">
        <v>2994</v>
      </c>
      <c r="C33" s="642"/>
      <c r="D33" s="642" t="s">
        <v>231</v>
      </c>
      <c r="E33" s="643" t="s">
        <v>698</v>
      </c>
      <c r="F33" s="642" t="s">
        <v>3012</v>
      </c>
      <c r="G33" s="644" t="str">
        <f>VLOOKUP(WWWW[[#This Row],[Village  Name]],SiteDB6[[Site Name]:[Location Type]],8,FALSE)</f>
        <v>Village</v>
      </c>
      <c r="H33" s="642" t="s">
        <v>3030</v>
      </c>
      <c r="I33" s="646"/>
      <c r="J33" s="646">
        <v>712</v>
      </c>
      <c r="K33" s="647">
        <v>43258</v>
      </c>
      <c r="L33" s="648">
        <v>43830</v>
      </c>
      <c r="M33" s="646"/>
      <c r="N33" s="646"/>
      <c r="O33" s="524"/>
      <c r="P33" s="646"/>
      <c r="Q33" s="646"/>
      <c r="R33" s="646"/>
      <c r="S33" s="646"/>
      <c r="T33" s="646"/>
      <c r="U33" s="649"/>
      <c r="V33" s="646">
        <v>9</v>
      </c>
      <c r="W33" s="646"/>
      <c r="X33" s="646"/>
      <c r="Y33" s="646"/>
      <c r="Z33" s="646"/>
      <c r="AA33" s="646"/>
      <c r="AB33" s="646"/>
      <c r="AC33" s="649"/>
      <c r="AD33" s="646"/>
      <c r="AE33" s="646"/>
      <c r="AF33" s="646"/>
      <c r="AG33" s="646"/>
      <c r="AH33" s="646"/>
      <c r="AI33" s="646"/>
      <c r="AJ33" s="524"/>
      <c r="AK33" s="646"/>
      <c r="AL33" s="524"/>
      <c r="AM33" s="524"/>
      <c r="AN33" s="649"/>
      <c r="AO33" s="477"/>
      <c r="AP33" s="477"/>
      <c r="AQ33" s="524"/>
      <c r="AR33" s="524"/>
      <c r="AS33" s="524"/>
      <c r="AT33"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3" s="651">
        <f>WWWW[[#This Row],[%Equitable and continuous access to sufficient quantity of safe drinking water]]*WWWW[[#This Row],[Total PoP ]]</f>
        <v>0</v>
      </c>
      <c r="AV33"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3" s="651">
        <f>WWWW[[#This Row],[% Access to unimproved water points]]*WWWW[[#This Row],[Total PoP ]]</f>
        <v>0</v>
      </c>
      <c r="AX33"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3"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3" s="651">
        <f>WWWW[[#This Row],[HRP1]]/250</f>
        <v>0</v>
      </c>
      <c r="BA33" s="653">
        <f>1-WWWW[[#This Row],[% Equitable and continuous access to sufficient quantity of domestic water]]</f>
        <v>1</v>
      </c>
      <c r="BB33" s="651">
        <f>WWWW[[#This Row],[%equitable and continuous access to sufficient quantity of safe drinking and domestic water''s GAP]]*WWWW[[#This Row],[Total PoP ]]</f>
        <v>712</v>
      </c>
      <c r="BC33" s="654">
        <f>IF(WWWW[[#This Row],[Total required water points]]-WWWW[[#This Row],['#Water points coverage]]&lt;0,0,WWWW[[#This Row],[Total required water points]]-WWWW[[#This Row],['#Water points coverage]])</f>
        <v>3</v>
      </c>
      <c r="BD33" s="654">
        <f>ROUND(IF(WWWW[[#This Row],[Total PoP ]]&lt;250,1,WWWW[[#This Row],[Total PoP ]]/250),0)</f>
        <v>3</v>
      </c>
      <c r="BE3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7.5842696629213488E-2</v>
      </c>
      <c r="BF33" s="651">
        <f>WWWW[[#This Row],[% people access to functioning Latrine]]*WWWW[[#This Row],[Total PoP ]]</f>
        <v>54</v>
      </c>
      <c r="BG33" s="654">
        <f>WWWW[[#This Row],['#_of_Functioning_latrines_in_school]]*50</f>
        <v>0</v>
      </c>
      <c r="BH33" s="654">
        <f>ROUND((WWWW[[#This Row],[Total PoP ]]/6),0)</f>
        <v>119</v>
      </c>
      <c r="BI33" s="654">
        <f>IF(WWWW[[#This Row],[Total required Latrines]]-(WWWW[[#This Row],['#_of_sanitary_fly-proof_HH_latrines]])&lt;0,0,WWWW[[#This Row],[Total required Latrines]]-(WWWW[[#This Row],['#_of_sanitary_fly-proof_HH_latrines]]))</f>
        <v>110</v>
      </c>
      <c r="BJ33" s="650">
        <f>1-WWWW[[#This Row],[% people access to functioning Latrine]]</f>
        <v>0.9241573033707865</v>
      </c>
      <c r="BK33"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3" s="483">
        <f>IF(WWWW[[#This Row],['#_of_functional_handwashing_facilities_at_HH_level]]*6&gt;WWWW[[#This Row],[Total PoP ]],WWWW[[#This Row],[Total PoP ]],WWWW[[#This Row],['#_of_functional_handwashing_facilities_at_HH_level]]*6)</f>
        <v>0</v>
      </c>
      <c r="BM33" s="654">
        <f>IF(WWWW[[#This Row],['# people reached by regular dedicated hygiene promotion]]&gt;WWWW[[#This Row],['# People received regular supply of hygiene items]],WWWW[[#This Row],['# people reached by regular dedicated hygiene promotion]],WWWW[[#This Row],['# People received regular supply of hygiene items]])</f>
        <v>0</v>
      </c>
      <c r="BN33" s="653">
        <f>IF(WWWW[[#This Row],[HRP3]]/WWWW[[#This Row],[Total PoP ]]&gt;100%,100%,WWWW[[#This Row],[HRP3]]/WWWW[[#This Row],[Total PoP ]])</f>
        <v>0</v>
      </c>
      <c r="BO33" s="650">
        <f>1-WWWW[[#This Row],[Hygiene Coverage%]]</f>
        <v>1</v>
      </c>
      <c r="BP33" s="652">
        <f>WWWW[[#This Row],['# people reached by regular dedicated hygiene promotion]]/WWWW[[#This Row],[Total PoP ]]</f>
        <v>0</v>
      </c>
      <c r="BQ3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3" s="478">
        <f>WWWW[[#This Row],['#_of_affected_women_and_girls_receiving_a_sufficient_quantity_of_sanitary_pads]]</f>
        <v>0</v>
      </c>
      <c r="BS33" s="524">
        <f>IF(WWWW[[#This Row],['# People with access to soap]]&gt;WWWW[[#This Row],['# People with access to Sanity Pads]],WWWW[[#This Row],['# People with access to soap]],WWWW[[#This Row],['# People with access to Sanity Pads]])</f>
        <v>0</v>
      </c>
      <c r="BT33" s="483" t="str">
        <f>IF(OR(WWWW[[#This Row],['#of students in school]]="",WWWW[[#This Row],['#of students in school]]=0),"No","Yes")</f>
        <v>No</v>
      </c>
      <c r="BU33" s="645" t="str">
        <f>VLOOKUP(WWWW[[#This Row],[Village  Name]],SiteDB6[[Site Name]:[Location Type 1]],9,FALSE)</f>
        <v>Village</v>
      </c>
      <c r="BV33" s="645" t="str">
        <f>VLOOKUP(WWWW[[#This Row],[Village  Name]],SiteDB6[[Site Name]:[Type of Accommodation]],10,FALSE)</f>
        <v>Village</v>
      </c>
      <c r="BW33" s="645">
        <f>VLOOKUP(WWWW[[#This Row],[Village  Name]],SiteDB6[[Site Name]:[Ethnic or GCA/NGCA]],11,FALSE)</f>
        <v>0</v>
      </c>
      <c r="BX33" s="645">
        <f>VLOOKUP(WWWW[[#This Row],[Village  Name]],SiteDB6[[Site Name]:[Lat]],12,FALSE)</f>
        <v>0</v>
      </c>
      <c r="BY33" s="645">
        <f>VLOOKUP(WWWW[[#This Row],[Village  Name]],SiteDB6[[Site Name]:[Long]],13,FALSE)</f>
        <v>0</v>
      </c>
      <c r="BZ33" s="645">
        <f>VLOOKUP(WWWW[[#This Row],[Village  Name]],SiteDB6[[Site Name]:[Pcode]],3,FALSE)</f>
        <v>0</v>
      </c>
      <c r="CA33" s="645" t="str">
        <f t="shared" ref="CA33:CA61" si="1">IF(C33="none","Notcovered","Covered")</f>
        <v>Covered</v>
      </c>
      <c r="CB33" s="655"/>
    </row>
    <row r="34" spans="1:80">
      <c r="A34" s="641" t="s">
        <v>3150</v>
      </c>
      <c r="B34" s="641" t="s">
        <v>2994</v>
      </c>
      <c r="C34" s="642"/>
      <c r="D34" s="642" t="s">
        <v>231</v>
      </c>
      <c r="E34" s="643" t="s">
        <v>698</v>
      </c>
      <c r="F34" s="642" t="s">
        <v>3012</v>
      </c>
      <c r="G34" s="644" t="str">
        <f>VLOOKUP(WWWW[[#This Row],[Village  Name]],SiteDB6[[Site Name]:[Location Type]],8,FALSE)</f>
        <v>Village</v>
      </c>
      <c r="H34" s="642" t="s">
        <v>3031</v>
      </c>
      <c r="I34" s="646"/>
      <c r="J34" s="646">
        <v>565</v>
      </c>
      <c r="K34" s="647">
        <v>43258</v>
      </c>
      <c r="L34" s="648">
        <v>43830</v>
      </c>
      <c r="M34" s="646"/>
      <c r="N34" s="646"/>
      <c r="O34" s="524"/>
      <c r="P34" s="646"/>
      <c r="Q34" s="646"/>
      <c r="R34" s="646"/>
      <c r="S34" s="646"/>
      <c r="T34" s="646"/>
      <c r="U34" s="649"/>
      <c r="V34" s="646">
        <v>4</v>
      </c>
      <c r="W34" s="646"/>
      <c r="X34" s="646"/>
      <c r="Y34" s="646"/>
      <c r="Z34" s="646"/>
      <c r="AA34" s="646"/>
      <c r="AB34" s="646"/>
      <c r="AC34" s="649"/>
      <c r="AD34" s="646"/>
      <c r="AE34" s="646"/>
      <c r="AF34" s="646"/>
      <c r="AG34" s="646"/>
      <c r="AH34" s="646"/>
      <c r="AI34" s="646"/>
      <c r="AJ34" s="524"/>
      <c r="AK34" s="646"/>
      <c r="AL34" s="524"/>
      <c r="AM34" s="524"/>
      <c r="AN34" s="649"/>
      <c r="AO34" s="477"/>
      <c r="AP34" s="477"/>
      <c r="AQ34" s="524"/>
      <c r="AR34" s="524"/>
      <c r="AS34" s="524"/>
      <c r="AT34"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4" s="651">
        <f>WWWW[[#This Row],[%Equitable and continuous access to sufficient quantity of safe drinking water]]*WWWW[[#This Row],[Total PoP ]]</f>
        <v>0</v>
      </c>
      <c r="AV34"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4" s="651">
        <f>WWWW[[#This Row],[% Access to unimproved water points]]*WWWW[[#This Row],[Total PoP ]]</f>
        <v>0</v>
      </c>
      <c r="AX34"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4"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4" s="651">
        <f>WWWW[[#This Row],[HRP1]]/250</f>
        <v>0</v>
      </c>
      <c r="BA34" s="653">
        <f>1-WWWW[[#This Row],[% Equitable and continuous access to sufficient quantity of domestic water]]</f>
        <v>1</v>
      </c>
      <c r="BB34" s="651">
        <f>WWWW[[#This Row],[%equitable and continuous access to sufficient quantity of safe drinking and domestic water''s GAP]]*WWWW[[#This Row],[Total PoP ]]</f>
        <v>565</v>
      </c>
      <c r="BC34" s="654">
        <f>IF(WWWW[[#This Row],[Total required water points]]-WWWW[[#This Row],['#Water points coverage]]&lt;0,0,WWWW[[#This Row],[Total required water points]]-WWWW[[#This Row],['#Water points coverage]])</f>
        <v>2</v>
      </c>
      <c r="BD34" s="654">
        <f>ROUND(IF(WWWW[[#This Row],[Total PoP ]]&lt;250,1,WWWW[[#This Row],[Total PoP ]]/250),0)</f>
        <v>2</v>
      </c>
      <c r="BE3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4.247787610619469E-2</v>
      </c>
      <c r="BF34" s="651">
        <f>WWWW[[#This Row],[% people access to functioning Latrine]]*WWWW[[#This Row],[Total PoP ]]</f>
        <v>24</v>
      </c>
      <c r="BG34" s="654">
        <f>WWWW[[#This Row],['#_of_Functioning_latrines_in_school]]*50</f>
        <v>0</v>
      </c>
      <c r="BH34" s="654">
        <f>ROUND((WWWW[[#This Row],[Total PoP ]]/6),0)</f>
        <v>94</v>
      </c>
      <c r="BI34" s="654">
        <f>IF(WWWW[[#This Row],[Total required Latrines]]-(WWWW[[#This Row],['#_of_sanitary_fly-proof_HH_latrines]])&lt;0,0,WWWW[[#This Row],[Total required Latrines]]-(WWWW[[#This Row],['#_of_sanitary_fly-proof_HH_latrines]]))</f>
        <v>90</v>
      </c>
      <c r="BJ34" s="650">
        <f>1-WWWW[[#This Row],[% people access to functioning Latrine]]</f>
        <v>0.95752212389380531</v>
      </c>
      <c r="BK34"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4" s="483">
        <f>IF(WWWW[[#This Row],['#_of_functional_handwashing_facilities_at_HH_level]]*6&gt;WWWW[[#This Row],[Total PoP ]],WWWW[[#This Row],[Total PoP ]],WWWW[[#This Row],['#_of_functional_handwashing_facilities_at_HH_level]]*6)</f>
        <v>0</v>
      </c>
      <c r="BM34" s="654">
        <f>IF(WWWW[[#This Row],['# people reached by regular dedicated hygiene promotion]]&gt;WWWW[[#This Row],['# People received regular supply of hygiene items]],WWWW[[#This Row],['# people reached by regular dedicated hygiene promotion]],WWWW[[#This Row],['# People received regular supply of hygiene items]])</f>
        <v>0</v>
      </c>
      <c r="BN34" s="653">
        <f>IF(WWWW[[#This Row],[HRP3]]/WWWW[[#This Row],[Total PoP ]]&gt;100%,100%,WWWW[[#This Row],[HRP3]]/WWWW[[#This Row],[Total PoP ]])</f>
        <v>0</v>
      </c>
      <c r="BO34" s="650">
        <f>1-WWWW[[#This Row],[Hygiene Coverage%]]</f>
        <v>1</v>
      </c>
      <c r="BP34" s="652">
        <f>WWWW[[#This Row],['# people reached by regular dedicated hygiene promotion]]/WWWW[[#This Row],[Total PoP ]]</f>
        <v>0</v>
      </c>
      <c r="BQ3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4" s="478">
        <f>WWWW[[#This Row],['#_of_affected_women_and_girls_receiving_a_sufficient_quantity_of_sanitary_pads]]</f>
        <v>0</v>
      </c>
      <c r="BS34" s="524">
        <f>IF(WWWW[[#This Row],['# People with access to soap]]&gt;WWWW[[#This Row],['# People with access to Sanity Pads]],WWWW[[#This Row],['# People with access to soap]],WWWW[[#This Row],['# People with access to Sanity Pads]])</f>
        <v>0</v>
      </c>
      <c r="BT34" s="483" t="str">
        <f>IF(OR(WWWW[[#This Row],['#of students in school]]="",WWWW[[#This Row],['#of students in school]]=0),"No","Yes")</f>
        <v>No</v>
      </c>
      <c r="BU34" s="645" t="str">
        <f>VLOOKUP(WWWW[[#This Row],[Village  Name]],SiteDB6[[Site Name]:[Location Type 1]],9,FALSE)</f>
        <v>Village</v>
      </c>
      <c r="BV34" s="645" t="str">
        <f>VLOOKUP(WWWW[[#This Row],[Village  Name]],SiteDB6[[Site Name]:[Type of Accommodation]],10,FALSE)</f>
        <v>Village</v>
      </c>
      <c r="BW34" s="645">
        <f>VLOOKUP(WWWW[[#This Row],[Village  Name]],SiteDB6[[Site Name]:[Ethnic or GCA/NGCA]],11,FALSE)</f>
        <v>0</v>
      </c>
      <c r="BX34" s="645">
        <f>VLOOKUP(WWWW[[#This Row],[Village  Name]],SiteDB6[[Site Name]:[Lat]],12,FALSE)</f>
        <v>0</v>
      </c>
      <c r="BY34" s="645">
        <f>VLOOKUP(WWWW[[#This Row],[Village  Name]],SiteDB6[[Site Name]:[Long]],13,FALSE)</f>
        <v>0</v>
      </c>
      <c r="BZ34" s="645">
        <f>VLOOKUP(WWWW[[#This Row],[Village  Name]],SiteDB6[[Site Name]:[Pcode]],3,FALSE)</f>
        <v>0</v>
      </c>
      <c r="CA34" s="645" t="str">
        <f t="shared" si="1"/>
        <v>Covered</v>
      </c>
      <c r="CB34" s="655"/>
    </row>
    <row r="35" spans="1:80">
      <c r="A35" s="641" t="s">
        <v>3150</v>
      </c>
      <c r="B35" s="641" t="s">
        <v>2994</v>
      </c>
      <c r="C35" s="642"/>
      <c r="D35" s="642" t="s">
        <v>231</v>
      </c>
      <c r="E35" s="643" t="s">
        <v>698</v>
      </c>
      <c r="F35" s="642" t="s">
        <v>3012</v>
      </c>
      <c r="G35" s="644" t="str">
        <f>VLOOKUP(WWWW[[#This Row],[Village  Name]],SiteDB6[[Site Name]:[Location Type]],8,FALSE)</f>
        <v>Village</v>
      </c>
      <c r="H35" s="642" t="s">
        <v>3032</v>
      </c>
      <c r="I35" s="646"/>
      <c r="J35" s="646">
        <v>1125</v>
      </c>
      <c r="K35" s="647">
        <v>43258</v>
      </c>
      <c r="L35" s="648">
        <v>43830</v>
      </c>
      <c r="M35" s="646"/>
      <c r="N35" s="646"/>
      <c r="O35" s="524"/>
      <c r="P35" s="646"/>
      <c r="Q35" s="646"/>
      <c r="R35" s="646"/>
      <c r="S35" s="646"/>
      <c r="T35" s="646"/>
      <c r="U35" s="649"/>
      <c r="V35" s="646"/>
      <c r="W35" s="646"/>
      <c r="X35" s="646"/>
      <c r="Y35" s="646"/>
      <c r="Z35" s="646"/>
      <c r="AA35" s="646"/>
      <c r="AB35" s="646"/>
      <c r="AC35" s="649"/>
      <c r="AD35" s="646"/>
      <c r="AE35" s="646"/>
      <c r="AF35" s="646"/>
      <c r="AG35" s="646"/>
      <c r="AH35" s="646"/>
      <c r="AI35" s="646"/>
      <c r="AJ35" s="524"/>
      <c r="AK35" s="646"/>
      <c r="AL35" s="524"/>
      <c r="AM35" s="524"/>
      <c r="AN35" s="649"/>
      <c r="AO35" s="477"/>
      <c r="AP35" s="477"/>
      <c r="AQ35" s="524"/>
      <c r="AR35" s="524"/>
      <c r="AS35" s="524"/>
      <c r="AT35"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5" s="651">
        <f>WWWW[[#This Row],[%Equitable and continuous access to sufficient quantity of safe drinking water]]*WWWW[[#This Row],[Total PoP ]]</f>
        <v>0</v>
      </c>
      <c r="AV35"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5" s="651">
        <f>WWWW[[#This Row],[% Access to unimproved water points]]*WWWW[[#This Row],[Total PoP ]]</f>
        <v>0</v>
      </c>
      <c r="AX35"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5"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5" s="651">
        <f>WWWW[[#This Row],[HRP1]]/250</f>
        <v>0</v>
      </c>
      <c r="BA35" s="653">
        <f>1-WWWW[[#This Row],[% Equitable and continuous access to sufficient quantity of domestic water]]</f>
        <v>1</v>
      </c>
      <c r="BB35" s="651">
        <f>WWWW[[#This Row],[%equitable and continuous access to sufficient quantity of safe drinking and domestic water''s GAP]]*WWWW[[#This Row],[Total PoP ]]</f>
        <v>1125</v>
      </c>
      <c r="BC35" s="654">
        <f>IF(WWWW[[#This Row],[Total required water points]]-WWWW[[#This Row],['#Water points coverage]]&lt;0,0,WWWW[[#This Row],[Total required water points]]-WWWW[[#This Row],['#Water points coverage]])</f>
        <v>5</v>
      </c>
      <c r="BD35" s="654">
        <f>ROUND(IF(WWWW[[#This Row],[Total PoP ]]&lt;250,1,WWWW[[#This Row],[Total PoP ]]/250),0)</f>
        <v>5</v>
      </c>
      <c r="BE3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5" s="651">
        <f>WWWW[[#This Row],[% people access to functioning Latrine]]*WWWW[[#This Row],[Total PoP ]]</f>
        <v>0</v>
      </c>
      <c r="BG35" s="654">
        <f>WWWW[[#This Row],['#_of_Functioning_latrines_in_school]]*50</f>
        <v>0</v>
      </c>
      <c r="BH35" s="654">
        <f>ROUND((WWWW[[#This Row],[Total PoP ]]/6),0)</f>
        <v>188</v>
      </c>
      <c r="BI35" s="654">
        <f>IF(WWWW[[#This Row],[Total required Latrines]]-(WWWW[[#This Row],['#_of_sanitary_fly-proof_HH_latrines]])&lt;0,0,WWWW[[#This Row],[Total required Latrines]]-(WWWW[[#This Row],['#_of_sanitary_fly-proof_HH_latrines]]))</f>
        <v>188</v>
      </c>
      <c r="BJ35" s="650">
        <f>1-WWWW[[#This Row],[% people access to functioning Latrine]]</f>
        <v>1</v>
      </c>
      <c r="BK35"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5" s="483">
        <f>IF(WWWW[[#This Row],['#_of_functional_handwashing_facilities_at_HH_level]]*6&gt;WWWW[[#This Row],[Total PoP ]],WWWW[[#This Row],[Total PoP ]],WWWW[[#This Row],['#_of_functional_handwashing_facilities_at_HH_level]]*6)</f>
        <v>0</v>
      </c>
      <c r="BM35" s="654">
        <f>IF(WWWW[[#This Row],['# people reached by regular dedicated hygiene promotion]]&gt;WWWW[[#This Row],['# People received regular supply of hygiene items]],WWWW[[#This Row],['# people reached by regular dedicated hygiene promotion]],WWWW[[#This Row],['# People received regular supply of hygiene items]])</f>
        <v>0</v>
      </c>
      <c r="BN35" s="653">
        <f>IF(WWWW[[#This Row],[HRP3]]/WWWW[[#This Row],[Total PoP ]]&gt;100%,100%,WWWW[[#This Row],[HRP3]]/WWWW[[#This Row],[Total PoP ]])</f>
        <v>0</v>
      </c>
      <c r="BO35" s="650">
        <f>1-WWWW[[#This Row],[Hygiene Coverage%]]</f>
        <v>1</v>
      </c>
      <c r="BP35" s="652">
        <f>WWWW[[#This Row],['# people reached by regular dedicated hygiene promotion]]/WWWW[[#This Row],[Total PoP ]]</f>
        <v>0</v>
      </c>
      <c r="BQ3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5" s="478">
        <f>WWWW[[#This Row],['#_of_affected_women_and_girls_receiving_a_sufficient_quantity_of_sanitary_pads]]</f>
        <v>0</v>
      </c>
      <c r="BS35" s="524">
        <f>IF(WWWW[[#This Row],['# People with access to soap]]&gt;WWWW[[#This Row],['# People with access to Sanity Pads]],WWWW[[#This Row],['# People with access to soap]],WWWW[[#This Row],['# People with access to Sanity Pads]])</f>
        <v>0</v>
      </c>
      <c r="BT35" s="483" t="str">
        <f>IF(OR(WWWW[[#This Row],['#of students in school]]="",WWWW[[#This Row],['#of students in school]]=0),"No","Yes")</f>
        <v>No</v>
      </c>
      <c r="BU35" s="645" t="str">
        <f>VLOOKUP(WWWW[[#This Row],[Village  Name]],SiteDB6[[Site Name]:[Location Type 1]],9,FALSE)</f>
        <v>Village</v>
      </c>
      <c r="BV35" s="645" t="str">
        <f>VLOOKUP(WWWW[[#This Row],[Village  Name]],SiteDB6[[Site Name]:[Type of Accommodation]],10,FALSE)</f>
        <v>Village</v>
      </c>
      <c r="BW35" s="645">
        <f>VLOOKUP(WWWW[[#This Row],[Village  Name]],SiteDB6[[Site Name]:[Ethnic or GCA/NGCA]],11,FALSE)</f>
        <v>0</v>
      </c>
      <c r="BX35" s="645">
        <f>VLOOKUP(WWWW[[#This Row],[Village  Name]],SiteDB6[[Site Name]:[Lat]],12,FALSE)</f>
        <v>0</v>
      </c>
      <c r="BY35" s="645">
        <f>VLOOKUP(WWWW[[#This Row],[Village  Name]],SiteDB6[[Site Name]:[Long]],13,FALSE)</f>
        <v>0</v>
      </c>
      <c r="BZ35" s="645">
        <f>VLOOKUP(WWWW[[#This Row],[Village  Name]],SiteDB6[[Site Name]:[Pcode]],3,FALSE)</f>
        <v>0</v>
      </c>
      <c r="CA35" s="645" t="str">
        <f t="shared" si="1"/>
        <v>Covered</v>
      </c>
      <c r="CB35" s="655"/>
    </row>
    <row r="36" spans="1:80">
      <c r="A36" s="641" t="s">
        <v>3150</v>
      </c>
      <c r="B36" s="641" t="s">
        <v>2994</v>
      </c>
      <c r="C36" s="642"/>
      <c r="D36" s="642" t="s">
        <v>231</v>
      </c>
      <c r="E36" s="643" t="s">
        <v>698</v>
      </c>
      <c r="F36" s="642" t="s">
        <v>3033</v>
      </c>
      <c r="G36" s="644" t="str">
        <f>VLOOKUP(WWWW[[#This Row],[Village  Name]],SiteDB6[[Site Name]:[Location Type]],8,FALSE)</f>
        <v>Village</v>
      </c>
      <c r="H36" s="642" t="s">
        <v>3044</v>
      </c>
      <c r="I36" s="646"/>
      <c r="J36" s="646">
        <v>97</v>
      </c>
      <c r="K36" s="647">
        <v>43258</v>
      </c>
      <c r="L36" s="648">
        <v>43830</v>
      </c>
      <c r="M36" s="646"/>
      <c r="N36" s="646"/>
      <c r="O36" s="524"/>
      <c r="P36" s="646"/>
      <c r="Q36" s="646"/>
      <c r="R36" s="646"/>
      <c r="S36" s="646"/>
      <c r="T36" s="646"/>
      <c r="U36" s="649"/>
      <c r="V36" s="646">
        <v>7</v>
      </c>
      <c r="W36" s="646"/>
      <c r="X36" s="646"/>
      <c r="Y36" s="646"/>
      <c r="Z36" s="646"/>
      <c r="AA36" s="646"/>
      <c r="AB36" s="646"/>
      <c r="AC36" s="649"/>
      <c r="AD36" s="646"/>
      <c r="AE36" s="646"/>
      <c r="AF36" s="646"/>
      <c r="AG36" s="646"/>
      <c r="AH36" s="646"/>
      <c r="AI36" s="646"/>
      <c r="AJ36" s="524"/>
      <c r="AK36" s="646"/>
      <c r="AL36" s="524"/>
      <c r="AM36" s="524"/>
      <c r="AN36" s="649"/>
      <c r="AO36" s="477"/>
      <c r="AP36" s="477"/>
      <c r="AQ36" s="524"/>
      <c r="AR36" s="524"/>
      <c r="AS36" s="524"/>
      <c r="AT36"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6" s="651">
        <f>WWWW[[#This Row],[%Equitable and continuous access to sufficient quantity of safe drinking water]]*WWWW[[#This Row],[Total PoP ]]</f>
        <v>0</v>
      </c>
      <c r="AV36"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6" s="651">
        <f>WWWW[[#This Row],[% Access to unimproved water points]]*WWWW[[#This Row],[Total PoP ]]</f>
        <v>0</v>
      </c>
      <c r="AX36"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6"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6" s="651">
        <f>WWWW[[#This Row],[HRP1]]/250</f>
        <v>0</v>
      </c>
      <c r="BA36" s="653">
        <f>1-WWWW[[#This Row],[% Equitable and continuous access to sufficient quantity of domestic water]]</f>
        <v>1</v>
      </c>
      <c r="BB36" s="651">
        <f>WWWW[[#This Row],[%equitable and continuous access to sufficient quantity of safe drinking and domestic water''s GAP]]*WWWW[[#This Row],[Total PoP ]]</f>
        <v>97</v>
      </c>
      <c r="BC36" s="654">
        <f>IF(WWWW[[#This Row],[Total required water points]]-WWWW[[#This Row],['#Water points coverage]]&lt;0,0,WWWW[[#This Row],[Total required water points]]-WWWW[[#This Row],['#Water points coverage]])</f>
        <v>1</v>
      </c>
      <c r="BD36" s="654">
        <f>ROUND(IF(WWWW[[#This Row],[Total PoP ]]&lt;250,1,WWWW[[#This Row],[Total PoP ]]/250),0)</f>
        <v>1</v>
      </c>
      <c r="BE3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0.4329896907216495</v>
      </c>
      <c r="BF36" s="651">
        <f>WWWW[[#This Row],[% people access to functioning Latrine]]*WWWW[[#This Row],[Total PoP ]]</f>
        <v>42</v>
      </c>
      <c r="BG36" s="654">
        <f>WWWW[[#This Row],['#_of_Functioning_latrines_in_school]]*50</f>
        <v>0</v>
      </c>
      <c r="BH36" s="654">
        <f>ROUND((WWWW[[#This Row],[Total PoP ]]/6),0)</f>
        <v>16</v>
      </c>
      <c r="BI36" s="654">
        <f>IF(WWWW[[#This Row],[Total required Latrines]]-(WWWW[[#This Row],['#_of_sanitary_fly-proof_HH_latrines]])&lt;0,0,WWWW[[#This Row],[Total required Latrines]]-(WWWW[[#This Row],['#_of_sanitary_fly-proof_HH_latrines]]))</f>
        <v>9</v>
      </c>
      <c r="BJ36" s="650">
        <f>1-WWWW[[#This Row],[% people access to functioning Latrine]]</f>
        <v>0.5670103092783505</v>
      </c>
      <c r="BK36"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6" s="483">
        <f>IF(WWWW[[#This Row],['#_of_functional_handwashing_facilities_at_HH_level]]*6&gt;WWWW[[#This Row],[Total PoP ]],WWWW[[#This Row],[Total PoP ]],WWWW[[#This Row],['#_of_functional_handwashing_facilities_at_HH_level]]*6)</f>
        <v>0</v>
      </c>
      <c r="BM36" s="654">
        <f>IF(WWWW[[#This Row],['# people reached by regular dedicated hygiene promotion]]&gt;WWWW[[#This Row],['# People received regular supply of hygiene items]],WWWW[[#This Row],['# people reached by regular dedicated hygiene promotion]],WWWW[[#This Row],['# People received regular supply of hygiene items]])</f>
        <v>0</v>
      </c>
      <c r="BN36" s="653">
        <f>IF(WWWW[[#This Row],[HRP3]]/WWWW[[#This Row],[Total PoP ]]&gt;100%,100%,WWWW[[#This Row],[HRP3]]/WWWW[[#This Row],[Total PoP ]])</f>
        <v>0</v>
      </c>
      <c r="BO36" s="650">
        <f>1-WWWW[[#This Row],[Hygiene Coverage%]]</f>
        <v>1</v>
      </c>
      <c r="BP36" s="652">
        <f>WWWW[[#This Row],['# people reached by regular dedicated hygiene promotion]]/WWWW[[#This Row],[Total PoP ]]</f>
        <v>0</v>
      </c>
      <c r="BQ3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6" s="478">
        <f>WWWW[[#This Row],['#_of_affected_women_and_girls_receiving_a_sufficient_quantity_of_sanitary_pads]]</f>
        <v>0</v>
      </c>
      <c r="BS36" s="524">
        <f>IF(WWWW[[#This Row],['# People with access to soap]]&gt;WWWW[[#This Row],['# People with access to Sanity Pads]],WWWW[[#This Row],['# People with access to soap]],WWWW[[#This Row],['# People with access to Sanity Pads]])</f>
        <v>0</v>
      </c>
      <c r="BT36" s="483" t="str">
        <f>IF(OR(WWWW[[#This Row],['#of students in school]]="",WWWW[[#This Row],['#of students in school]]=0),"No","Yes")</f>
        <v>No</v>
      </c>
      <c r="BU36" s="645" t="str">
        <f>VLOOKUP(WWWW[[#This Row],[Village  Name]],SiteDB6[[Site Name]:[Location Type 1]],9,FALSE)</f>
        <v>Village</v>
      </c>
      <c r="BV36" s="645" t="str">
        <f>VLOOKUP(WWWW[[#This Row],[Village  Name]],SiteDB6[[Site Name]:[Type of Accommodation]],10,FALSE)</f>
        <v>Village</v>
      </c>
      <c r="BW36" s="645">
        <f>VLOOKUP(WWWW[[#This Row],[Village  Name]],SiteDB6[[Site Name]:[Ethnic or GCA/NGCA]],11,FALSE)</f>
        <v>0</v>
      </c>
      <c r="BX36" s="645">
        <f>VLOOKUP(WWWW[[#This Row],[Village  Name]],SiteDB6[[Site Name]:[Lat]],12,FALSE)</f>
        <v>0</v>
      </c>
      <c r="BY36" s="645">
        <f>VLOOKUP(WWWW[[#This Row],[Village  Name]],SiteDB6[[Site Name]:[Long]],13,FALSE)</f>
        <v>0</v>
      </c>
      <c r="BZ36" s="645">
        <f>VLOOKUP(WWWW[[#This Row],[Village  Name]],SiteDB6[[Site Name]:[Pcode]],3,FALSE)</f>
        <v>0</v>
      </c>
      <c r="CA36" s="645" t="str">
        <f t="shared" si="1"/>
        <v>Covered</v>
      </c>
      <c r="CB36" s="655"/>
    </row>
    <row r="37" spans="1:80">
      <c r="A37" s="641" t="s">
        <v>3150</v>
      </c>
      <c r="B37" s="641" t="s">
        <v>2994</v>
      </c>
      <c r="C37" s="642"/>
      <c r="D37" s="642" t="s">
        <v>231</v>
      </c>
      <c r="E37" s="643" t="s">
        <v>698</v>
      </c>
      <c r="F37" s="642" t="s">
        <v>3033</v>
      </c>
      <c r="G37" s="644" t="str">
        <f>VLOOKUP(WWWW[[#This Row],[Village  Name]],SiteDB6[[Site Name]:[Location Type]],8,FALSE)</f>
        <v>Village</v>
      </c>
      <c r="H37" s="642" t="s">
        <v>3045</v>
      </c>
      <c r="I37" s="646"/>
      <c r="J37" s="646">
        <v>139</v>
      </c>
      <c r="K37" s="647">
        <v>43258</v>
      </c>
      <c r="L37" s="648">
        <v>43830</v>
      </c>
      <c r="M37" s="646"/>
      <c r="N37" s="646"/>
      <c r="O37" s="524"/>
      <c r="P37" s="646"/>
      <c r="Q37" s="646"/>
      <c r="R37" s="646"/>
      <c r="S37" s="646"/>
      <c r="T37" s="646"/>
      <c r="U37" s="649"/>
      <c r="V37" s="646">
        <v>12</v>
      </c>
      <c r="W37" s="646"/>
      <c r="X37" s="646"/>
      <c r="Y37" s="646"/>
      <c r="Z37" s="646"/>
      <c r="AA37" s="646"/>
      <c r="AB37" s="646"/>
      <c r="AC37" s="649"/>
      <c r="AD37" s="646"/>
      <c r="AE37" s="646"/>
      <c r="AF37" s="646"/>
      <c r="AG37" s="646"/>
      <c r="AH37" s="646"/>
      <c r="AI37" s="646"/>
      <c r="AJ37" s="524"/>
      <c r="AK37" s="646"/>
      <c r="AL37" s="524"/>
      <c r="AM37" s="524"/>
      <c r="AN37" s="649"/>
      <c r="AO37" s="477"/>
      <c r="AP37" s="477"/>
      <c r="AQ37" s="524"/>
      <c r="AR37" s="524"/>
      <c r="AS37" s="524"/>
      <c r="AT37"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7" s="651">
        <f>WWWW[[#This Row],[%Equitable and continuous access to sufficient quantity of safe drinking water]]*WWWW[[#This Row],[Total PoP ]]</f>
        <v>0</v>
      </c>
      <c r="AV37"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7" s="651">
        <f>WWWW[[#This Row],[% Access to unimproved water points]]*WWWW[[#This Row],[Total PoP ]]</f>
        <v>0</v>
      </c>
      <c r="AX37"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7"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7" s="651">
        <f>WWWW[[#This Row],[HRP1]]/250</f>
        <v>0</v>
      </c>
      <c r="BA37" s="653">
        <f>1-WWWW[[#This Row],[% Equitable and continuous access to sufficient quantity of domestic water]]</f>
        <v>1</v>
      </c>
      <c r="BB37" s="651">
        <f>WWWW[[#This Row],[%equitable and continuous access to sufficient quantity of safe drinking and domestic water''s GAP]]*WWWW[[#This Row],[Total PoP ]]</f>
        <v>139</v>
      </c>
      <c r="BC37" s="654">
        <f>IF(WWWW[[#This Row],[Total required water points]]-WWWW[[#This Row],['#Water points coverage]]&lt;0,0,WWWW[[#This Row],[Total required water points]]-WWWW[[#This Row],['#Water points coverage]])</f>
        <v>1</v>
      </c>
      <c r="BD37" s="654">
        <f>ROUND(IF(WWWW[[#This Row],[Total PoP ]]&lt;250,1,WWWW[[#This Row],[Total PoP ]]/250),0)</f>
        <v>1</v>
      </c>
      <c r="BE3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0.51798561151079137</v>
      </c>
      <c r="BF37" s="651">
        <f>WWWW[[#This Row],[% people access to functioning Latrine]]*WWWW[[#This Row],[Total PoP ]]</f>
        <v>72</v>
      </c>
      <c r="BG37" s="654">
        <f>WWWW[[#This Row],['#_of_Functioning_latrines_in_school]]*50</f>
        <v>0</v>
      </c>
      <c r="BH37" s="654">
        <f>ROUND((WWWW[[#This Row],[Total PoP ]]/6),0)</f>
        <v>23</v>
      </c>
      <c r="BI37" s="654">
        <f>IF(WWWW[[#This Row],[Total required Latrines]]-(WWWW[[#This Row],['#_of_sanitary_fly-proof_HH_latrines]])&lt;0,0,WWWW[[#This Row],[Total required Latrines]]-(WWWW[[#This Row],['#_of_sanitary_fly-proof_HH_latrines]]))</f>
        <v>11</v>
      </c>
      <c r="BJ37" s="650">
        <f>1-WWWW[[#This Row],[% people access to functioning Latrine]]</f>
        <v>0.48201438848920863</v>
      </c>
      <c r="BK37"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7" s="483">
        <f>IF(WWWW[[#This Row],['#_of_functional_handwashing_facilities_at_HH_level]]*6&gt;WWWW[[#This Row],[Total PoP ]],WWWW[[#This Row],[Total PoP ]],WWWW[[#This Row],['#_of_functional_handwashing_facilities_at_HH_level]]*6)</f>
        <v>0</v>
      </c>
      <c r="BM37" s="654">
        <f>IF(WWWW[[#This Row],['# people reached by regular dedicated hygiene promotion]]&gt;WWWW[[#This Row],['# People received regular supply of hygiene items]],WWWW[[#This Row],['# people reached by regular dedicated hygiene promotion]],WWWW[[#This Row],['# People received regular supply of hygiene items]])</f>
        <v>0</v>
      </c>
      <c r="BN37" s="653">
        <f>IF(WWWW[[#This Row],[HRP3]]/WWWW[[#This Row],[Total PoP ]]&gt;100%,100%,WWWW[[#This Row],[HRP3]]/WWWW[[#This Row],[Total PoP ]])</f>
        <v>0</v>
      </c>
      <c r="BO37" s="650">
        <f>1-WWWW[[#This Row],[Hygiene Coverage%]]</f>
        <v>1</v>
      </c>
      <c r="BP37" s="652">
        <f>WWWW[[#This Row],['# people reached by regular dedicated hygiene promotion]]/WWWW[[#This Row],[Total PoP ]]</f>
        <v>0</v>
      </c>
      <c r="BQ3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7" s="478">
        <f>WWWW[[#This Row],['#_of_affected_women_and_girls_receiving_a_sufficient_quantity_of_sanitary_pads]]</f>
        <v>0</v>
      </c>
      <c r="BS37" s="524">
        <f>IF(WWWW[[#This Row],['# People with access to soap]]&gt;WWWW[[#This Row],['# People with access to Sanity Pads]],WWWW[[#This Row],['# People with access to soap]],WWWW[[#This Row],['# People with access to Sanity Pads]])</f>
        <v>0</v>
      </c>
      <c r="BT37" s="483" t="str">
        <f>IF(OR(WWWW[[#This Row],['#of students in school]]="",WWWW[[#This Row],['#of students in school]]=0),"No","Yes")</f>
        <v>No</v>
      </c>
      <c r="BU37" s="645" t="str">
        <f>VLOOKUP(WWWW[[#This Row],[Village  Name]],SiteDB6[[Site Name]:[Location Type 1]],9,FALSE)</f>
        <v>Village</v>
      </c>
      <c r="BV37" s="645" t="str">
        <f>VLOOKUP(WWWW[[#This Row],[Village  Name]],SiteDB6[[Site Name]:[Type of Accommodation]],10,FALSE)</f>
        <v>Village</v>
      </c>
      <c r="BW37" s="645">
        <f>VLOOKUP(WWWW[[#This Row],[Village  Name]],SiteDB6[[Site Name]:[Ethnic or GCA/NGCA]],11,FALSE)</f>
        <v>0</v>
      </c>
      <c r="BX37" s="645">
        <f>VLOOKUP(WWWW[[#This Row],[Village  Name]],SiteDB6[[Site Name]:[Lat]],12,FALSE)</f>
        <v>0</v>
      </c>
      <c r="BY37" s="645">
        <f>VLOOKUP(WWWW[[#This Row],[Village  Name]],SiteDB6[[Site Name]:[Long]],13,FALSE)</f>
        <v>0</v>
      </c>
      <c r="BZ37" s="645">
        <f>VLOOKUP(WWWW[[#This Row],[Village  Name]],SiteDB6[[Site Name]:[Pcode]],3,FALSE)</f>
        <v>0</v>
      </c>
      <c r="CA37" s="645" t="str">
        <f t="shared" si="1"/>
        <v>Covered</v>
      </c>
      <c r="CB37" s="655"/>
    </row>
    <row r="38" spans="1:80">
      <c r="A38" s="641" t="s">
        <v>3150</v>
      </c>
      <c r="B38" s="641" t="s">
        <v>2994</v>
      </c>
      <c r="C38" s="642"/>
      <c r="D38" s="642" t="s">
        <v>231</v>
      </c>
      <c r="E38" s="643" t="s">
        <v>698</v>
      </c>
      <c r="F38" s="642" t="s">
        <v>3033</v>
      </c>
      <c r="G38" s="644" t="str">
        <f>VLOOKUP(WWWW[[#This Row],[Village  Name]],SiteDB6[[Site Name]:[Location Type]],8,FALSE)</f>
        <v>Village</v>
      </c>
      <c r="H38" s="642" t="s">
        <v>3046</v>
      </c>
      <c r="I38" s="646"/>
      <c r="J38" s="646">
        <v>404</v>
      </c>
      <c r="K38" s="647">
        <v>43258</v>
      </c>
      <c r="L38" s="648">
        <v>43830</v>
      </c>
      <c r="M38" s="646"/>
      <c r="N38" s="646"/>
      <c r="O38" s="524"/>
      <c r="P38" s="646"/>
      <c r="Q38" s="646"/>
      <c r="R38" s="646"/>
      <c r="S38" s="646"/>
      <c r="T38" s="646"/>
      <c r="U38" s="649"/>
      <c r="V38" s="646">
        <v>4</v>
      </c>
      <c r="W38" s="646"/>
      <c r="X38" s="646"/>
      <c r="Y38" s="646"/>
      <c r="Z38" s="646"/>
      <c r="AA38" s="646"/>
      <c r="AB38" s="646"/>
      <c r="AC38" s="649"/>
      <c r="AD38" s="646"/>
      <c r="AE38" s="646"/>
      <c r="AF38" s="646"/>
      <c r="AG38" s="646"/>
      <c r="AH38" s="646"/>
      <c r="AI38" s="646"/>
      <c r="AJ38" s="524"/>
      <c r="AK38" s="646"/>
      <c r="AL38" s="524"/>
      <c r="AM38" s="524"/>
      <c r="AN38" s="649"/>
      <c r="AO38" s="477"/>
      <c r="AP38" s="477"/>
      <c r="AQ38" s="524"/>
      <c r="AR38" s="524"/>
      <c r="AS38" s="524"/>
      <c r="AT38"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8" s="651">
        <f>WWWW[[#This Row],[%Equitable and continuous access to sufficient quantity of safe drinking water]]*WWWW[[#This Row],[Total PoP ]]</f>
        <v>0</v>
      </c>
      <c r="AV38"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8" s="651">
        <f>WWWW[[#This Row],[% Access to unimproved water points]]*WWWW[[#This Row],[Total PoP ]]</f>
        <v>0</v>
      </c>
      <c r="AX38"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8"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8" s="651">
        <f>WWWW[[#This Row],[HRP1]]/250</f>
        <v>0</v>
      </c>
      <c r="BA38" s="653">
        <f>1-WWWW[[#This Row],[% Equitable and continuous access to sufficient quantity of domestic water]]</f>
        <v>1</v>
      </c>
      <c r="BB38" s="651">
        <f>WWWW[[#This Row],[%equitable and continuous access to sufficient quantity of safe drinking and domestic water''s GAP]]*WWWW[[#This Row],[Total PoP ]]</f>
        <v>404</v>
      </c>
      <c r="BC38" s="654">
        <f>IF(WWWW[[#This Row],[Total required water points]]-WWWW[[#This Row],['#Water points coverage]]&lt;0,0,WWWW[[#This Row],[Total required water points]]-WWWW[[#This Row],['#Water points coverage]])</f>
        <v>2</v>
      </c>
      <c r="BD38" s="654">
        <f>ROUND(IF(WWWW[[#This Row],[Total PoP ]]&lt;250,1,WWWW[[#This Row],[Total PoP ]]/250),0)</f>
        <v>2</v>
      </c>
      <c r="BE3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5.9405940594059403E-2</v>
      </c>
      <c r="BF38" s="651">
        <f>WWWW[[#This Row],[% people access to functioning Latrine]]*WWWW[[#This Row],[Total PoP ]]</f>
        <v>24</v>
      </c>
      <c r="BG38" s="654">
        <f>WWWW[[#This Row],['#_of_Functioning_latrines_in_school]]*50</f>
        <v>0</v>
      </c>
      <c r="BH38" s="654">
        <f>ROUND((WWWW[[#This Row],[Total PoP ]]/6),0)</f>
        <v>67</v>
      </c>
      <c r="BI38" s="654">
        <f>IF(WWWW[[#This Row],[Total required Latrines]]-(WWWW[[#This Row],['#_of_sanitary_fly-proof_HH_latrines]])&lt;0,0,WWWW[[#This Row],[Total required Latrines]]-(WWWW[[#This Row],['#_of_sanitary_fly-proof_HH_latrines]]))</f>
        <v>63</v>
      </c>
      <c r="BJ38" s="650">
        <f>1-WWWW[[#This Row],[% people access to functioning Latrine]]</f>
        <v>0.94059405940594054</v>
      </c>
      <c r="BK38"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8" s="483">
        <f>IF(WWWW[[#This Row],['#_of_functional_handwashing_facilities_at_HH_level]]*6&gt;WWWW[[#This Row],[Total PoP ]],WWWW[[#This Row],[Total PoP ]],WWWW[[#This Row],['#_of_functional_handwashing_facilities_at_HH_level]]*6)</f>
        <v>0</v>
      </c>
      <c r="BM38" s="654">
        <f>IF(WWWW[[#This Row],['# people reached by regular dedicated hygiene promotion]]&gt;WWWW[[#This Row],['# People received regular supply of hygiene items]],WWWW[[#This Row],['# people reached by regular dedicated hygiene promotion]],WWWW[[#This Row],['# People received regular supply of hygiene items]])</f>
        <v>0</v>
      </c>
      <c r="BN38" s="653">
        <f>IF(WWWW[[#This Row],[HRP3]]/WWWW[[#This Row],[Total PoP ]]&gt;100%,100%,WWWW[[#This Row],[HRP3]]/WWWW[[#This Row],[Total PoP ]])</f>
        <v>0</v>
      </c>
      <c r="BO38" s="650">
        <f>1-WWWW[[#This Row],[Hygiene Coverage%]]</f>
        <v>1</v>
      </c>
      <c r="BP38" s="652">
        <f>WWWW[[#This Row],['# people reached by regular dedicated hygiene promotion]]/WWWW[[#This Row],[Total PoP ]]</f>
        <v>0</v>
      </c>
      <c r="BQ3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8" s="478">
        <f>WWWW[[#This Row],['#_of_affected_women_and_girls_receiving_a_sufficient_quantity_of_sanitary_pads]]</f>
        <v>0</v>
      </c>
      <c r="BS38" s="524">
        <f>IF(WWWW[[#This Row],['# People with access to soap]]&gt;WWWW[[#This Row],['# People with access to Sanity Pads]],WWWW[[#This Row],['# People with access to soap]],WWWW[[#This Row],['# People with access to Sanity Pads]])</f>
        <v>0</v>
      </c>
      <c r="BT38" s="483" t="str">
        <f>IF(OR(WWWW[[#This Row],['#of students in school]]="",WWWW[[#This Row],['#of students in school]]=0),"No","Yes")</f>
        <v>No</v>
      </c>
      <c r="BU38" s="645" t="str">
        <f>VLOOKUP(WWWW[[#This Row],[Village  Name]],SiteDB6[[Site Name]:[Location Type 1]],9,FALSE)</f>
        <v>Village</v>
      </c>
      <c r="BV38" s="645" t="str">
        <f>VLOOKUP(WWWW[[#This Row],[Village  Name]],SiteDB6[[Site Name]:[Type of Accommodation]],10,FALSE)</f>
        <v>Village</v>
      </c>
      <c r="BW38" s="645">
        <f>VLOOKUP(WWWW[[#This Row],[Village  Name]],SiteDB6[[Site Name]:[Ethnic or GCA/NGCA]],11,FALSE)</f>
        <v>0</v>
      </c>
      <c r="BX38" s="645">
        <f>VLOOKUP(WWWW[[#This Row],[Village  Name]],SiteDB6[[Site Name]:[Lat]],12,FALSE)</f>
        <v>0</v>
      </c>
      <c r="BY38" s="645">
        <f>VLOOKUP(WWWW[[#This Row],[Village  Name]],SiteDB6[[Site Name]:[Long]],13,FALSE)</f>
        <v>0</v>
      </c>
      <c r="BZ38" s="645">
        <f>VLOOKUP(WWWW[[#This Row],[Village  Name]],SiteDB6[[Site Name]:[Pcode]],3,FALSE)</f>
        <v>0</v>
      </c>
      <c r="CA38" s="645" t="str">
        <f t="shared" si="1"/>
        <v>Covered</v>
      </c>
      <c r="CB38" s="655"/>
    </row>
    <row r="39" spans="1:80">
      <c r="A39" s="641" t="s">
        <v>3150</v>
      </c>
      <c r="B39" s="641" t="s">
        <v>2994</v>
      </c>
      <c r="C39" s="642"/>
      <c r="D39" s="642" t="s">
        <v>231</v>
      </c>
      <c r="E39" s="643" t="s">
        <v>698</v>
      </c>
      <c r="F39" s="642" t="s">
        <v>3033</v>
      </c>
      <c r="G39" s="644" t="str">
        <f>VLOOKUP(WWWW[[#This Row],[Village  Name]],SiteDB6[[Site Name]:[Location Type]],8,FALSE)</f>
        <v>Village</v>
      </c>
      <c r="H39" s="642" t="s">
        <v>3047</v>
      </c>
      <c r="I39" s="646"/>
      <c r="J39" s="646">
        <v>80</v>
      </c>
      <c r="K39" s="647">
        <v>43258</v>
      </c>
      <c r="L39" s="648">
        <v>43830</v>
      </c>
      <c r="M39" s="646"/>
      <c r="N39" s="646"/>
      <c r="O39" s="524"/>
      <c r="P39" s="646"/>
      <c r="Q39" s="646"/>
      <c r="R39" s="646"/>
      <c r="S39" s="646"/>
      <c r="T39" s="646"/>
      <c r="U39" s="649"/>
      <c r="V39" s="646">
        <v>4</v>
      </c>
      <c r="W39" s="646"/>
      <c r="X39" s="646"/>
      <c r="Y39" s="646"/>
      <c r="Z39" s="646"/>
      <c r="AA39" s="646"/>
      <c r="AB39" s="646"/>
      <c r="AC39" s="649"/>
      <c r="AD39" s="646"/>
      <c r="AE39" s="646"/>
      <c r="AF39" s="646"/>
      <c r="AG39" s="646"/>
      <c r="AH39" s="646"/>
      <c r="AI39" s="646"/>
      <c r="AJ39" s="524"/>
      <c r="AK39" s="646"/>
      <c r="AL39" s="524"/>
      <c r="AM39" s="524"/>
      <c r="AN39" s="649"/>
      <c r="AO39" s="477"/>
      <c r="AP39" s="477"/>
      <c r="AQ39" s="524"/>
      <c r="AR39" s="524"/>
      <c r="AS39" s="524"/>
      <c r="AT39"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9" s="651">
        <f>WWWW[[#This Row],[%Equitable and continuous access to sufficient quantity of safe drinking water]]*WWWW[[#This Row],[Total PoP ]]</f>
        <v>0</v>
      </c>
      <c r="AV39"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9" s="651">
        <f>WWWW[[#This Row],[% Access to unimproved water points]]*WWWW[[#This Row],[Total PoP ]]</f>
        <v>0</v>
      </c>
      <c r="AX39"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9"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9" s="651">
        <f>WWWW[[#This Row],[HRP1]]/250</f>
        <v>0</v>
      </c>
      <c r="BA39" s="653">
        <f>1-WWWW[[#This Row],[% Equitable and continuous access to sufficient quantity of domestic water]]</f>
        <v>1</v>
      </c>
      <c r="BB39" s="651">
        <f>WWWW[[#This Row],[%equitable and continuous access to sufficient quantity of safe drinking and domestic water''s GAP]]*WWWW[[#This Row],[Total PoP ]]</f>
        <v>80</v>
      </c>
      <c r="BC39" s="654">
        <f>IF(WWWW[[#This Row],[Total required water points]]-WWWW[[#This Row],['#Water points coverage]]&lt;0,0,WWWW[[#This Row],[Total required water points]]-WWWW[[#This Row],['#Water points coverage]])</f>
        <v>1</v>
      </c>
      <c r="BD39" s="654">
        <f>ROUND(IF(WWWW[[#This Row],[Total PoP ]]&lt;250,1,WWWW[[#This Row],[Total PoP ]]/250),0)</f>
        <v>1</v>
      </c>
      <c r="BE3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v>
      </c>
      <c r="BF39" s="651">
        <f>WWWW[[#This Row],[% people access to functioning Latrine]]*WWWW[[#This Row],[Total PoP ]]</f>
        <v>24</v>
      </c>
      <c r="BG39" s="654">
        <f>WWWW[[#This Row],['#_of_Functioning_latrines_in_school]]*50</f>
        <v>0</v>
      </c>
      <c r="BH39" s="654">
        <f>ROUND((WWWW[[#This Row],[Total PoP ]]/6),0)</f>
        <v>13</v>
      </c>
      <c r="BI39" s="654">
        <f>IF(WWWW[[#This Row],[Total required Latrines]]-(WWWW[[#This Row],['#_of_sanitary_fly-proof_HH_latrines]])&lt;0,0,WWWW[[#This Row],[Total required Latrines]]-(WWWW[[#This Row],['#_of_sanitary_fly-proof_HH_latrines]]))</f>
        <v>9</v>
      </c>
      <c r="BJ39" s="650">
        <f>1-WWWW[[#This Row],[% people access to functioning Latrine]]</f>
        <v>0.7</v>
      </c>
      <c r="BK39"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9" s="483">
        <f>IF(WWWW[[#This Row],['#_of_functional_handwashing_facilities_at_HH_level]]*6&gt;WWWW[[#This Row],[Total PoP ]],WWWW[[#This Row],[Total PoP ]],WWWW[[#This Row],['#_of_functional_handwashing_facilities_at_HH_level]]*6)</f>
        <v>0</v>
      </c>
      <c r="BM39" s="654">
        <f>IF(WWWW[[#This Row],['# people reached by regular dedicated hygiene promotion]]&gt;WWWW[[#This Row],['# People received regular supply of hygiene items]],WWWW[[#This Row],['# people reached by regular dedicated hygiene promotion]],WWWW[[#This Row],['# People received regular supply of hygiene items]])</f>
        <v>0</v>
      </c>
      <c r="BN39" s="653">
        <f>IF(WWWW[[#This Row],[HRP3]]/WWWW[[#This Row],[Total PoP ]]&gt;100%,100%,WWWW[[#This Row],[HRP3]]/WWWW[[#This Row],[Total PoP ]])</f>
        <v>0</v>
      </c>
      <c r="BO39" s="650">
        <f>1-WWWW[[#This Row],[Hygiene Coverage%]]</f>
        <v>1</v>
      </c>
      <c r="BP39" s="652">
        <f>WWWW[[#This Row],['# people reached by regular dedicated hygiene promotion]]/WWWW[[#This Row],[Total PoP ]]</f>
        <v>0</v>
      </c>
      <c r="BQ3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9" s="478">
        <f>WWWW[[#This Row],['#_of_affected_women_and_girls_receiving_a_sufficient_quantity_of_sanitary_pads]]</f>
        <v>0</v>
      </c>
      <c r="BS39" s="524">
        <f>IF(WWWW[[#This Row],['# People with access to soap]]&gt;WWWW[[#This Row],['# People with access to Sanity Pads]],WWWW[[#This Row],['# People with access to soap]],WWWW[[#This Row],['# People with access to Sanity Pads]])</f>
        <v>0</v>
      </c>
      <c r="BT39" s="483" t="str">
        <f>IF(OR(WWWW[[#This Row],['#of students in school]]="",WWWW[[#This Row],['#of students in school]]=0),"No","Yes")</f>
        <v>No</v>
      </c>
      <c r="BU39" s="645" t="str">
        <f>VLOOKUP(WWWW[[#This Row],[Village  Name]],SiteDB6[[Site Name]:[Location Type 1]],9,FALSE)</f>
        <v>Village</v>
      </c>
      <c r="BV39" s="645" t="str">
        <f>VLOOKUP(WWWW[[#This Row],[Village  Name]],SiteDB6[[Site Name]:[Type of Accommodation]],10,FALSE)</f>
        <v>Village</v>
      </c>
      <c r="BW39" s="645">
        <f>VLOOKUP(WWWW[[#This Row],[Village  Name]],SiteDB6[[Site Name]:[Ethnic or GCA/NGCA]],11,FALSE)</f>
        <v>0</v>
      </c>
      <c r="BX39" s="645">
        <f>VLOOKUP(WWWW[[#This Row],[Village  Name]],SiteDB6[[Site Name]:[Lat]],12,FALSE)</f>
        <v>0</v>
      </c>
      <c r="BY39" s="645">
        <f>VLOOKUP(WWWW[[#This Row],[Village  Name]],SiteDB6[[Site Name]:[Long]],13,FALSE)</f>
        <v>0</v>
      </c>
      <c r="BZ39" s="645">
        <f>VLOOKUP(WWWW[[#This Row],[Village  Name]],SiteDB6[[Site Name]:[Pcode]],3,FALSE)</f>
        <v>0</v>
      </c>
      <c r="CA39" s="645" t="str">
        <f t="shared" si="1"/>
        <v>Covered</v>
      </c>
      <c r="CB39" s="655"/>
    </row>
    <row r="40" spans="1:80">
      <c r="A40" s="641" t="s">
        <v>3150</v>
      </c>
      <c r="B40" s="641" t="s">
        <v>2994</v>
      </c>
      <c r="C40" s="642"/>
      <c r="D40" s="642" t="s">
        <v>231</v>
      </c>
      <c r="E40" s="643" t="s">
        <v>698</v>
      </c>
      <c r="F40" s="642" t="s">
        <v>3033</v>
      </c>
      <c r="G40" s="644" t="str">
        <f>VLOOKUP(WWWW[[#This Row],[Village  Name]],SiteDB6[[Site Name]:[Location Type]],8,FALSE)</f>
        <v>Village</v>
      </c>
      <c r="H40" s="642" t="s">
        <v>3048</v>
      </c>
      <c r="I40" s="646"/>
      <c r="J40" s="646">
        <v>292</v>
      </c>
      <c r="K40" s="647">
        <v>43258</v>
      </c>
      <c r="L40" s="648">
        <v>43830</v>
      </c>
      <c r="M40" s="646"/>
      <c r="N40" s="646"/>
      <c r="O40" s="524"/>
      <c r="P40" s="646"/>
      <c r="Q40" s="646"/>
      <c r="R40" s="646"/>
      <c r="S40" s="646"/>
      <c r="T40" s="646"/>
      <c r="U40" s="649"/>
      <c r="V40" s="646">
        <v>34</v>
      </c>
      <c r="W40" s="646"/>
      <c r="X40" s="646"/>
      <c r="Y40" s="646"/>
      <c r="Z40" s="646"/>
      <c r="AA40" s="646"/>
      <c r="AB40" s="646"/>
      <c r="AC40" s="649"/>
      <c r="AD40" s="646"/>
      <c r="AE40" s="646"/>
      <c r="AF40" s="646"/>
      <c r="AG40" s="646"/>
      <c r="AH40" s="646"/>
      <c r="AI40" s="646"/>
      <c r="AJ40" s="524"/>
      <c r="AK40" s="646"/>
      <c r="AL40" s="524"/>
      <c r="AM40" s="524"/>
      <c r="AN40" s="649"/>
      <c r="AO40" s="477"/>
      <c r="AP40" s="477"/>
      <c r="AQ40" s="524"/>
      <c r="AR40" s="524"/>
      <c r="AS40" s="524"/>
      <c r="AT40"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0" s="651">
        <f>WWWW[[#This Row],[%Equitable and continuous access to sufficient quantity of safe drinking water]]*WWWW[[#This Row],[Total PoP ]]</f>
        <v>0</v>
      </c>
      <c r="AV40"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0" s="651">
        <f>WWWW[[#This Row],[% Access to unimproved water points]]*WWWW[[#This Row],[Total PoP ]]</f>
        <v>0</v>
      </c>
      <c r="AX40"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0"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0" s="651">
        <f>WWWW[[#This Row],[HRP1]]/250</f>
        <v>0</v>
      </c>
      <c r="BA40" s="653">
        <f>1-WWWW[[#This Row],[% Equitable and continuous access to sufficient quantity of domestic water]]</f>
        <v>1</v>
      </c>
      <c r="BB40" s="651">
        <f>WWWW[[#This Row],[%equitable and continuous access to sufficient quantity of safe drinking and domestic water''s GAP]]*WWWW[[#This Row],[Total PoP ]]</f>
        <v>292</v>
      </c>
      <c r="BC40" s="654">
        <f>IF(WWWW[[#This Row],[Total required water points]]-WWWW[[#This Row],['#Water points coverage]]&lt;0,0,WWWW[[#This Row],[Total required water points]]-WWWW[[#This Row],['#Water points coverage]])</f>
        <v>1</v>
      </c>
      <c r="BD40" s="654">
        <f>ROUND(IF(WWWW[[#This Row],[Total PoP ]]&lt;250,1,WWWW[[#This Row],[Total PoP ]]/250),0)</f>
        <v>1</v>
      </c>
      <c r="BE4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0.69863013698630139</v>
      </c>
      <c r="BF40" s="651">
        <f>WWWW[[#This Row],[% people access to functioning Latrine]]*WWWW[[#This Row],[Total PoP ]]</f>
        <v>204</v>
      </c>
      <c r="BG40" s="654">
        <f>WWWW[[#This Row],['#_of_Functioning_latrines_in_school]]*50</f>
        <v>0</v>
      </c>
      <c r="BH40" s="654">
        <f>ROUND((WWWW[[#This Row],[Total PoP ]]/6),0)</f>
        <v>49</v>
      </c>
      <c r="BI40" s="654">
        <f>IF(WWWW[[#This Row],[Total required Latrines]]-(WWWW[[#This Row],['#_of_sanitary_fly-proof_HH_latrines]])&lt;0,0,WWWW[[#This Row],[Total required Latrines]]-(WWWW[[#This Row],['#_of_sanitary_fly-proof_HH_latrines]]))</f>
        <v>15</v>
      </c>
      <c r="BJ40" s="650">
        <f>1-WWWW[[#This Row],[% people access to functioning Latrine]]</f>
        <v>0.30136986301369861</v>
      </c>
      <c r="BK40"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0" s="483">
        <f>IF(WWWW[[#This Row],['#_of_functional_handwashing_facilities_at_HH_level]]*6&gt;WWWW[[#This Row],[Total PoP ]],WWWW[[#This Row],[Total PoP ]],WWWW[[#This Row],['#_of_functional_handwashing_facilities_at_HH_level]]*6)</f>
        <v>0</v>
      </c>
      <c r="BM40" s="654">
        <f>IF(WWWW[[#This Row],['# people reached by regular dedicated hygiene promotion]]&gt;WWWW[[#This Row],['# People received regular supply of hygiene items]],WWWW[[#This Row],['# people reached by regular dedicated hygiene promotion]],WWWW[[#This Row],['# People received regular supply of hygiene items]])</f>
        <v>0</v>
      </c>
      <c r="BN40" s="653">
        <f>IF(WWWW[[#This Row],[HRP3]]/WWWW[[#This Row],[Total PoP ]]&gt;100%,100%,WWWW[[#This Row],[HRP3]]/WWWW[[#This Row],[Total PoP ]])</f>
        <v>0</v>
      </c>
      <c r="BO40" s="650">
        <f>1-WWWW[[#This Row],[Hygiene Coverage%]]</f>
        <v>1</v>
      </c>
      <c r="BP40" s="652">
        <f>WWWW[[#This Row],['# people reached by regular dedicated hygiene promotion]]/WWWW[[#This Row],[Total PoP ]]</f>
        <v>0</v>
      </c>
      <c r="BQ4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0" s="478">
        <f>WWWW[[#This Row],['#_of_affected_women_and_girls_receiving_a_sufficient_quantity_of_sanitary_pads]]</f>
        <v>0</v>
      </c>
      <c r="BS40" s="524">
        <f>IF(WWWW[[#This Row],['# People with access to soap]]&gt;WWWW[[#This Row],['# People with access to Sanity Pads]],WWWW[[#This Row],['# People with access to soap]],WWWW[[#This Row],['# People with access to Sanity Pads]])</f>
        <v>0</v>
      </c>
      <c r="BT40" s="483" t="str">
        <f>IF(OR(WWWW[[#This Row],['#of students in school]]="",WWWW[[#This Row],['#of students in school]]=0),"No","Yes")</f>
        <v>No</v>
      </c>
      <c r="BU40" s="645" t="str">
        <f>VLOOKUP(WWWW[[#This Row],[Village  Name]],SiteDB6[[Site Name]:[Location Type 1]],9,FALSE)</f>
        <v>Village</v>
      </c>
      <c r="BV40" s="645" t="str">
        <f>VLOOKUP(WWWW[[#This Row],[Village  Name]],SiteDB6[[Site Name]:[Type of Accommodation]],10,FALSE)</f>
        <v>Village</v>
      </c>
      <c r="BW40" s="645">
        <f>VLOOKUP(WWWW[[#This Row],[Village  Name]],SiteDB6[[Site Name]:[Ethnic or GCA/NGCA]],11,FALSE)</f>
        <v>0</v>
      </c>
      <c r="BX40" s="645">
        <f>VLOOKUP(WWWW[[#This Row],[Village  Name]],SiteDB6[[Site Name]:[Lat]],12,FALSE)</f>
        <v>0</v>
      </c>
      <c r="BY40" s="645">
        <f>VLOOKUP(WWWW[[#This Row],[Village  Name]],SiteDB6[[Site Name]:[Long]],13,FALSE)</f>
        <v>0</v>
      </c>
      <c r="BZ40" s="645">
        <f>VLOOKUP(WWWW[[#This Row],[Village  Name]],SiteDB6[[Site Name]:[Pcode]],3,FALSE)</f>
        <v>0</v>
      </c>
      <c r="CA40" s="645" t="str">
        <f t="shared" si="1"/>
        <v>Covered</v>
      </c>
      <c r="CB40" s="655"/>
    </row>
    <row r="41" spans="1:80">
      <c r="A41" s="641" t="s">
        <v>3150</v>
      </c>
      <c r="B41" s="641" t="s">
        <v>2994</v>
      </c>
      <c r="C41" s="642"/>
      <c r="D41" s="642" t="s">
        <v>231</v>
      </c>
      <c r="E41" s="643" t="s">
        <v>698</v>
      </c>
      <c r="F41" s="642" t="s">
        <v>3033</v>
      </c>
      <c r="G41" s="644" t="str">
        <f>VLOOKUP(WWWW[[#This Row],[Village  Name]],SiteDB6[[Site Name]:[Location Type]],8,FALSE)</f>
        <v>Village</v>
      </c>
      <c r="H41" s="642" t="s">
        <v>3049</v>
      </c>
      <c r="I41" s="646"/>
      <c r="J41" s="646">
        <v>75</v>
      </c>
      <c r="K41" s="647">
        <v>43258</v>
      </c>
      <c r="L41" s="648">
        <v>43830</v>
      </c>
      <c r="M41" s="646"/>
      <c r="N41" s="646"/>
      <c r="O41" s="524"/>
      <c r="P41" s="646"/>
      <c r="Q41" s="646"/>
      <c r="R41" s="646"/>
      <c r="S41" s="646"/>
      <c r="T41" s="646"/>
      <c r="U41" s="649"/>
      <c r="V41" s="646">
        <v>2</v>
      </c>
      <c r="W41" s="646"/>
      <c r="X41" s="646"/>
      <c r="Y41" s="646"/>
      <c r="Z41" s="646"/>
      <c r="AA41" s="646"/>
      <c r="AB41" s="646"/>
      <c r="AC41" s="649"/>
      <c r="AD41" s="646"/>
      <c r="AE41" s="646"/>
      <c r="AF41" s="646"/>
      <c r="AG41" s="646"/>
      <c r="AH41" s="646"/>
      <c r="AI41" s="646"/>
      <c r="AJ41" s="524"/>
      <c r="AK41" s="646"/>
      <c r="AL41" s="524"/>
      <c r="AM41" s="524"/>
      <c r="AN41" s="649"/>
      <c r="AO41" s="477"/>
      <c r="AP41" s="477"/>
      <c r="AQ41" s="524"/>
      <c r="AR41" s="524"/>
      <c r="AS41" s="524"/>
      <c r="AT41"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1" s="651">
        <f>WWWW[[#This Row],[%Equitable and continuous access to sufficient quantity of safe drinking water]]*WWWW[[#This Row],[Total PoP ]]</f>
        <v>0</v>
      </c>
      <c r="AV41"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1" s="651">
        <f>WWWW[[#This Row],[% Access to unimproved water points]]*WWWW[[#This Row],[Total PoP ]]</f>
        <v>0</v>
      </c>
      <c r="AX41"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1"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1" s="651">
        <f>WWWW[[#This Row],[HRP1]]/250</f>
        <v>0</v>
      </c>
      <c r="BA41" s="653">
        <f>1-WWWW[[#This Row],[% Equitable and continuous access to sufficient quantity of domestic water]]</f>
        <v>1</v>
      </c>
      <c r="BB41" s="651">
        <f>WWWW[[#This Row],[%equitable and continuous access to sufficient quantity of safe drinking and domestic water''s GAP]]*WWWW[[#This Row],[Total PoP ]]</f>
        <v>75</v>
      </c>
      <c r="BC41" s="654">
        <f>IF(WWWW[[#This Row],[Total required water points]]-WWWW[[#This Row],['#Water points coverage]]&lt;0,0,WWWW[[#This Row],[Total required water points]]-WWWW[[#This Row],['#Water points coverage]])</f>
        <v>1</v>
      </c>
      <c r="BD41" s="654">
        <f>ROUND(IF(WWWW[[#This Row],[Total PoP ]]&lt;250,1,WWWW[[#This Row],[Total PoP ]]/250),0)</f>
        <v>1</v>
      </c>
      <c r="BE4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0.16</v>
      </c>
      <c r="BF41" s="651">
        <f>WWWW[[#This Row],[% people access to functioning Latrine]]*WWWW[[#This Row],[Total PoP ]]</f>
        <v>12</v>
      </c>
      <c r="BG41" s="654">
        <f>WWWW[[#This Row],['#_of_Functioning_latrines_in_school]]*50</f>
        <v>0</v>
      </c>
      <c r="BH41" s="654">
        <f>ROUND((WWWW[[#This Row],[Total PoP ]]/6),0)</f>
        <v>13</v>
      </c>
      <c r="BI41" s="654">
        <f>IF(WWWW[[#This Row],[Total required Latrines]]-(WWWW[[#This Row],['#_of_sanitary_fly-proof_HH_latrines]])&lt;0,0,WWWW[[#This Row],[Total required Latrines]]-(WWWW[[#This Row],['#_of_sanitary_fly-proof_HH_latrines]]))</f>
        <v>11</v>
      </c>
      <c r="BJ41" s="650">
        <f>1-WWWW[[#This Row],[% people access to functioning Latrine]]</f>
        <v>0.84</v>
      </c>
      <c r="BK41"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1" s="483">
        <f>IF(WWWW[[#This Row],['#_of_functional_handwashing_facilities_at_HH_level]]*6&gt;WWWW[[#This Row],[Total PoP ]],WWWW[[#This Row],[Total PoP ]],WWWW[[#This Row],['#_of_functional_handwashing_facilities_at_HH_level]]*6)</f>
        <v>0</v>
      </c>
      <c r="BM41" s="654">
        <f>IF(WWWW[[#This Row],['# people reached by regular dedicated hygiene promotion]]&gt;WWWW[[#This Row],['# People received regular supply of hygiene items]],WWWW[[#This Row],['# people reached by regular dedicated hygiene promotion]],WWWW[[#This Row],['# People received regular supply of hygiene items]])</f>
        <v>0</v>
      </c>
      <c r="BN41" s="653">
        <f>IF(WWWW[[#This Row],[HRP3]]/WWWW[[#This Row],[Total PoP ]]&gt;100%,100%,WWWW[[#This Row],[HRP3]]/WWWW[[#This Row],[Total PoP ]])</f>
        <v>0</v>
      </c>
      <c r="BO41" s="650">
        <f>1-WWWW[[#This Row],[Hygiene Coverage%]]</f>
        <v>1</v>
      </c>
      <c r="BP41" s="652">
        <f>WWWW[[#This Row],['# people reached by regular dedicated hygiene promotion]]/WWWW[[#This Row],[Total PoP ]]</f>
        <v>0</v>
      </c>
      <c r="BQ4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1" s="478">
        <f>WWWW[[#This Row],['#_of_affected_women_and_girls_receiving_a_sufficient_quantity_of_sanitary_pads]]</f>
        <v>0</v>
      </c>
      <c r="BS41" s="524">
        <f>IF(WWWW[[#This Row],['# People with access to soap]]&gt;WWWW[[#This Row],['# People with access to Sanity Pads]],WWWW[[#This Row],['# People with access to soap]],WWWW[[#This Row],['# People with access to Sanity Pads]])</f>
        <v>0</v>
      </c>
      <c r="BT41" s="483" t="str">
        <f>IF(OR(WWWW[[#This Row],['#of students in school]]="",WWWW[[#This Row],['#of students in school]]=0),"No","Yes")</f>
        <v>No</v>
      </c>
      <c r="BU41" s="645" t="str">
        <f>VLOOKUP(WWWW[[#This Row],[Village  Name]],SiteDB6[[Site Name]:[Location Type 1]],9,FALSE)</f>
        <v>Village</v>
      </c>
      <c r="BV41" s="645" t="str">
        <f>VLOOKUP(WWWW[[#This Row],[Village  Name]],SiteDB6[[Site Name]:[Type of Accommodation]],10,FALSE)</f>
        <v>Village</v>
      </c>
      <c r="BW41" s="645">
        <f>VLOOKUP(WWWW[[#This Row],[Village  Name]],SiteDB6[[Site Name]:[Ethnic or GCA/NGCA]],11,FALSE)</f>
        <v>0</v>
      </c>
      <c r="BX41" s="645">
        <f>VLOOKUP(WWWW[[#This Row],[Village  Name]],SiteDB6[[Site Name]:[Lat]],12,FALSE)</f>
        <v>0</v>
      </c>
      <c r="BY41" s="645">
        <f>VLOOKUP(WWWW[[#This Row],[Village  Name]],SiteDB6[[Site Name]:[Long]],13,FALSE)</f>
        <v>0</v>
      </c>
      <c r="BZ41" s="645">
        <f>VLOOKUP(WWWW[[#This Row],[Village  Name]],SiteDB6[[Site Name]:[Pcode]],3,FALSE)</f>
        <v>0</v>
      </c>
      <c r="CA41" s="645" t="str">
        <f t="shared" si="1"/>
        <v>Covered</v>
      </c>
      <c r="CB41" s="655"/>
    </row>
    <row r="42" spans="1:80">
      <c r="A42" s="641" t="s">
        <v>3150</v>
      </c>
      <c r="B42" s="641" t="s">
        <v>2994</v>
      </c>
      <c r="C42" s="642"/>
      <c r="D42" s="642" t="s">
        <v>231</v>
      </c>
      <c r="E42" s="643" t="s">
        <v>698</v>
      </c>
      <c r="F42" s="642" t="s">
        <v>3033</v>
      </c>
      <c r="G42" s="644" t="str">
        <f>VLOOKUP(WWWW[[#This Row],[Village  Name]],SiteDB6[[Site Name]:[Location Type]],8,FALSE)</f>
        <v>Village</v>
      </c>
      <c r="H42" s="642" t="s">
        <v>3050</v>
      </c>
      <c r="I42" s="646"/>
      <c r="J42" s="646">
        <v>159</v>
      </c>
      <c r="K42" s="647">
        <v>43258</v>
      </c>
      <c r="L42" s="648">
        <v>43830</v>
      </c>
      <c r="M42" s="646"/>
      <c r="N42" s="646"/>
      <c r="O42" s="524"/>
      <c r="P42" s="646"/>
      <c r="Q42" s="646"/>
      <c r="R42" s="646"/>
      <c r="S42" s="646"/>
      <c r="T42" s="646"/>
      <c r="U42" s="649"/>
      <c r="V42" s="646">
        <v>19</v>
      </c>
      <c r="W42" s="646"/>
      <c r="X42" s="646"/>
      <c r="Y42" s="646"/>
      <c r="Z42" s="646"/>
      <c r="AA42" s="646"/>
      <c r="AB42" s="646"/>
      <c r="AC42" s="649"/>
      <c r="AD42" s="646"/>
      <c r="AE42" s="646"/>
      <c r="AF42" s="646"/>
      <c r="AG42" s="646"/>
      <c r="AH42" s="646"/>
      <c r="AI42" s="646"/>
      <c r="AJ42" s="524"/>
      <c r="AK42" s="646"/>
      <c r="AL42" s="524"/>
      <c r="AM42" s="524"/>
      <c r="AN42" s="649"/>
      <c r="AO42" s="477"/>
      <c r="AP42" s="477"/>
      <c r="AQ42" s="524"/>
      <c r="AR42" s="524"/>
      <c r="AS42" s="524"/>
      <c r="AT42"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2" s="651">
        <f>WWWW[[#This Row],[%Equitable and continuous access to sufficient quantity of safe drinking water]]*WWWW[[#This Row],[Total PoP ]]</f>
        <v>0</v>
      </c>
      <c r="AV42"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2" s="651">
        <f>WWWW[[#This Row],[% Access to unimproved water points]]*WWWW[[#This Row],[Total PoP ]]</f>
        <v>0</v>
      </c>
      <c r="AX42"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2"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2" s="651">
        <f>WWWW[[#This Row],[HRP1]]/250</f>
        <v>0</v>
      </c>
      <c r="BA42" s="653">
        <f>1-WWWW[[#This Row],[% Equitable and continuous access to sufficient quantity of domestic water]]</f>
        <v>1</v>
      </c>
      <c r="BB42" s="651">
        <f>WWWW[[#This Row],[%equitable and continuous access to sufficient quantity of safe drinking and domestic water''s GAP]]*WWWW[[#This Row],[Total PoP ]]</f>
        <v>159</v>
      </c>
      <c r="BC42" s="654">
        <f>IF(WWWW[[#This Row],[Total required water points]]-WWWW[[#This Row],['#Water points coverage]]&lt;0,0,WWWW[[#This Row],[Total required water points]]-WWWW[[#This Row],['#Water points coverage]])</f>
        <v>1</v>
      </c>
      <c r="BD42" s="654">
        <f>ROUND(IF(WWWW[[#This Row],[Total PoP ]]&lt;250,1,WWWW[[#This Row],[Total PoP ]]/250),0)</f>
        <v>1</v>
      </c>
      <c r="BE4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0.71698113207547165</v>
      </c>
      <c r="BF42" s="651">
        <f>WWWW[[#This Row],[% people access to functioning Latrine]]*WWWW[[#This Row],[Total PoP ]]</f>
        <v>113.99999999999999</v>
      </c>
      <c r="BG42" s="654">
        <f>WWWW[[#This Row],['#_of_Functioning_latrines_in_school]]*50</f>
        <v>0</v>
      </c>
      <c r="BH42" s="654">
        <f>ROUND((WWWW[[#This Row],[Total PoP ]]/6),0)</f>
        <v>27</v>
      </c>
      <c r="BI42" s="654">
        <f>IF(WWWW[[#This Row],[Total required Latrines]]-(WWWW[[#This Row],['#_of_sanitary_fly-proof_HH_latrines]])&lt;0,0,WWWW[[#This Row],[Total required Latrines]]-(WWWW[[#This Row],['#_of_sanitary_fly-proof_HH_latrines]]))</f>
        <v>8</v>
      </c>
      <c r="BJ42" s="650">
        <f>1-WWWW[[#This Row],[% people access to functioning Latrine]]</f>
        <v>0.28301886792452835</v>
      </c>
      <c r="BK42"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2" s="483">
        <f>IF(WWWW[[#This Row],['#_of_functional_handwashing_facilities_at_HH_level]]*6&gt;WWWW[[#This Row],[Total PoP ]],WWWW[[#This Row],[Total PoP ]],WWWW[[#This Row],['#_of_functional_handwashing_facilities_at_HH_level]]*6)</f>
        <v>0</v>
      </c>
      <c r="BM42" s="654">
        <f>IF(WWWW[[#This Row],['# people reached by regular dedicated hygiene promotion]]&gt;WWWW[[#This Row],['# People received regular supply of hygiene items]],WWWW[[#This Row],['# people reached by regular dedicated hygiene promotion]],WWWW[[#This Row],['# People received regular supply of hygiene items]])</f>
        <v>0</v>
      </c>
      <c r="BN42" s="653">
        <f>IF(WWWW[[#This Row],[HRP3]]/WWWW[[#This Row],[Total PoP ]]&gt;100%,100%,WWWW[[#This Row],[HRP3]]/WWWW[[#This Row],[Total PoP ]])</f>
        <v>0</v>
      </c>
      <c r="BO42" s="650">
        <f>1-WWWW[[#This Row],[Hygiene Coverage%]]</f>
        <v>1</v>
      </c>
      <c r="BP42" s="652">
        <f>WWWW[[#This Row],['# people reached by regular dedicated hygiene promotion]]/WWWW[[#This Row],[Total PoP ]]</f>
        <v>0</v>
      </c>
      <c r="BQ4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2" s="478">
        <f>WWWW[[#This Row],['#_of_affected_women_and_girls_receiving_a_sufficient_quantity_of_sanitary_pads]]</f>
        <v>0</v>
      </c>
      <c r="BS42" s="524">
        <f>IF(WWWW[[#This Row],['# People with access to soap]]&gt;WWWW[[#This Row],['# People with access to Sanity Pads]],WWWW[[#This Row],['# People with access to soap]],WWWW[[#This Row],['# People with access to Sanity Pads]])</f>
        <v>0</v>
      </c>
      <c r="BT42" s="483" t="str">
        <f>IF(OR(WWWW[[#This Row],['#of students in school]]="",WWWW[[#This Row],['#of students in school]]=0),"No","Yes")</f>
        <v>No</v>
      </c>
      <c r="BU42" s="645" t="str">
        <f>VLOOKUP(WWWW[[#This Row],[Village  Name]],SiteDB6[[Site Name]:[Location Type 1]],9,FALSE)</f>
        <v>Village</v>
      </c>
      <c r="BV42" s="645" t="str">
        <f>VLOOKUP(WWWW[[#This Row],[Village  Name]],SiteDB6[[Site Name]:[Type of Accommodation]],10,FALSE)</f>
        <v>Village</v>
      </c>
      <c r="BW42" s="645">
        <f>VLOOKUP(WWWW[[#This Row],[Village  Name]],SiteDB6[[Site Name]:[Ethnic or GCA/NGCA]],11,FALSE)</f>
        <v>0</v>
      </c>
      <c r="BX42" s="645">
        <f>VLOOKUP(WWWW[[#This Row],[Village  Name]],SiteDB6[[Site Name]:[Lat]],12,FALSE)</f>
        <v>0</v>
      </c>
      <c r="BY42" s="645">
        <f>VLOOKUP(WWWW[[#This Row],[Village  Name]],SiteDB6[[Site Name]:[Long]],13,FALSE)</f>
        <v>0</v>
      </c>
      <c r="BZ42" s="645">
        <f>VLOOKUP(WWWW[[#This Row],[Village  Name]],SiteDB6[[Site Name]:[Pcode]],3,FALSE)</f>
        <v>0</v>
      </c>
      <c r="CA42" s="645" t="str">
        <f t="shared" si="1"/>
        <v>Covered</v>
      </c>
      <c r="CB42" s="655"/>
    </row>
    <row r="43" spans="1:80">
      <c r="A43" s="641" t="s">
        <v>3150</v>
      </c>
      <c r="B43" s="641" t="s">
        <v>2994</v>
      </c>
      <c r="C43" s="642"/>
      <c r="D43" s="642" t="s">
        <v>231</v>
      </c>
      <c r="E43" s="643" t="s">
        <v>698</v>
      </c>
      <c r="F43" s="642" t="s">
        <v>3033</v>
      </c>
      <c r="G43" s="644" t="str">
        <f>VLOOKUP(WWWW[[#This Row],[Village  Name]],SiteDB6[[Site Name]:[Location Type]],8,FALSE)</f>
        <v>Village</v>
      </c>
      <c r="H43" s="642" t="s">
        <v>3051</v>
      </c>
      <c r="I43" s="646"/>
      <c r="J43" s="646">
        <v>101</v>
      </c>
      <c r="K43" s="647">
        <v>43258</v>
      </c>
      <c r="L43" s="648">
        <v>43830</v>
      </c>
      <c r="M43" s="646"/>
      <c r="N43" s="646"/>
      <c r="O43" s="524"/>
      <c r="P43" s="646"/>
      <c r="Q43" s="646"/>
      <c r="R43" s="646"/>
      <c r="S43" s="646"/>
      <c r="T43" s="646"/>
      <c r="U43" s="649"/>
      <c r="V43" s="646">
        <v>13</v>
      </c>
      <c r="W43" s="646"/>
      <c r="X43" s="646"/>
      <c r="Y43" s="646"/>
      <c r="Z43" s="646"/>
      <c r="AA43" s="646"/>
      <c r="AB43" s="646"/>
      <c r="AC43" s="649"/>
      <c r="AD43" s="646"/>
      <c r="AE43" s="646"/>
      <c r="AF43" s="646"/>
      <c r="AG43" s="646"/>
      <c r="AH43" s="646"/>
      <c r="AI43" s="646"/>
      <c r="AJ43" s="524"/>
      <c r="AK43" s="646"/>
      <c r="AL43" s="524"/>
      <c r="AM43" s="524"/>
      <c r="AN43" s="649"/>
      <c r="AO43" s="477"/>
      <c r="AP43" s="477"/>
      <c r="AQ43" s="524"/>
      <c r="AR43" s="524"/>
      <c r="AS43" s="524"/>
      <c r="AT43"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3" s="651">
        <f>WWWW[[#This Row],[%Equitable and continuous access to sufficient quantity of safe drinking water]]*WWWW[[#This Row],[Total PoP ]]</f>
        <v>0</v>
      </c>
      <c r="AV43"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3" s="651">
        <f>WWWW[[#This Row],[% Access to unimproved water points]]*WWWW[[#This Row],[Total PoP ]]</f>
        <v>0</v>
      </c>
      <c r="AX43"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3"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3" s="651">
        <f>WWWW[[#This Row],[HRP1]]/250</f>
        <v>0</v>
      </c>
      <c r="BA43" s="653">
        <f>1-WWWW[[#This Row],[% Equitable and continuous access to sufficient quantity of domestic water]]</f>
        <v>1</v>
      </c>
      <c r="BB43" s="651">
        <f>WWWW[[#This Row],[%equitable and continuous access to sufficient quantity of safe drinking and domestic water''s GAP]]*WWWW[[#This Row],[Total PoP ]]</f>
        <v>101</v>
      </c>
      <c r="BC43" s="654">
        <f>IF(WWWW[[#This Row],[Total required water points]]-WWWW[[#This Row],['#Water points coverage]]&lt;0,0,WWWW[[#This Row],[Total required water points]]-WWWW[[#This Row],['#Water points coverage]])</f>
        <v>1</v>
      </c>
      <c r="BD43" s="654">
        <f>ROUND(IF(WWWW[[#This Row],[Total PoP ]]&lt;250,1,WWWW[[#This Row],[Total PoP ]]/250),0)</f>
        <v>1</v>
      </c>
      <c r="BE4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0.7722772277227723</v>
      </c>
      <c r="BF43" s="651">
        <f>WWWW[[#This Row],[% people access to functioning Latrine]]*WWWW[[#This Row],[Total PoP ]]</f>
        <v>78</v>
      </c>
      <c r="BG43" s="654">
        <f>WWWW[[#This Row],['#_of_Functioning_latrines_in_school]]*50</f>
        <v>0</v>
      </c>
      <c r="BH43" s="654">
        <f>ROUND((WWWW[[#This Row],[Total PoP ]]/6),0)</f>
        <v>17</v>
      </c>
      <c r="BI43" s="654">
        <f>IF(WWWW[[#This Row],[Total required Latrines]]-(WWWW[[#This Row],['#_of_sanitary_fly-proof_HH_latrines]])&lt;0,0,WWWW[[#This Row],[Total required Latrines]]-(WWWW[[#This Row],['#_of_sanitary_fly-proof_HH_latrines]]))</f>
        <v>4</v>
      </c>
      <c r="BJ43" s="650">
        <f>1-WWWW[[#This Row],[% people access to functioning Latrine]]</f>
        <v>0.2277227722772277</v>
      </c>
      <c r="BK43"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3" s="483">
        <f>IF(WWWW[[#This Row],['#_of_functional_handwashing_facilities_at_HH_level]]*6&gt;WWWW[[#This Row],[Total PoP ]],WWWW[[#This Row],[Total PoP ]],WWWW[[#This Row],['#_of_functional_handwashing_facilities_at_HH_level]]*6)</f>
        <v>0</v>
      </c>
      <c r="BM43" s="654">
        <f>IF(WWWW[[#This Row],['# people reached by regular dedicated hygiene promotion]]&gt;WWWW[[#This Row],['# People received regular supply of hygiene items]],WWWW[[#This Row],['# people reached by regular dedicated hygiene promotion]],WWWW[[#This Row],['# People received regular supply of hygiene items]])</f>
        <v>0</v>
      </c>
      <c r="BN43" s="653">
        <f>IF(WWWW[[#This Row],[HRP3]]/WWWW[[#This Row],[Total PoP ]]&gt;100%,100%,WWWW[[#This Row],[HRP3]]/WWWW[[#This Row],[Total PoP ]])</f>
        <v>0</v>
      </c>
      <c r="BO43" s="650">
        <f>1-WWWW[[#This Row],[Hygiene Coverage%]]</f>
        <v>1</v>
      </c>
      <c r="BP43" s="652">
        <f>WWWW[[#This Row],['# people reached by regular dedicated hygiene promotion]]/WWWW[[#This Row],[Total PoP ]]</f>
        <v>0</v>
      </c>
      <c r="BQ4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3" s="478">
        <f>WWWW[[#This Row],['#_of_affected_women_and_girls_receiving_a_sufficient_quantity_of_sanitary_pads]]</f>
        <v>0</v>
      </c>
      <c r="BS43" s="524">
        <f>IF(WWWW[[#This Row],['# People with access to soap]]&gt;WWWW[[#This Row],['# People with access to Sanity Pads]],WWWW[[#This Row],['# People with access to soap]],WWWW[[#This Row],['# People with access to Sanity Pads]])</f>
        <v>0</v>
      </c>
      <c r="BT43" s="483" t="str">
        <f>IF(OR(WWWW[[#This Row],['#of students in school]]="",WWWW[[#This Row],['#of students in school]]=0),"No","Yes")</f>
        <v>No</v>
      </c>
      <c r="BU43" s="645" t="str">
        <f>VLOOKUP(WWWW[[#This Row],[Village  Name]],SiteDB6[[Site Name]:[Location Type 1]],9,FALSE)</f>
        <v>Village</v>
      </c>
      <c r="BV43" s="645" t="str">
        <f>VLOOKUP(WWWW[[#This Row],[Village  Name]],SiteDB6[[Site Name]:[Type of Accommodation]],10,FALSE)</f>
        <v>Village</v>
      </c>
      <c r="BW43" s="645">
        <f>VLOOKUP(WWWW[[#This Row],[Village  Name]],SiteDB6[[Site Name]:[Ethnic or GCA/NGCA]],11,FALSE)</f>
        <v>0</v>
      </c>
      <c r="BX43" s="645">
        <f>VLOOKUP(WWWW[[#This Row],[Village  Name]],SiteDB6[[Site Name]:[Lat]],12,FALSE)</f>
        <v>0</v>
      </c>
      <c r="BY43" s="645">
        <f>VLOOKUP(WWWW[[#This Row],[Village  Name]],SiteDB6[[Site Name]:[Long]],13,FALSE)</f>
        <v>0</v>
      </c>
      <c r="BZ43" s="645">
        <f>VLOOKUP(WWWW[[#This Row],[Village  Name]],SiteDB6[[Site Name]:[Pcode]],3,FALSE)</f>
        <v>0</v>
      </c>
      <c r="CA43" s="645" t="str">
        <f t="shared" si="1"/>
        <v>Covered</v>
      </c>
      <c r="CB43" s="655"/>
    </row>
    <row r="44" spans="1:80">
      <c r="A44" s="641" t="s">
        <v>3150</v>
      </c>
      <c r="B44" s="641" t="s">
        <v>2994</v>
      </c>
      <c r="C44" s="642"/>
      <c r="D44" s="642" t="s">
        <v>231</v>
      </c>
      <c r="E44" s="643" t="s">
        <v>698</v>
      </c>
      <c r="F44" s="642" t="s">
        <v>3033</v>
      </c>
      <c r="G44" s="644" t="str">
        <f>VLOOKUP(WWWW[[#This Row],[Village  Name]],SiteDB6[[Site Name]:[Location Type]],8,FALSE)</f>
        <v>Village</v>
      </c>
      <c r="H44" s="642" t="s">
        <v>3052</v>
      </c>
      <c r="I44" s="646"/>
      <c r="J44" s="646">
        <v>133</v>
      </c>
      <c r="K44" s="647">
        <v>43258</v>
      </c>
      <c r="L44" s="648">
        <v>43830</v>
      </c>
      <c r="M44" s="646"/>
      <c r="N44" s="646"/>
      <c r="O44" s="524"/>
      <c r="P44" s="646"/>
      <c r="Q44" s="646"/>
      <c r="R44" s="646"/>
      <c r="S44" s="646"/>
      <c r="T44" s="646"/>
      <c r="U44" s="649"/>
      <c r="V44" s="646">
        <v>20</v>
      </c>
      <c r="W44" s="646"/>
      <c r="X44" s="646"/>
      <c r="Y44" s="646"/>
      <c r="Z44" s="646"/>
      <c r="AA44" s="646"/>
      <c r="AB44" s="646"/>
      <c r="AC44" s="649"/>
      <c r="AD44" s="646"/>
      <c r="AE44" s="646"/>
      <c r="AF44" s="646"/>
      <c r="AG44" s="646"/>
      <c r="AH44" s="646"/>
      <c r="AI44" s="646"/>
      <c r="AJ44" s="524"/>
      <c r="AK44" s="646"/>
      <c r="AL44" s="524"/>
      <c r="AM44" s="524"/>
      <c r="AN44" s="649"/>
      <c r="AO44" s="477"/>
      <c r="AP44" s="477"/>
      <c r="AQ44" s="524"/>
      <c r="AR44" s="524"/>
      <c r="AS44" s="524"/>
      <c r="AT44"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4" s="651">
        <f>WWWW[[#This Row],[%Equitable and continuous access to sufficient quantity of safe drinking water]]*WWWW[[#This Row],[Total PoP ]]</f>
        <v>0</v>
      </c>
      <c r="AV44"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4" s="651">
        <f>WWWW[[#This Row],[% Access to unimproved water points]]*WWWW[[#This Row],[Total PoP ]]</f>
        <v>0</v>
      </c>
      <c r="AX44"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4"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4" s="651">
        <f>WWWW[[#This Row],[HRP1]]/250</f>
        <v>0</v>
      </c>
      <c r="BA44" s="653">
        <f>1-WWWW[[#This Row],[% Equitable and continuous access to sufficient quantity of domestic water]]</f>
        <v>1</v>
      </c>
      <c r="BB44" s="651">
        <f>WWWW[[#This Row],[%equitable and continuous access to sufficient quantity of safe drinking and domestic water''s GAP]]*WWWW[[#This Row],[Total PoP ]]</f>
        <v>133</v>
      </c>
      <c r="BC44" s="654">
        <f>IF(WWWW[[#This Row],[Total required water points]]-WWWW[[#This Row],['#Water points coverage]]&lt;0,0,WWWW[[#This Row],[Total required water points]]-WWWW[[#This Row],['#Water points coverage]])</f>
        <v>1</v>
      </c>
      <c r="BD44" s="654">
        <f>ROUND(IF(WWWW[[#This Row],[Total PoP ]]&lt;250,1,WWWW[[#This Row],[Total PoP ]]/250),0)</f>
        <v>1</v>
      </c>
      <c r="BE4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0.90225563909774431</v>
      </c>
      <c r="BF44" s="651">
        <f>WWWW[[#This Row],[% people access to functioning Latrine]]*WWWW[[#This Row],[Total PoP ]]</f>
        <v>120</v>
      </c>
      <c r="BG44" s="654">
        <f>WWWW[[#This Row],['#_of_Functioning_latrines_in_school]]*50</f>
        <v>0</v>
      </c>
      <c r="BH44" s="654">
        <f>ROUND((WWWW[[#This Row],[Total PoP ]]/6),0)</f>
        <v>22</v>
      </c>
      <c r="BI44" s="654">
        <f>IF(WWWW[[#This Row],[Total required Latrines]]-(WWWW[[#This Row],['#_of_sanitary_fly-proof_HH_latrines]])&lt;0,0,WWWW[[#This Row],[Total required Latrines]]-(WWWW[[#This Row],['#_of_sanitary_fly-proof_HH_latrines]]))</f>
        <v>2</v>
      </c>
      <c r="BJ44" s="650">
        <f>1-WWWW[[#This Row],[% people access to functioning Latrine]]</f>
        <v>9.7744360902255689E-2</v>
      </c>
      <c r="BK44"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4" s="483">
        <f>IF(WWWW[[#This Row],['#_of_functional_handwashing_facilities_at_HH_level]]*6&gt;WWWW[[#This Row],[Total PoP ]],WWWW[[#This Row],[Total PoP ]],WWWW[[#This Row],['#_of_functional_handwashing_facilities_at_HH_level]]*6)</f>
        <v>0</v>
      </c>
      <c r="BM44" s="654">
        <f>IF(WWWW[[#This Row],['# people reached by regular dedicated hygiene promotion]]&gt;WWWW[[#This Row],['# People received regular supply of hygiene items]],WWWW[[#This Row],['# people reached by regular dedicated hygiene promotion]],WWWW[[#This Row],['# People received regular supply of hygiene items]])</f>
        <v>0</v>
      </c>
      <c r="BN44" s="653">
        <f>IF(WWWW[[#This Row],[HRP3]]/WWWW[[#This Row],[Total PoP ]]&gt;100%,100%,WWWW[[#This Row],[HRP3]]/WWWW[[#This Row],[Total PoP ]])</f>
        <v>0</v>
      </c>
      <c r="BO44" s="650">
        <f>1-WWWW[[#This Row],[Hygiene Coverage%]]</f>
        <v>1</v>
      </c>
      <c r="BP44" s="652">
        <f>WWWW[[#This Row],['# people reached by regular dedicated hygiene promotion]]/WWWW[[#This Row],[Total PoP ]]</f>
        <v>0</v>
      </c>
      <c r="BQ4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4" s="478">
        <f>WWWW[[#This Row],['#_of_affected_women_and_girls_receiving_a_sufficient_quantity_of_sanitary_pads]]</f>
        <v>0</v>
      </c>
      <c r="BS44" s="524">
        <f>IF(WWWW[[#This Row],['# People with access to soap]]&gt;WWWW[[#This Row],['# People with access to Sanity Pads]],WWWW[[#This Row],['# People with access to soap]],WWWW[[#This Row],['# People with access to Sanity Pads]])</f>
        <v>0</v>
      </c>
      <c r="BT44" s="483" t="str">
        <f>IF(OR(WWWW[[#This Row],['#of students in school]]="",WWWW[[#This Row],['#of students in school]]=0),"No","Yes")</f>
        <v>No</v>
      </c>
      <c r="BU44" s="645" t="str">
        <f>VLOOKUP(WWWW[[#This Row],[Village  Name]],SiteDB6[[Site Name]:[Location Type 1]],9,FALSE)</f>
        <v>Village</v>
      </c>
      <c r="BV44" s="645" t="str">
        <f>VLOOKUP(WWWW[[#This Row],[Village  Name]],SiteDB6[[Site Name]:[Type of Accommodation]],10,FALSE)</f>
        <v>Village</v>
      </c>
      <c r="BW44" s="645">
        <f>VLOOKUP(WWWW[[#This Row],[Village  Name]],SiteDB6[[Site Name]:[Ethnic or GCA/NGCA]],11,FALSE)</f>
        <v>0</v>
      </c>
      <c r="BX44" s="645">
        <f>VLOOKUP(WWWW[[#This Row],[Village  Name]],SiteDB6[[Site Name]:[Lat]],12,FALSE)</f>
        <v>0</v>
      </c>
      <c r="BY44" s="645">
        <f>VLOOKUP(WWWW[[#This Row],[Village  Name]],SiteDB6[[Site Name]:[Long]],13,FALSE)</f>
        <v>0</v>
      </c>
      <c r="BZ44" s="645">
        <f>VLOOKUP(WWWW[[#This Row],[Village  Name]],SiteDB6[[Site Name]:[Pcode]],3,FALSE)</f>
        <v>0</v>
      </c>
      <c r="CA44" s="645" t="str">
        <f t="shared" si="1"/>
        <v>Covered</v>
      </c>
      <c r="CB44" s="655"/>
    </row>
    <row r="45" spans="1:80">
      <c r="A45" s="641" t="s">
        <v>3150</v>
      </c>
      <c r="B45" s="641" t="s">
        <v>2994</v>
      </c>
      <c r="C45" s="642"/>
      <c r="D45" s="642" t="s">
        <v>231</v>
      </c>
      <c r="E45" s="643" t="s">
        <v>698</v>
      </c>
      <c r="F45" s="642" t="s">
        <v>3033</v>
      </c>
      <c r="G45" s="644" t="str">
        <f>VLOOKUP(WWWW[[#This Row],[Village  Name]],SiteDB6[[Site Name]:[Location Type]],8,FALSE)</f>
        <v>Village</v>
      </c>
      <c r="H45" s="642" t="s">
        <v>3053</v>
      </c>
      <c r="I45" s="646"/>
      <c r="J45" s="646">
        <v>126</v>
      </c>
      <c r="K45" s="647">
        <v>43258</v>
      </c>
      <c r="L45" s="648">
        <v>43830</v>
      </c>
      <c r="M45" s="646"/>
      <c r="N45" s="646"/>
      <c r="O45" s="524"/>
      <c r="P45" s="646"/>
      <c r="Q45" s="646"/>
      <c r="R45" s="646"/>
      <c r="S45" s="646"/>
      <c r="T45" s="646"/>
      <c r="U45" s="649"/>
      <c r="V45" s="646">
        <v>10</v>
      </c>
      <c r="W45" s="646"/>
      <c r="X45" s="646"/>
      <c r="Y45" s="646"/>
      <c r="Z45" s="646"/>
      <c r="AA45" s="646"/>
      <c r="AB45" s="646"/>
      <c r="AC45" s="649"/>
      <c r="AD45" s="646"/>
      <c r="AE45" s="646"/>
      <c r="AF45" s="646"/>
      <c r="AG45" s="646"/>
      <c r="AH45" s="646"/>
      <c r="AI45" s="646"/>
      <c r="AJ45" s="524"/>
      <c r="AK45" s="646"/>
      <c r="AL45" s="524"/>
      <c r="AM45" s="524"/>
      <c r="AN45" s="649"/>
      <c r="AO45" s="477"/>
      <c r="AP45" s="477"/>
      <c r="AQ45" s="524"/>
      <c r="AR45" s="524"/>
      <c r="AS45" s="524"/>
      <c r="AT45"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5" s="651">
        <f>WWWW[[#This Row],[%Equitable and continuous access to sufficient quantity of safe drinking water]]*WWWW[[#This Row],[Total PoP ]]</f>
        <v>0</v>
      </c>
      <c r="AV45"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5" s="651">
        <f>WWWW[[#This Row],[% Access to unimproved water points]]*WWWW[[#This Row],[Total PoP ]]</f>
        <v>0</v>
      </c>
      <c r="AX45"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5"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5" s="651">
        <f>WWWW[[#This Row],[HRP1]]/250</f>
        <v>0</v>
      </c>
      <c r="BA45" s="653">
        <f>1-WWWW[[#This Row],[% Equitable and continuous access to sufficient quantity of domestic water]]</f>
        <v>1</v>
      </c>
      <c r="BB45" s="651">
        <f>WWWW[[#This Row],[%equitable and continuous access to sufficient quantity of safe drinking and domestic water''s GAP]]*WWWW[[#This Row],[Total PoP ]]</f>
        <v>126</v>
      </c>
      <c r="BC45" s="654">
        <f>IF(WWWW[[#This Row],[Total required water points]]-WWWW[[#This Row],['#Water points coverage]]&lt;0,0,WWWW[[#This Row],[Total required water points]]-WWWW[[#This Row],['#Water points coverage]])</f>
        <v>1</v>
      </c>
      <c r="BD45" s="654">
        <f>ROUND(IF(WWWW[[#This Row],[Total PoP ]]&lt;250,1,WWWW[[#This Row],[Total PoP ]]/250),0)</f>
        <v>1</v>
      </c>
      <c r="BE4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0.47619047619047616</v>
      </c>
      <c r="BF45" s="651">
        <f>WWWW[[#This Row],[% people access to functioning Latrine]]*WWWW[[#This Row],[Total PoP ]]</f>
        <v>60</v>
      </c>
      <c r="BG45" s="654">
        <f>WWWW[[#This Row],['#_of_Functioning_latrines_in_school]]*50</f>
        <v>0</v>
      </c>
      <c r="BH45" s="654">
        <f>ROUND((WWWW[[#This Row],[Total PoP ]]/6),0)</f>
        <v>21</v>
      </c>
      <c r="BI45" s="654">
        <f>IF(WWWW[[#This Row],[Total required Latrines]]-(WWWW[[#This Row],['#_of_sanitary_fly-proof_HH_latrines]])&lt;0,0,WWWW[[#This Row],[Total required Latrines]]-(WWWW[[#This Row],['#_of_sanitary_fly-proof_HH_latrines]]))</f>
        <v>11</v>
      </c>
      <c r="BJ45" s="650">
        <f>1-WWWW[[#This Row],[% people access to functioning Latrine]]</f>
        <v>0.52380952380952384</v>
      </c>
      <c r="BK45"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5" s="483">
        <f>IF(WWWW[[#This Row],['#_of_functional_handwashing_facilities_at_HH_level]]*6&gt;WWWW[[#This Row],[Total PoP ]],WWWW[[#This Row],[Total PoP ]],WWWW[[#This Row],['#_of_functional_handwashing_facilities_at_HH_level]]*6)</f>
        <v>0</v>
      </c>
      <c r="BM45" s="654">
        <f>IF(WWWW[[#This Row],['# people reached by regular dedicated hygiene promotion]]&gt;WWWW[[#This Row],['# People received regular supply of hygiene items]],WWWW[[#This Row],['# people reached by regular dedicated hygiene promotion]],WWWW[[#This Row],['# People received regular supply of hygiene items]])</f>
        <v>0</v>
      </c>
      <c r="BN45" s="653">
        <f>IF(WWWW[[#This Row],[HRP3]]/WWWW[[#This Row],[Total PoP ]]&gt;100%,100%,WWWW[[#This Row],[HRP3]]/WWWW[[#This Row],[Total PoP ]])</f>
        <v>0</v>
      </c>
      <c r="BO45" s="650">
        <f>1-WWWW[[#This Row],[Hygiene Coverage%]]</f>
        <v>1</v>
      </c>
      <c r="BP45" s="652">
        <f>WWWW[[#This Row],['# people reached by regular dedicated hygiene promotion]]/WWWW[[#This Row],[Total PoP ]]</f>
        <v>0</v>
      </c>
      <c r="BQ4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5" s="478">
        <f>WWWW[[#This Row],['#_of_affected_women_and_girls_receiving_a_sufficient_quantity_of_sanitary_pads]]</f>
        <v>0</v>
      </c>
      <c r="BS45" s="524">
        <f>IF(WWWW[[#This Row],['# People with access to soap]]&gt;WWWW[[#This Row],['# People with access to Sanity Pads]],WWWW[[#This Row],['# People with access to soap]],WWWW[[#This Row],['# People with access to Sanity Pads]])</f>
        <v>0</v>
      </c>
      <c r="BT45" s="483" t="str">
        <f>IF(OR(WWWW[[#This Row],['#of students in school]]="",WWWW[[#This Row],['#of students in school]]=0),"No","Yes")</f>
        <v>No</v>
      </c>
      <c r="BU45" s="645" t="str">
        <f>VLOOKUP(WWWW[[#This Row],[Village  Name]],SiteDB6[[Site Name]:[Location Type 1]],9,FALSE)</f>
        <v>Village</v>
      </c>
      <c r="BV45" s="645" t="str">
        <f>VLOOKUP(WWWW[[#This Row],[Village  Name]],SiteDB6[[Site Name]:[Type of Accommodation]],10,FALSE)</f>
        <v>Village</v>
      </c>
      <c r="BW45" s="645">
        <f>VLOOKUP(WWWW[[#This Row],[Village  Name]],SiteDB6[[Site Name]:[Ethnic or GCA/NGCA]],11,FALSE)</f>
        <v>0</v>
      </c>
      <c r="BX45" s="645">
        <f>VLOOKUP(WWWW[[#This Row],[Village  Name]],SiteDB6[[Site Name]:[Lat]],12,FALSE)</f>
        <v>0</v>
      </c>
      <c r="BY45" s="645">
        <f>VLOOKUP(WWWW[[#This Row],[Village  Name]],SiteDB6[[Site Name]:[Long]],13,FALSE)</f>
        <v>0</v>
      </c>
      <c r="BZ45" s="645">
        <f>VLOOKUP(WWWW[[#This Row],[Village  Name]],SiteDB6[[Site Name]:[Pcode]],3,FALSE)</f>
        <v>0</v>
      </c>
      <c r="CA45" s="645" t="str">
        <f t="shared" si="1"/>
        <v>Covered</v>
      </c>
      <c r="CB45" s="655"/>
    </row>
    <row r="46" spans="1:80">
      <c r="A46" s="641" t="s">
        <v>3150</v>
      </c>
      <c r="B46" s="641" t="s">
        <v>2994</v>
      </c>
      <c r="C46" s="642"/>
      <c r="D46" s="642" t="s">
        <v>231</v>
      </c>
      <c r="E46" s="643" t="s">
        <v>698</v>
      </c>
      <c r="F46" s="642" t="s">
        <v>3033</v>
      </c>
      <c r="G46" s="644" t="str">
        <f>VLOOKUP(WWWW[[#This Row],[Village  Name]],SiteDB6[[Site Name]:[Location Type]],8,FALSE)</f>
        <v>Village</v>
      </c>
      <c r="H46" s="642" t="s">
        <v>3054</v>
      </c>
      <c r="I46" s="646"/>
      <c r="J46" s="646">
        <v>179</v>
      </c>
      <c r="K46" s="647">
        <v>43258</v>
      </c>
      <c r="L46" s="648">
        <v>43830</v>
      </c>
      <c r="M46" s="646"/>
      <c r="N46" s="646"/>
      <c r="O46" s="524"/>
      <c r="P46" s="646"/>
      <c r="Q46" s="646"/>
      <c r="R46" s="646"/>
      <c r="S46" s="646"/>
      <c r="T46" s="646"/>
      <c r="U46" s="649"/>
      <c r="V46" s="646">
        <v>11</v>
      </c>
      <c r="W46" s="646"/>
      <c r="X46" s="646"/>
      <c r="Y46" s="646"/>
      <c r="Z46" s="646"/>
      <c r="AA46" s="646"/>
      <c r="AB46" s="646"/>
      <c r="AC46" s="649"/>
      <c r="AD46" s="646"/>
      <c r="AE46" s="646"/>
      <c r="AF46" s="646"/>
      <c r="AG46" s="646"/>
      <c r="AH46" s="646"/>
      <c r="AI46" s="646"/>
      <c r="AJ46" s="524"/>
      <c r="AK46" s="646"/>
      <c r="AL46" s="524"/>
      <c r="AM46" s="524"/>
      <c r="AN46" s="649"/>
      <c r="AO46" s="477"/>
      <c r="AP46" s="477"/>
      <c r="AQ46" s="524"/>
      <c r="AR46" s="524"/>
      <c r="AS46" s="524"/>
      <c r="AT46"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6" s="651">
        <f>WWWW[[#This Row],[%Equitable and continuous access to sufficient quantity of safe drinking water]]*WWWW[[#This Row],[Total PoP ]]</f>
        <v>0</v>
      </c>
      <c r="AV46"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6" s="651">
        <f>WWWW[[#This Row],[% Access to unimproved water points]]*WWWW[[#This Row],[Total PoP ]]</f>
        <v>0</v>
      </c>
      <c r="AX46"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6"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6" s="651">
        <f>WWWW[[#This Row],[HRP1]]/250</f>
        <v>0</v>
      </c>
      <c r="BA46" s="653">
        <f>1-WWWW[[#This Row],[% Equitable and continuous access to sufficient quantity of domestic water]]</f>
        <v>1</v>
      </c>
      <c r="BB46" s="651">
        <f>WWWW[[#This Row],[%equitable and continuous access to sufficient quantity of safe drinking and domestic water''s GAP]]*WWWW[[#This Row],[Total PoP ]]</f>
        <v>179</v>
      </c>
      <c r="BC46" s="654">
        <f>IF(WWWW[[#This Row],[Total required water points]]-WWWW[[#This Row],['#Water points coverage]]&lt;0,0,WWWW[[#This Row],[Total required water points]]-WWWW[[#This Row],['#Water points coverage]])</f>
        <v>1</v>
      </c>
      <c r="BD46" s="654">
        <f>ROUND(IF(WWWW[[#This Row],[Total PoP ]]&lt;250,1,WWWW[[#This Row],[Total PoP ]]/250),0)</f>
        <v>1</v>
      </c>
      <c r="BE4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0.36871508379888268</v>
      </c>
      <c r="BF46" s="651">
        <f>WWWW[[#This Row],[% people access to functioning Latrine]]*WWWW[[#This Row],[Total PoP ]]</f>
        <v>66</v>
      </c>
      <c r="BG46" s="654">
        <f>WWWW[[#This Row],['#_of_Functioning_latrines_in_school]]*50</f>
        <v>0</v>
      </c>
      <c r="BH46" s="654">
        <f>ROUND((WWWW[[#This Row],[Total PoP ]]/6),0)</f>
        <v>30</v>
      </c>
      <c r="BI46" s="654">
        <f>IF(WWWW[[#This Row],[Total required Latrines]]-(WWWW[[#This Row],['#_of_sanitary_fly-proof_HH_latrines]])&lt;0,0,WWWW[[#This Row],[Total required Latrines]]-(WWWW[[#This Row],['#_of_sanitary_fly-proof_HH_latrines]]))</f>
        <v>19</v>
      </c>
      <c r="BJ46" s="650">
        <f>1-WWWW[[#This Row],[% people access to functioning Latrine]]</f>
        <v>0.63128491620111737</v>
      </c>
      <c r="BK46"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6" s="483">
        <f>IF(WWWW[[#This Row],['#_of_functional_handwashing_facilities_at_HH_level]]*6&gt;WWWW[[#This Row],[Total PoP ]],WWWW[[#This Row],[Total PoP ]],WWWW[[#This Row],['#_of_functional_handwashing_facilities_at_HH_level]]*6)</f>
        <v>0</v>
      </c>
      <c r="BM46" s="654">
        <f>IF(WWWW[[#This Row],['# people reached by regular dedicated hygiene promotion]]&gt;WWWW[[#This Row],['# People received regular supply of hygiene items]],WWWW[[#This Row],['# people reached by regular dedicated hygiene promotion]],WWWW[[#This Row],['# People received regular supply of hygiene items]])</f>
        <v>0</v>
      </c>
      <c r="BN46" s="653">
        <f>IF(WWWW[[#This Row],[HRP3]]/WWWW[[#This Row],[Total PoP ]]&gt;100%,100%,WWWW[[#This Row],[HRP3]]/WWWW[[#This Row],[Total PoP ]])</f>
        <v>0</v>
      </c>
      <c r="BO46" s="650">
        <f>1-WWWW[[#This Row],[Hygiene Coverage%]]</f>
        <v>1</v>
      </c>
      <c r="BP46" s="652">
        <f>WWWW[[#This Row],['# people reached by regular dedicated hygiene promotion]]/WWWW[[#This Row],[Total PoP ]]</f>
        <v>0</v>
      </c>
      <c r="BQ4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6" s="478">
        <f>WWWW[[#This Row],['#_of_affected_women_and_girls_receiving_a_sufficient_quantity_of_sanitary_pads]]</f>
        <v>0</v>
      </c>
      <c r="BS46" s="524">
        <f>IF(WWWW[[#This Row],['# People with access to soap]]&gt;WWWW[[#This Row],['# People with access to Sanity Pads]],WWWW[[#This Row],['# People with access to soap]],WWWW[[#This Row],['# People with access to Sanity Pads]])</f>
        <v>0</v>
      </c>
      <c r="BT46" s="483" t="str">
        <f>IF(OR(WWWW[[#This Row],['#of students in school]]="",WWWW[[#This Row],['#of students in school]]=0),"No","Yes")</f>
        <v>No</v>
      </c>
      <c r="BU46" s="645" t="str">
        <f>VLOOKUP(WWWW[[#This Row],[Village  Name]],SiteDB6[[Site Name]:[Location Type 1]],9,FALSE)</f>
        <v>Village</v>
      </c>
      <c r="BV46" s="645" t="str">
        <f>VLOOKUP(WWWW[[#This Row],[Village  Name]],SiteDB6[[Site Name]:[Type of Accommodation]],10,FALSE)</f>
        <v>Village</v>
      </c>
      <c r="BW46" s="645">
        <f>VLOOKUP(WWWW[[#This Row],[Village  Name]],SiteDB6[[Site Name]:[Ethnic or GCA/NGCA]],11,FALSE)</f>
        <v>0</v>
      </c>
      <c r="BX46" s="645">
        <f>VLOOKUP(WWWW[[#This Row],[Village  Name]],SiteDB6[[Site Name]:[Lat]],12,FALSE)</f>
        <v>0</v>
      </c>
      <c r="BY46" s="645">
        <f>VLOOKUP(WWWW[[#This Row],[Village  Name]],SiteDB6[[Site Name]:[Long]],13,FALSE)</f>
        <v>0</v>
      </c>
      <c r="BZ46" s="645">
        <f>VLOOKUP(WWWW[[#This Row],[Village  Name]],SiteDB6[[Site Name]:[Pcode]],3,FALSE)</f>
        <v>0</v>
      </c>
      <c r="CA46" s="645" t="str">
        <f t="shared" si="1"/>
        <v>Covered</v>
      </c>
      <c r="CB46" s="655"/>
    </row>
    <row r="47" spans="1:80">
      <c r="A47" s="641" t="s">
        <v>3150</v>
      </c>
      <c r="B47" s="641" t="s">
        <v>2994</v>
      </c>
      <c r="C47" s="642"/>
      <c r="D47" s="642" t="s">
        <v>231</v>
      </c>
      <c r="E47" s="643" t="s">
        <v>698</v>
      </c>
      <c r="F47" s="642" t="s">
        <v>3033</v>
      </c>
      <c r="G47" s="644" t="str">
        <f>VLOOKUP(WWWW[[#This Row],[Village  Name]],SiteDB6[[Site Name]:[Location Type]],8,FALSE)</f>
        <v>Village</v>
      </c>
      <c r="H47" s="642" t="s">
        <v>3055</v>
      </c>
      <c r="I47" s="646"/>
      <c r="J47" s="646">
        <v>113</v>
      </c>
      <c r="K47" s="647">
        <v>43258</v>
      </c>
      <c r="L47" s="648">
        <v>43830</v>
      </c>
      <c r="M47" s="646"/>
      <c r="N47" s="646"/>
      <c r="O47" s="524"/>
      <c r="P47" s="646"/>
      <c r="Q47" s="646"/>
      <c r="R47" s="646"/>
      <c r="S47" s="646"/>
      <c r="T47" s="646"/>
      <c r="U47" s="649"/>
      <c r="V47" s="646"/>
      <c r="W47" s="646"/>
      <c r="X47" s="646"/>
      <c r="Y47" s="646"/>
      <c r="Z47" s="646"/>
      <c r="AA47" s="646"/>
      <c r="AB47" s="646"/>
      <c r="AC47" s="649"/>
      <c r="AD47" s="646"/>
      <c r="AE47" s="646"/>
      <c r="AF47" s="646"/>
      <c r="AG47" s="646"/>
      <c r="AH47" s="646"/>
      <c r="AI47" s="646"/>
      <c r="AJ47" s="524"/>
      <c r="AK47" s="646"/>
      <c r="AL47" s="524"/>
      <c r="AM47" s="524"/>
      <c r="AN47" s="649"/>
      <c r="AO47" s="477"/>
      <c r="AP47" s="477"/>
      <c r="AQ47" s="524"/>
      <c r="AR47" s="524"/>
      <c r="AS47" s="524"/>
      <c r="AT47"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7" s="651">
        <f>WWWW[[#This Row],[%Equitable and continuous access to sufficient quantity of safe drinking water]]*WWWW[[#This Row],[Total PoP ]]</f>
        <v>0</v>
      </c>
      <c r="AV47"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7" s="651">
        <f>WWWW[[#This Row],[% Access to unimproved water points]]*WWWW[[#This Row],[Total PoP ]]</f>
        <v>0</v>
      </c>
      <c r="AX47"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7"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7" s="651">
        <f>WWWW[[#This Row],[HRP1]]/250</f>
        <v>0</v>
      </c>
      <c r="BA47" s="653">
        <f>1-WWWW[[#This Row],[% Equitable and continuous access to sufficient quantity of domestic water]]</f>
        <v>1</v>
      </c>
      <c r="BB47" s="651">
        <f>WWWW[[#This Row],[%equitable and continuous access to sufficient quantity of safe drinking and domestic water''s GAP]]*WWWW[[#This Row],[Total PoP ]]</f>
        <v>113</v>
      </c>
      <c r="BC47" s="654">
        <f>IF(WWWW[[#This Row],[Total required water points]]-WWWW[[#This Row],['#Water points coverage]]&lt;0,0,WWWW[[#This Row],[Total required water points]]-WWWW[[#This Row],['#Water points coverage]])</f>
        <v>1</v>
      </c>
      <c r="BD47" s="654">
        <f>ROUND(IF(WWWW[[#This Row],[Total PoP ]]&lt;250,1,WWWW[[#This Row],[Total PoP ]]/250),0)</f>
        <v>1</v>
      </c>
      <c r="BE4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47" s="651">
        <f>WWWW[[#This Row],[% people access to functioning Latrine]]*WWWW[[#This Row],[Total PoP ]]</f>
        <v>0</v>
      </c>
      <c r="BG47" s="654">
        <f>WWWW[[#This Row],['#_of_Functioning_latrines_in_school]]*50</f>
        <v>0</v>
      </c>
      <c r="BH47" s="654">
        <f>ROUND((WWWW[[#This Row],[Total PoP ]]/6),0)</f>
        <v>19</v>
      </c>
      <c r="BI47" s="654">
        <f>IF(WWWW[[#This Row],[Total required Latrines]]-(WWWW[[#This Row],['#_of_sanitary_fly-proof_HH_latrines]])&lt;0,0,WWWW[[#This Row],[Total required Latrines]]-(WWWW[[#This Row],['#_of_sanitary_fly-proof_HH_latrines]]))</f>
        <v>19</v>
      </c>
      <c r="BJ47" s="650">
        <f>1-WWWW[[#This Row],[% people access to functioning Latrine]]</f>
        <v>1</v>
      </c>
      <c r="BK47"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7" s="483">
        <f>IF(WWWW[[#This Row],['#_of_functional_handwashing_facilities_at_HH_level]]*6&gt;WWWW[[#This Row],[Total PoP ]],WWWW[[#This Row],[Total PoP ]],WWWW[[#This Row],['#_of_functional_handwashing_facilities_at_HH_level]]*6)</f>
        <v>0</v>
      </c>
      <c r="BM47" s="654">
        <f>IF(WWWW[[#This Row],['# people reached by regular dedicated hygiene promotion]]&gt;WWWW[[#This Row],['# People received regular supply of hygiene items]],WWWW[[#This Row],['# people reached by regular dedicated hygiene promotion]],WWWW[[#This Row],['# People received regular supply of hygiene items]])</f>
        <v>0</v>
      </c>
      <c r="BN47" s="653">
        <f>IF(WWWW[[#This Row],[HRP3]]/WWWW[[#This Row],[Total PoP ]]&gt;100%,100%,WWWW[[#This Row],[HRP3]]/WWWW[[#This Row],[Total PoP ]])</f>
        <v>0</v>
      </c>
      <c r="BO47" s="650">
        <f>1-WWWW[[#This Row],[Hygiene Coverage%]]</f>
        <v>1</v>
      </c>
      <c r="BP47" s="652">
        <f>WWWW[[#This Row],['# people reached by regular dedicated hygiene promotion]]/WWWW[[#This Row],[Total PoP ]]</f>
        <v>0</v>
      </c>
      <c r="BQ4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7" s="478">
        <f>WWWW[[#This Row],['#_of_affected_women_and_girls_receiving_a_sufficient_quantity_of_sanitary_pads]]</f>
        <v>0</v>
      </c>
      <c r="BS47" s="524">
        <f>IF(WWWW[[#This Row],['# People with access to soap]]&gt;WWWW[[#This Row],['# People with access to Sanity Pads]],WWWW[[#This Row],['# People with access to soap]],WWWW[[#This Row],['# People with access to Sanity Pads]])</f>
        <v>0</v>
      </c>
      <c r="BT47" s="483" t="str">
        <f>IF(OR(WWWW[[#This Row],['#of students in school]]="",WWWW[[#This Row],['#of students in school]]=0),"No","Yes")</f>
        <v>No</v>
      </c>
      <c r="BU47" s="645" t="str">
        <f>VLOOKUP(WWWW[[#This Row],[Village  Name]],SiteDB6[[Site Name]:[Location Type 1]],9,FALSE)</f>
        <v>Village</v>
      </c>
      <c r="BV47" s="645" t="str">
        <f>VLOOKUP(WWWW[[#This Row],[Village  Name]],SiteDB6[[Site Name]:[Type of Accommodation]],10,FALSE)</f>
        <v>Village</v>
      </c>
      <c r="BW47" s="645">
        <f>VLOOKUP(WWWW[[#This Row],[Village  Name]],SiteDB6[[Site Name]:[Ethnic or GCA/NGCA]],11,FALSE)</f>
        <v>0</v>
      </c>
      <c r="BX47" s="645">
        <f>VLOOKUP(WWWW[[#This Row],[Village  Name]],SiteDB6[[Site Name]:[Lat]],12,FALSE)</f>
        <v>0</v>
      </c>
      <c r="BY47" s="645">
        <f>VLOOKUP(WWWW[[#This Row],[Village  Name]],SiteDB6[[Site Name]:[Long]],13,FALSE)</f>
        <v>0</v>
      </c>
      <c r="BZ47" s="645">
        <f>VLOOKUP(WWWW[[#This Row],[Village  Name]],SiteDB6[[Site Name]:[Pcode]],3,FALSE)</f>
        <v>0</v>
      </c>
      <c r="CA47" s="645" t="str">
        <f t="shared" si="1"/>
        <v>Covered</v>
      </c>
      <c r="CB47" s="655"/>
    </row>
    <row r="48" spans="1:80">
      <c r="A48" s="641" t="s">
        <v>3150</v>
      </c>
      <c r="B48" s="641" t="s">
        <v>2994</v>
      </c>
      <c r="C48" s="642"/>
      <c r="D48" s="642" t="s">
        <v>231</v>
      </c>
      <c r="E48" s="643" t="s">
        <v>698</v>
      </c>
      <c r="F48" s="642" t="s">
        <v>3033</v>
      </c>
      <c r="G48" s="644" t="str">
        <f>VLOOKUP(WWWW[[#This Row],[Village  Name]],SiteDB6[[Site Name]:[Location Type]],8,FALSE)</f>
        <v>Village</v>
      </c>
      <c r="H48" s="642" t="s">
        <v>3056</v>
      </c>
      <c r="I48" s="646"/>
      <c r="J48" s="646">
        <v>166</v>
      </c>
      <c r="K48" s="647">
        <v>43258</v>
      </c>
      <c r="L48" s="648">
        <v>43830</v>
      </c>
      <c r="M48" s="646"/>
      <c r="N48" s="646"/>
      <c r="O48" s="524"/>
      <c r="P48" s="646"/>
      <c r="Q48" s="646"/>
      <c r="R48" s="646"/>
      <c r="S48" s="646"/>
      <c r="T48" s="646"/>
      <c r="U48" s="649"/>
      <c r="V48" s="646">
        <v>11</v>
      </c>
      <c r="W48" s="646"/>
      <c r="X48" s="646"/>
      <c r="Y48" s="646"/>
      <c r="Z48" s="646"/>
      <c r="AA48" s="646"/>
      <c r="AB48" s="646"/>
      <c r="AC48" s="649"/>
      <c r="AD48" s="646"/>
      <c r="AE48" s="646"/>
      <c r="AF48" s="646"/>
      <c r="AG48" s="646"/>
      <c r="AH48" s="646"/>
      <c r="AI48" s="646"/>
      <c r="AJ48" s="524"/>
      <c r="AK48" s="646"/>
      <c r="AL48" s="524"/>
      <c r="AM48" s="524"/>
      <c r="AN48" s="649"/>
      <c r="AO48" s="477"/>
      <c r="AP48" s="477"/>
      <c r="AQ48" s="524"/>
      <c r="AR48" s="524"/>
      <c r="AS48" s="524"/>
      <c r="AT48"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8" s="651">
        <f>WWWW[[#This Row],[%Equitable and continuous access to sufficient quantity of safe drinking water]]*WWWW[[#This Row],[Total PoP ]]</f>
        <v>0</v>
      </c>
      <c r="AV48"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8" s="651">
        <f>WWWW[[#This Row],[% Access to unimproved water points]]*WWWW[[#This Row],[Total PoP ]]</f>
        <v>0</v>
      </c>
      <c r="AX48"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8"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8" s="651">
        <f>WWWW[[#This Row],[HRP1]]/250</f>
        <v>0</v>
      </c>
      <c r="BA48" s="653">
        <f>1-WWWW[[#This Row],[% Equitable and continuous access to sufficient quantity of domestic water]]</f>
        <v>1</v>
      </c>
      <c r="BB48" s="651">
        <f>WWWW[[#This Row],[%equitable and continuous access to sufficient quantity of safe drinking and domestic water''s GAP]]*WWWW[[#This Row],[Total PoP ]]</f>
        <v>166</v>
      </c>
      <c r="BC48" s="654">
        <f>IF(WWWW[[#This Row],[Total required water points]]-WWWW[[#This Row],['#Water points coverage]]&lt;0,0,WWWW[[#This Row],[Total required water points]]-WWWW[[#This Row],['#Water points coverage]])</f>
        <v>1</v>
      </c>
      <c r="BD48" s="654">
        <f>ROUND(IF(WWWW[[#This Row],[Total PoP ]]&lt;250,1,WWWW[[#This Row],[Total PoP ]]/250),0)</f>
        <v>1</v>
      </c>
      <c r="BE4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0.39759036144578314</v>
      </c>
      <c r="BF48" s="651">
        <f>WWWW[[#This Row],[% people access to functioning Latrine]]*WWWW[[#This Row],[Total PoP ]]</f>
        <v>66</v>
      </c>
      <c r="BG48" s="654">
        <f>WWWW[[#This Row],['#_of_Functioning_latrines_in_school]]*50</f>
        <v>0</v>
      </c>
      <c r="BH48" s="654">
        <f>ROUND((WWWW[[#This Row],[Total PoP ]]/6),0)</f>
        <v>28</v>
      </c>
      <c r="BI48" s="654">
        <f>IF(WWWW[[#This Row],[Total required Latrines]]-(WWWW[[#This Row],['#_of_sanitary_fly-proof_HH_latrines]])&lt;0,0,WWWW[[#This Row],[Total required Latrines]]-(WWWW[[#This Row],['#_of_sanitary_fly-proof_HH_latrines]]))</f>
        <v>17</v>
      </c>
      <c r="BJ48" s="650">
        <f>1-WWWW[[#This Row],[% people access to functioning Latrine]]</f>
        <v>0.60240963855421681</v>
      </c>
      <c r="BK48"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8" s="483">
        <f>IF(WWWW[[#This Row],['#_of_functional_handwashing_facilities_at_HH_level]]*6&gt;WWWW[[#This Row],[Total PoP ]],WWWW[[#This Row],[Total PoP ]],WWWW[[#This Row],['#_of_functional_handwashing_facilities_at_HH_level]]*6)</f>
        <v>0</v>
      </c>
      <c r="BM48" s="654">
        <f>IF(WWWW[[#This Row],['# people reached by regular dedicated hygiene promotion]]&gt;WWWW[[#This Row],['# People received regular supply of hygiene items]],WWWW[[#This Row],['# people reached by regular dedicated hygiene promotion]],WWWW[[#This Row],['# People received regular supply of hygiene items]])</f>
        <v>0</v>
      </c>
      <c r="BN48" s="653">
        <f>IF(WWWW[[#This Row],[HRP3]]/WWWW[[#This Row],[Total PoP ]]&gt;100%,100%,WWWW[[#This Row],[HRP3]]/WWWW[[#This Row],[Total PoP ]])</f>
        <v>0</v>
      </c>
      <c r="BO48" s="650">
        <f>1-WWWW[[#This Row],[Hygiene Coverage%]]</f>
        <v>1</v>
      </c>
      <c r="BP48" s="652">
        <f>WWWW[[#This Row],['# people reached by regular dedicated hygiene promotion]]/WWWW[[#This Row],[Total PoP ]]</f>
        <v>0</v>
      </c>
      <c r="BQ4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8" s="478">
        <f>WWWW[[#This Row],['#_of_affected_women_and_girls_receiving_a_sufficient_quantity_of_sanitary_pads]]</f>
        <v>0</v>
      </c>
      <c r="BS48" s="524">
        <f>IF(WWWW[[#This Row],['# People with access to soap]]&gt;WWWW[[#This Row],['# People with access to Sanity Pads]],WWWW[[#This Row],['# People with access to soap]],WWWW[[#This Row],['# People with access to Sanity Pads]])</f>
        <v>0</v>
      </c>
      <c r="BT48" s="483" t="str">
        <f>IF(OR(WWWW[[#This Row],['#of students in school]]="",WWWW[[#This Row],['#of students in school]]=0),"No","Yes")</f>
        <v>No</v>
      </c>
      <c r="BU48" s="645" t="str">
        <f>VLOOKUP(WWWW[[#This Row],[Village  Name]],SiteDB6[[Site Name]:[Location Type 1]],9,FALSE)</f>
        <v>Village</v>
      </c>
      <c r="BV48" s="645" t="str">
        <f>VLOOKUP(WWWW[[#This Row],[Village  Name]],SiteDB6[[Site Name]:[Type of Accommodation]],10,FALSE)</f>
        <v>Village</v>
      </c>
      <c r="BW48" s="645">
        <f>VLOOKUP(WWWW[[#This Row],[Village  Name]],SiteDB6[[Site Name]:[Ethnic or GCA/NGCA]],11,FALSE)</f>
        <v>0</v>
      </c>
      <c r="BX48" s="645">
        <f>VLOOKUP(WWWW[[#This Row],[Village  Name]],SiteDB6[[Site Name]:[Lat]],12,FALSE)</f>
        <v>0</v>
      </c>
      <c r="BY48" s="645">
        <f>VLOOKUP(WWWW[[#This Row],[Village  Name]],SiteDB6[[Site Name]:[Long]],13,FALSE)</f>
        <v>0</v>
      </c>
      <c r="BZ48" s="645">
        <f>VLOOKUP(WWWW[[#This Row],[Village  Name]],SiteDB6[[Site Name]:[Pcode]],3,FALSE)</f>
        <v>0</v>
      </c>
      <c r="CA48" s="645" t="str">
        <f t="shared" si="1"/>
        <v>Covered</v>
      </c>
      <c r="CB48" s="655"/>
    </row>
    <row r="49" spans="1:80">
      <c r="A49" s="641" t="s">
        <v>3150</v>
      </c>
      <c r="B49" s="641" t="s">
        <v>2994</v>
      </c>
      <c r="C49" s="642"/>
      <c r="D49" s="642" t="s">
        <v>231</v>
      </c>
      <c r="E49" s="643" t="s">
        <v>698</v>
      </c>
      <c r="F49" s="642" t="s">
        <v>3033</v>
      </c>
      <c r="G49" s="644" t="str">
        <f>VLOOKUP(WWWW[[#This Row],[Village  Name]],SiteDB6[[Site Name]:[Location Type]],8,FALSE)</f>
        <v>Village</v>
      </c>
      <c r="H49" s="642" t="s">
        <v>3057</v>
      </c>
      <c r="I49" s="646"/>
      <c r="J49" s="646">
        <v>119</v>
      </c>
      <c r="K49" s="647">
        <v>43258</v>
      </c>
      <c r="L49" s="648">
        <v>43830</v>
      </c>
      <c r="M49" s="646"/>
      <c r="N49" s="646"/>
      <c r="O49" s="524"/>
      <c r="P49" s="646"/>
      <c r="Q49" s="646"/>
      <c r="R49" s="646"/>
      <c r="S49" s="646"/>
      <c r="T49" s="646"/>
      <c r="U49" s="649"/>
      <c r="V49" s="646">
        <v>14</v>
      </c>
      <c r="W49" s="646"/>
      <c r="X49" s="646"/>
      <c r="Y49" s="646"/>
      <c r="Z49" s="646"/>
      <c r="AA49" s="646"/>
      <c r="AB49" s="646"/>
      <c r="AC49" s="649"/>
      <c r="AD49" s="646"/>
      <c r="AE49" s="646"/>
      <c r="AF49" s="646"/>
      <c r="AG49" s="646"/>
      <c r="AH49" s="646"/>
      <c r="AI49" s="646"/>
      <c r="AJ49" s="524"/>
      <c r="AK49" s="646"/>
      <c r="AL49" s="524"/>
      <c r="AM49" s="524"/>
      <c r="AN49" s="649"/>
      <c r="AO49" s="477"/>
      <c r="AP49" s="477"/>
      <c r="AQ49" s="524"/>
      <c r="AR49" s="524"/>
      <c r="AS49" s="524"/>
      <c r="AT49"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9" s="651">
        <f>WWWW[[#This Row],[%Equitable and continuous access to sufficient quantity of safe drinking water]]*WWWW[[#This Row],[Total PoP ]]</f>
        <v>0</v>
      </c>
      <c r="AV49"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9" s="651">
        <f>WWWW[[#This Row],[% Access to unimproved water points]]*WWWW[[#This Row],[Total PoP ]]</f>
        <v>0</v>
      </c>
      <c r="AX49"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9"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9" s="651">
        <f>WWWW[[#This Row],[HRP1]]/250</f>
        <v>0</v>
      </c>
      <c r="BA49" s="653">
        <f>1-WWWW[[#This Row],[% Equitable and continuous access to sufficient quantity of domestic water]]</f>
        <v>1</v>
      </c>
      <c r="BB49" s="651">
        <f>WWWW[[#This Row],[%equitable and continuous access to sufficient quantity of safe drinking and domestic water''s GAP]]*WWWW[[#This Row],[Total PoP ]]</f>
        <v>119</v>
      </c>
      <c r="BC49" s="654">
        <f>IF(WWWW[[#This Row],[Total required water points]]-WWWW[[#This Row],['#Water points coverage]]&lt;0,0,WWWW[[#This Row],[Total required water points]]-WWWW[[#This Row],['#Water points coverage]])</f>
        <v>1</v>
      </c>
      <c r="BD49" s="654">
        <f>ROUND(IF(WWWW[[#This Row],[Total PoP ]]&lt;250,1,WWWW[[#This Row],[Total PoP ]]/250),0)</f>
        <v>1</v>
      </c>
      <c r="BE4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0.70588235294117652</v>
      </c>
      <c r="BF49" s="651">
        <f>WWWW[[#This Row],[% people access to functioning Latrine]]*WWWW[[#This Row],[Total PoP ]]</f>
        <v>84</v>
      </c>
      <c r="BG49" s="654">
        <f>WWWW[[#This Row],['#_of_Functioning_latrines_in_school]]*50</f>
        <v>0</v>
      </c>
      <c r="BH49" s="654">
        <f>ROUND((WWWW[[#This Row],[Total PoP ]]/6),0)</f>
        <v>20</v>
      </c>
      <c r="BI49" s="654">
        <f>IF(WWWW[[#This Row],[Total required Latrines]]-(WWWW[[#This Row],['#_of_sanitary_fly-proof_HH_latrines]])&lt;0,0,WWWW[[#This Row],[Total required Latrines]]-(WWWW[[#This Row],['#_of_sanitary_fly-proof_HH_latrines]]))</f>
        <v>6</v>
      </c>
      <c r="BJ49" s="650">
        <f>1-WWWW[[#This Row],[% people access to functioning Latrine]]</f>
        <v>0.29411764705882348</v>
      </c>
      <c r="BK49"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9" s="483">
        <f>IF(WWWW[[#This Row],['#_of_functional_handwashing_facilities_at_HH_level]]*6&gt;WWWW[[#This Row],[Total PoP ]],WWWW[[#This Row],[Total PoP ]],WWWW[[#This Row],['#_of_functional_handwashing_facilities_at_HH_level]]*6)</f>
        <v>0</v>
      </c>
      <c r="BM49" s="654">
        <f>IF(WWWW[[#This Row],['# people reached by regular dedicated hygiene promotion]]&gt;WWWW[[#This Row],['# People received regular supply of hygiene items]],WWWW[[#This Row],['# people reached by regular dedicated hygiene promotion]],WWWW[[#This Row],['# People received regular supply of hygiene items]])</f>
        <v>0</v>
      </c>
      <c r="BN49" s="653">
        <f>IF(WWWW[[#This Row],[HRP3]]/WWWW[[#This Row],[Total PoP ]]&gt;100%,100%,WWWW[[#This Row],[HRP3]]/WWWW[[#This Row],[Total PoP ]])</f>
        <v>0</v>
      </c>
      <c r="BO49" s="650">
        <f>1-WWWW[[#This Row],[Hygiene Coverage%]]</f>
        <v>1</v>
      </c>
      <c r="BP49" s="652">
        <f>WWWW[[#This Row],['# people reached by regular dedicated hygiene promotion]]/WWWW[[#This Row],[Total PoP ]]</f>
        <v>0</v>
      </c>
      <c r="BQ4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9" s="478">
        <f>WWWW[[#This Row],['#_of_affected_women_and_girls_receiving_a_sufficient_quantity_of_sanitary_pads]]</f>
        <v>0</v>
      </c>
      <c r="BS49" s="524">
        <f>IF(WWWW[[#This Row],['# People with access to soap]]&gt;WWWW[[#This Row],['# People with access to Sanity Pads]],WWWW[[#This Row],['# People with access to soap]],WWWW[[#This Row],['# People with access to Sanity Pads]])</f>
        <v>0</v>
      </c>
      <c r="BT49" s="483" t="str">
        <f>IF(OR(WWWW[[#This Row],['#of students in school]]="",WWWW[[#This Row],['#of students in school]]=0),"No","Yes")</f>
        <v>No</v>
      </c>
      <c r="BU49" s="645" t="str">
        <f>VLOOKUP(WWWW[[#This Row],[Village  Name]],SiteDB6[[Site Name]:[Location Type 1]],9,FALSE)</f>
        <v>Village</v>
      </c>
      <c r="BV49" s="645" t="str">
        <f>VLOOKUP(WWWW[[#This Row],[Village  Name]],SiteDB6[[Site Name]:[Type of Accommodation]],10,FALSE)</f>
        <v>Village</v>
      </c>
      <c r="BW49" s="645">
        <f>VLOOKUP(WWWW[[#This Row],[Village  Name]],SiteDB6[[Site Name]:[Ethnic or GCA/NGCA]],11,FALSE)</f>
        <v>0</v>
      </c>
      <c r="BX49" s="645">
        <f>VLOOKUP(WWWW[[#This Row],[Village  Name]],SiteDB6[[Site Name]:[Lat]],12,FALSE)</f>
        <v>0</v>
      </c>
      <c r="BY49" s="645">
        <f>VLOOKUP(WWWW[[#This Row],[Village  Name]],SiteDB6[[Site Name]:[Long]],13,FALSE)</f>
        <v>0</v>
      </c>
      <c r="BZ49" s="645">
        <f>VLOOKUP(WWWW[[#This Row],[Village  Name]],SiteDB6[[Site Name]:[Pcode]],3,FALSE)</f>
        <v>0</v>
      </c>
      <c r="CA49" s="645" t="str">
        <f t="shared" si="1"/>
        <v>Covered</v>
      </c>
      <c r="CB49" s="655"/>
    </row>
    <row r="50" spans="1:80">
      <c r="A50" s="641" t="s">
        <v>3150</v>
      </c>
      <c r="B50" s="641" t="s">
        <v>2994</v>
      </c>
      <c r="C50" s="642"/>
      <c r="D50" s="642" t="s">
        <v>231</v>
      </c>
      <c r="E50" s="643" t="s">
        <v>698</v>
      </c>
      <c r="F50" s="642" t="s">
        <v>3033</v>
      </c>
      <c r="G50" s="644" t="str">
        <f>VLOOKUP(WWWW[[#This Row],[Village  Name]],SiteDB6[[Site Name]:[Location Type]],8,FALSE)</f>
        <v>Village</v>
      </c>
      <c r="H50" s="642" t="s">
        <v>3058</v>
      </c>
      <c r="I50" s="646"/>
      <c r="J50" s="646">
        <v>303</v>
      </c>
      <c r="K50" s="647">
        <v>43258</v>
      </c>
      <c r="L50" s="648">
        <v>43830</v>
      </c>
      <c r="M50" s="646"/>
      <c r="N50" s="646"/>
      <c r="O50" s="524"/>
      <c r="P50" s="646"/>
      <c r="Q50" s="646"/>
      <c r="R50" s="646"/>
      <c r="S50" s="646"/>
      <c r="T50" s="646"/>
      <c r="U50" s="649"/>
      <c r="V50" s="646">
        <v>34</v>
      </c>
      <c r="W50" s="646"/>
      <c r="X50" s="646"/>
      <c r="Y50" s="646"/>
      <c r="Z50" s="646"/>
      <c r="AA50" s="646"/>
      <c r="AB50" s="646"/>
      <c r="AC50" s="649"/>
      <c r="AD50" s="646"/>
      <c r="AE50" s="646"/>
      <c r="AF50" s="646"/>
      <c r="AG50" s="646"/>
      <c r="AH50" s="646"/>
      <c r="AI50" s="646"/>
      <c r="AJ50" s="524"/>
      <c r="AK50" s="646"/>
      <c r="AL50" s="524"/>
      <c r="AM50" s="524"/>
      <c r="AN50" s="649"/>
      <c r="AO50" s="477"/>
      <c r="AP50" s="477"/>
      <c r="AQ50" s="524"/>
      <c r="AR50" s="524"/>
      <c r="AS50" s="524"/>
      <c r="AT50"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50" s="651">
        <f>WWWW[[#This Row],[%Equitable and continuous access to sufficient quantity of safe drinking water]]*WWWW[[#This Row],[Total PoP ]]</f>
        <v>0</v>
      </c>
      <c r="AV50"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50" s="651">
        <f>WWWW[[#This Row],[% Access to unimproved water points]]*WWWW[[#This Row],[Total PoP ]]</f>
        <v>0</v>
      </c>
      <c r="AX50"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50"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50" s="651">
        <f>WWWW[[#This Row],[HRP1]]/250</f>
        <v>0</v>
      </c>
      <c r="BA50" s="653">
        <f>1-WWWW[[#This Row],[% Equitable and continuous access to sufficient quantity of domestic water]]</f>
        <v>1</v>
      </c>
      <c r="BB50" s="651">
        <f>WWWW[[#This Row],[%equitable and continuous access to sufficient quantity of safe drinking and domestic water''s GAP]]*WWWW[[#This Row],[Total PoP ]]</f>
        <v>303</v>
      </c>
      <c r="BC50" s="654">
        <f>IF(WWWW[[#This Row],[Total required water points]]-WWWW[[#This Row],['#Water points coverage]]&lt;0,0,WWWW[[#This Row],[Total required water points]]-WWWW[[#This Row],['#Water points coverage]])</f>
        <v>1</v>
      </c>
      <c r="BD50" s="654">
        <f>ROUND(IF(WWWW[[#This Row],[Total PoP ]]&lt;250,1,WWWW[[#This Row],[Total PoP ]]/250),0)</f>
        <v>1</v>
      </c>
      <c r="BE5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0.67326732673267331</v>
      </c>
      <c r="BF50" s="651">
        <f>WWWW[[#This Row],[% people access to functioning Latrine]]*WWWW[[#This Row],[Total PoP ]]</f>
        <v>204</v>
      </c>
      <c r="BG50" s="654">
        <f>WWWW[[#This Row],['#_of_Functioning_latrines_in_school]]*50</f>
        <v>0</v>
      </c>
      <c r="BH50" s="654">
        <f>ROUND((WWWW[[#This Row],[Total PoP ]]/6),0)</f>
        <v>51</v>
      </c>
      <c r="BI50" s="654">
        <f>IF(WWWW[[#This Row],[Total required Latrines]]-(WWWW[[#This Row],['#_of_sanitary_fly-proof_HH_latrines]])&lt;0,0,WWWW[[#This Row],[Total required Latrines]]-(WWWW[[#This Row],['#_of_sanitary_fly-proof_HH_latrines]]))</f>
        <v>17</v>
      </c>
      <c r="BJ50" s="650">
        <f>1-WWWW[[#This Row],[% people access to functioning Latrine]]</f>
        <v>0.32673267326732669</v>
      </c>
      <c r="BK50"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50" s="483">
        <f>IF(WWWW[[#This Row],['#_of_functional_handwashing_facilities_at_HH_level]]*6&gt;WWWW[[#This Row],[Total PoP ]],WWWW[[#This Row],[Total PoP ]],WWWW[[#This Row],['#_of_functional_handwashing_facilities_at_HH_level]]*6)</f>
        <v>0</v>
      </c>
      <c r="BM50" s="654">
        <f>IF(WWWW[[#This Row],['# people reached by regular dedicated hygiene promotion]]&gt;WWWW[[#This Row],['# People received regular supply of hygiene items]],WWWW[[#This Row],['# people reached by regular dedicated hygiene promotion]],WWWW[[#This Row],['# People received regular supply of hygiene items]])</f>
        <v>0</v>
      </c>
      <c r="BN50" s="653">
        <f>IF(WWWW[[#This Row],[HRP3]]/WWWW[[#This Row],[Total PoP ]]&gt;100%,100%,WWWW[[#This Row],[HRP3]]/WWWW[[#This Row],[Total PoP ]])</f>
        <v>0</v>
      </c>
      <c r="BO50" s="650">
        <f>1-WWWW[[#This Row],[Hygiene Coverage%]]</f>
        <v>1</v>
      </c>
      <c r="BP50" s="652">
        <f>WWWW[[#This Row],['# people reached by regular dedicated hygiene promotion]]/WWWW[[#This Row],[Total PoP ]]</f>
        <v>0</v>
      </c>
      <c r="BQ5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50" s="478">
        <f>WWWW[[#This Row],['#_of_affected_women_and_girls_receiving_a_sufficient_quantity_of_sanitary_pads]]</f>
        <v>0</v>
      </c>
      <c r="BS50" s="524">
        <f>IF(WWWW[[#This Row],['# People with access to soap]]&gt;WWWW[[#This Row],['# People with access to Sanity Pads]],WWWW[[#This Row],['# People with access to soap]],WWWW[[#This Row],['# People with access to Sanity Pads]])</f>
        <v>0</v>
      </c>
      <c r="BT50" s="483" t="str">
        <f>IF(OR(WWWW[[#This Row],['#of students in school]]="",WWWW[[#This Row],['#of students in school]]=0),"No","Yes")</f>
        <v>No</v>
      </c>
      <c r="BU50" s="645" t="str">
        <f>VLOOKUP(WWWW[[#This Row],[Village  Name]],SiteDB6[[Site Name]:[Location Type 1]],9,FALSE)</f>
        <v>Village</v>
      </c>
      <c r="BV50" s="645" t="str">
        <f>VLOOKUP(WWWW[[#This Row],[Village  Name]],SiteDB6[[Site Name]:[Type of Accommodation]],10,FALSE)</f>
        <v>Village</v>
      </c>
      <c r="BW50" s="645">
        <f>VLOOKUP(WWWW[[#This Row],[Village  Name]],SiteDB6[[Site Name]:[Ethnic or GCA/NGCA]],11,FALSE)</f>
        <v>0</v>
      </c>
      <c r="BX50" s="645">
        <f>VLOOKUP(WWWW[[#This Row],[Village  Name]],SiteDB6[[Site Name]:[Lat]],12,FALSE)</f>
        <v>0</v>
      </c>
      <c r="BY50" s="645">
        <f>VLOOKUP(WWWW[[#This Row],[Village  Name]],SiteDB6[[Site Name]:[Long]],13,FALSE)</f>
        <v>0</v>
      </c>
      <c r="BZ50" s="645">
        <f>VLOOKUP(WWWW[[#This Row],[Village  Name]],SiteDB6[[Site Name]:[Pcode]],3,FALSE)</f>
        <v>0</v>
      </c>
      <c r="CA50" s="645" t="str">
        <f t="shared" si="1"/>
        <v>Covered</v>
      </c>
      <c r="CB50" s="655"/>
    </row>
    <row r="51" spans="1:80">
      <c r="A51" s="641" t="s">
        <v>3150</v>
      </c>
      <c r="B51" s="641" t="s">
        <v>2994</v>
      </c>
      <c r="C51" s="642"/>
      <c r="D51" s="642" t="s">
        <v>231</v>
      </c>
      <c r="E51" s="643" t="s">
        <v>698</v>
      </c>
      <c r="F51" s="642" t="s">
        <v>3033</v>
      </c>
      <c r="G51" s="644" t="str">
        <f>VLOOKUP(WWWW[[#This Row],[Village  Name]],SiteDB6[[Site Name]:[Location Type]],8,FALSE)</f>
        <v>Village</v>
      </c>
      <c r="H51" s="642" t="s">
        <v>3059</v>
      </c>
      <c r="I51" s="646"/>
      <c r="J51" s="646">
        <v>201</v>
      </c>
      <c r="K51" s="647">
        <v>43258</v>
      </c>
      <c r="L51" s="648">
        <v>43830</v>
      </c>
      <c r="M51" s="646"/>
      <c r="N51" s="646"/>
      <c r="O51" s="524"/>
      <c r="P51" s="646"/>
      <c r="Q51" s="646"/>
      <c r="R51" s="646"/>
      <c r="S51" s="646"/>
      <c r="T51" s="646"/>
      <c r="U51" s="649"/>
      <c r="V51" s="646">
        <v>4</v>
      </c>
      <c r="W51" s="646"/>
      <c r="X51" s="646"/>
      <c r="Y51" s="646"/>
      <c r="Z51" s="646"/>
      <c r="AA51" s="646"/>
      <c r="AB51" s="646"/>
      <c r="AC51" s="649"/>
      <c r="AD51" s="646"/>
      <c r="AE51" s="646"/>
      <c r="AF51" s="646"/>
      <c r="AG51" s="646"/>
      <c r="AH51" s="646"/>
      <c r="AI51" s="646"/>
      <c r="AJ51" s="524"/>
      <c r="AK51" s="646"/>
      <c r="AL51" s="524"/>
      <c r="AM51" s="524"/>
      <c r="AN51" s="649"/>
      <c r="AO51" s="477"/>
      <c r="AP51" s="477"/>
      <c r="AQ51" s="524"/>
      <c r="AR51" s="524"/>
      <c r="AS51" s="524"/>
      <c r="AT51"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51" s="651">
        <f>WWWW[[#This Row],[%Equitable and continuous access to sufficient quantity of safe drinking water]]*WWWW[[#This Row],[Total PoP ]]</f>
        <v>0</v>
      </c>
      <c r="AV51"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51" s="651">
        <f>WWWW[[#This Row],[% Access to unimproved water points]]*WWWW[[#This Row],[Total PoP ]]</f>
        <v>0</v>
      </c>
      <c r="AX51"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51"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51" s="651">
        <f>WWWW[[#This Row],[HRP1]]/250</f>
        <v>0</v>
      </c>
      <c r="BA51" s="653">
        <f>1-WWWW[[#This Row],[% Equitable and continuous access to sufficient quantity of domestic water]]</f>
        <v>1</v>
      </c>
      <c r="BB51" s="651">
        <f>WWWW[[#This Row],[%equitable and continuous access to sufficient quantity of safe drinking and domestic water''s GAP]]*WWWW[[#This Row],[Total PoP ]]</f>
        <v>201</v>
      </c>
      <c r="BC51" s="654">
        <f>IF(WWWW[[#This Row],[Total required water points]]-WWWW[[#This Row],['#Water points coverage]]&lt;0,0,WWWW[[#This Row],[Total required water points]]-WWWW[[#This Row],['#Water points coverage]])</f>
        <v>1</v>
      </c>
      <c r="BD51" s="654">
        <f>ROUND(IF(WWWW[[#This Row],[Total PoP ]]&lt;250,1,WWWW[[#This Row],[Total PoP ]]/250),0)</f>
        <v>1</v>
      </c>
      <c r="BE5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0.11940298507462686</v>
      </c>
      <c r="BF51" s="651">
        <f>WWWW[[#This Row],[% people access to functioning Latrine]]*WWWW[[#This Row],[Total PoP ]]</f>
        <v>24</v>
      </c>
      <c r="BG51" s="654">
        <f>WWWW[[#This Row],['#_of_Functioning_latrines_in_school]]*50</f>
        <v>0</v>
      </c>
      <c r="BH51" s="654">
        <f>ROUND((WWWW[[#This Row],[Total PoP ]]/6),0)</f>
        <v>34</v>
      </c>
      <c r="BI51" s="654">
        <f>IF(WWWW[[#This Row],[Total required Latrines]]-(WWWW[[#This Row],['#_of_sanitary_fly-proof_HH_latrines]])&lt;0,0,WWWW[[#This Row],[Total required Latrines]]-(WWWW[[#This Row],['#_of_sanitary_fly-proof_HH_latrines]]))</f>
        <v>30</v>
      </c>
      <c r="BJ51" s="650">
        <f>1-WWWW[[#This Row],[% people access to functioning Latrine]]</f>
        <v>0.88059701492537312</v>
      </c>
      <c r="BK51"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51" s="483">
        <f>IF(WWWW[[#This Row],['#_of_functional_handwashing_facilities_at_HH_level]]*6&gt;WWWW[[#This Row],[Total PoP ]],WWWW[[#This Row],[Total PoP ]],WWWW[[#This Row],['#_of_functional_handwashing_facilities_at_HH_level]]*6)</f>
        <v>0</v>
      </c>
      <c r="BM51" s="654">
        <f>IF(WWWW[[#This Row],['# people reached by regular dedicated hygiene promotion]]&gt;WWWW[[#This Row],['# People received regular supply of hygiene items]],WWWW[[#This Row],['# people reached by regular dedicated hygiene promotion]],WWWW[[#This Row],['# People received regular supply of hygiene items]])</f>
        <v>0</v>
      </c>
      <c r="BN51" s="653">
        <f>IF(WWWW[[#This Row],[HRP3]]/WWWW[[#This Row],[Total PoP ]]&gt;100%,100%,WWWW[[#This Row],[HRP3]]/WWWW[[#This Row],[Total PoP ]])</f>
        <v>0</v>
      </c>
      <c r="BO51" s="650">
        <f>1-WWWW[[#This Row],[Hygiene Coverage%]]</f>
        <v>1</v>
      </c>
      <c r="BP51" s="652">
        <f>WWWW[[#This Row],['# people reached by regular dedicated hygiene promotion]]/WWWW[[#This Row],[Total PoP ]]</f>
        <v>0</v>
      </c>
      <c r="BQ5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51" s="478">
        <f>WWWW[[#This Row],['#_of_affected_women_and_girls_receiving_a_sufficient_quantity_of_sanitary_pads]]</f>
        <v>0</v>
      </c>
      <c r="BS51" s="524">
        <f>IF(WWWW[[#This Row],['# People with access to soap]]&gt;WWWW[[#This Row],['# People with access to Sanity Pads]],WWWW[[#This Row],['# People with access to soap]],WWWW[[#This Row],['# People with access to Sanity Pads]])</f>
        <v>0</v>
      </c>
      <c r="BT51" s="483" t="str">
        <f>IF(OR(WWWW[[#This Row],['#of students in school]]="",WWWW[[#This Row],['#of students in school]]=0),"No","Yes")</f>
        <v>No</v>
      </c>
      <c r="BU51" s="645" t="str">
        <f>VLOOKUP(WWWW[[#This Row],[Village  Name]],SiteDB6[[Site Name]:[Location Type 1]],9,FALSE)</f>
        <v>Village</v>
      </c>
      <c r="BV51" s="645" t="str">
        <f>VLOOKUP(WWWW[[#This Row],[Village  Name]],SiteDB6[[Site Name]:[Type of Accommodation]],10,FALSE)</f>
        <v>Village</v>
      </c>
      <c r="BW51" s="645">
        <f>VLOOKUP(WWWW[[#This Row],[Village  Name]],SiteDB6[[Site Name]:[Ethnic or GCA/NGCA]],11,FALSE)</f>
        <v>0</v>
      </c>
      <c r="BX51" s="645">
        <f>VLOOKUP(WWWW[[#This Row],[Village  Name]],SiteDB6[[Site Name]:[Lat]],12,FALSE)</f>
        <v>0</v>
      </c>
      <c r="BY51" s="645">
        <f>VLOOKUP(WWWW[[#This Row],[Village  Name]],SiteDB6[[Site Name]:[Long]],13,FALSE)</f>
        <v>0</v>
      </c>
      <c r="BZ51" s="645">
        <f>VLOOKUP(WWWW[[#This Row],[Village  Name]],SiteDB6[[Site Name]:[Pcode]],3,FALSE)</f>
        <v>0</v>
      </c>
      <c r="CA51" s="645" t="str">
        <f t="shared" si="1"/>
        <v>Covered</v>
      </c>
      <c r="CB51" s="655"/>
    </row>
    <row r="52" spans="1:80">
      <c r="A52" s="641" t="s">
        <v>3150</v>
      </c>
      <c r="B52" s="641" t="s">
        <v>2994</v>
      </c>
      <c r="C52" s="642"/>
      <c r="D52" s="642" t="s">
        <v>231</v>
      </c>
      <c r="E52" s="643" t="s">
        <v>698</v>
      </c>
      <c r="F52" s="642" t="s">
        <v>3033</v>
      </c>
      <c r="G52" s="644" t="str">
        <f>VLOOKUP(WWWW[[#This Row],[Village  Name]],SiteDB6[[Site Name]:[Location Type]],8,FALSE)</f>
        <v>Village</v>
      </c>
      <c r="H52" s="642" t="s">
        <v>3060</v>
      </c>
      <c r="I52" s="646"/>
      <c r="J52" s="646">
        <v>245</v>
      </c>
      <c r="K52" s="647">
        <v>43258</v>
      </c>
      <c r="L52" s="648">
        <v>43830</v>
      </c>
      <c r="M52" s="646"/>
      <c r="N52" s="646"/>
      <c r="O52" s="524"/>
      <c r="P52" s="646"/>
      <c r="Q52" s="646"/>
      <c r="R52" s="646"/>
      <c r="S52" s="646"/>
      <c r="T52" s="646"/>
      <c r="U52" s="649"/>
      <c r="V52" s="646">
        <v>5</v>
      </c>
      <c r="W52" s="646"/>
      <c r="X52" s="646"/>
      <c r="Y52" s="646"/>
      <c r="Z52" s="646"/>
      <c r="AA52" s="646"/>
      <c r="AB52" s="646"/>
      <c r="AC52" s="649"/>
      <c r="AD52" s="646"/>
      <c r="AE52" s="646"/>
      <c r="AF52" s="646"/>
      <c r="AG52" s="646"/>
      <c r="AH52" s="646"/>
      <c r="AI52" s="646"/>
      <c r="AJ52" s="524"/>
      <c r="AK52" s="646"/>
      <c r="AL52" s="524"/>
      <c r="AM52" s="524"/>
      <c r="AN52" s="649"/>
      <c r="AO52" s="477"/>
      <c r="AP52" s="477"/>
      <c r="AQ52" s="524"/>
      <c r="AR52" s="524"/>
      <c r="AS52" s="524"/>
      <c r="AT52"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52" s="651">
        <f>WWWW[[#This Row],[%Equitable and continuous access to sufficient quantity of safe drinking water]]*WWWW[[#This Row],[Total PoP ]]</f>
        <v>0</v>
      </c>
      <c r="AV52"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52" s="651">
        <f>WWWW[[#This Row],[% Access to unimproved water points]]*WWWW[[#This Row],[Total PoP ]]</f>
        <v>0</v>
      </c>
      <c r="AX52"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52"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52" s="651">
        <f>WWWW[[#This Row],[HRP1]]/250</f>
        <v>0</v>
      </c>
      <c r="BA52" s="653">
        <f>1-WWWW[[#This Row],[% Equitable and continuous access to sufficient quantity of domestic water]]</f>
        <v>1</v>
      </c>
      <c r="BB52" s="651">
        <f>WWWW[[#This Row],[%equitable and continuous access to sufficient quantity of safe drinking and domestic water''s GAP]]*WWWW[[#This Row],[Total PoP ]]</f>
        <v>245</v>
      </c>
      <c r="BC52" s="654">
        <f>IF(WWWW[[#This Row],[Total required water points]]-WWWW[[#This Row],['#Water points coverage]]&lt;0,0,WWWW[[#This Row],[Total required water points]]-WWWW[[#This Row],['#Water points coverage]])</f>
        <v>1</v>
      </c>
      <c r="BD52" s="654">
        <f>ROUND(IF(WWWW[[#This Row],[Total PoP ]]&lt;250,1,WWWW[[#This Row],[Total PoP ]]/250),0)</f>
        <v>1</v>
      </c>
      <c r="BE5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0.12244897959183673</v>
      </c>
      <c r="BF52" s="651">
        <f>WWWW[[#This Row],[% people access to functioning Latrine]]*WWWW[[#This Row],[Total PoP ]]</f>
        <v>30</v>
      </c>
      <c r="BG52" s="654">
        <f>WWWW[[#This Row],['#_of_Functioning_latrines_in_school]]*50</f>
        <v>0</v>
      </c>
      <c r="BH52" s="654">
        <f>ROUND((WWWW[[#This Row],[Total PoP ]]/6),0)</f>
        <v>41</v>
      </c>
      <c r="BI52" s="654">
        <f>IF(WWWW[[#This Row],[Total required Latrines]]-(WWWW[[#This Row],['#_of_sanitary_fly-proof_HH_latrines]])&lt;0,0,WWWW[[#This Row],[Total required Latrines]]-(WWWW[[#This Row],['#_of_sanitary_fly-proof_HH_latrines]]))</f>
        <v>36</v>
      </c>
      <c r="BJ52" s="650">
        <f>1-WWWW[[#This Row],[% people access to functioning Latrine]]</f>
        <v>0.87755102040816324</v>
      </c>
      <c r="BK52"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52" s="483">
        <f>IF(WWWW[[#This Row],['#_of_functional_handwashing_facilities_at_HH_level]]*6&gt;WWWW[[#This Row],[Total PoP ]],WWWW[[#This Row],[Total PoP ]],WWWW[[#This Row],['#_of_functional_handwashing_facilities_at_HH_level]]*6)</f>
        <v>0</v>
      </c>
      <c r="BM52" s="654">
        <f>IF(WWWW[[#This Row],['# people reached by regular dedicated hygiene promotion]]&gt;WWWW[[#This Row],['# People received regular supply of hygiene items]],WWWW[[#This Row],['# people reached by regular dedicated hygiene promotion]],WWWW[[#This Row],['# People received regular supply of hygiene items]])</f>
        <v>0</v>
      </c>
      <c r="BN52" s="653">
        <f>IF(WWWW[[#This Row],[HRP3]]/WWWW[[#This Row],[Total PoP ]]&gt;100%,100%,WWWW[[#This Row],[HRP3]]/WWWW[[#This Row],[Total PoP ]])</f>
        <v>0</v>
      </c>
      <c r="BO52" s="650">
        <f>1-WWWW[[#This Row],[Hygiene Coverage%]]</f>
        <v>1</v>
      </c>
      <c r="BP52" s="652">
        <f>WWWW[[#This Row],['# people reached by regular dedicated hygiene promotion]]/WWWW[[#This Row],[Total PoP ]]</f>
        <v>0</v>
      </c>
      <c r="BQ5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52" s="478">
        <f>WWWW[[#This Row],['#_of_affected_women_and_girls_receiving_a_sufficient_quantity_of_sanitary_pads]]</f>
        <v>0</v>
      </c>
      <c r="BS52" s="524">
        <f>IF(WWWW[[#This Row],['# People with access to soap]]&gt;WWWW[[#This Row],['# People with access to Sanity Pads]],WWWW[[#This Row],['# People with access to soap]],WWWW[[#This Row],['# People with access to Sanity Pads]])</f>
        <v>0</v>
      </c>
      <c r="BT52" s="483" t="str">
        <f>IF(OR(WWWW[[#This Row],['#of students in school]]="",WWWW[[#This Row],['#of students in school]]=0),"No","Yes")</f>
        <v>No</v>
      </c>
      <c r="BU52" s="645" t="str">
        <f>VLOOKUP(WWWW[[#This Row],[Village  Name]],SiteDB6[[Site Name]:[Location Type 1]],9,FALSE)</f>
        <v>Village</v>
      </c>
      <c r="BV52" s="645" t="str">
        <f>VLOOKUP(WWWW[[#This Row],[Village  Name]],SiteDB6[[Site Name]:[Type of Accommodation]],10,FALSE)</f>
        <v>Village</v>
      </c>
      <c r="BW52" s="645">
        <f>VLOOKUP(WWWW[[#This Row],[Village  Name]],SiteDB6[[Site Name]:[Ethnic or GCA/NGCA]],11,FALSE)</f>
        <v>0</v>
      </c>
      <c r="BX52" s="645">
        <f>VLOOKUP(WWWW[[#This Row],[Village  Name]],SiteDB6[[Site Name]:[Lat]],12,FALSE)</f>
        <v>0</v>
      </c>
      <c r="BY52" s="645">
        <f>VLOOKUP(WWWW[[#This Row],[Village  Name]],SiteDB6[[Site Name]:[Long]],13,FALSE)</f>
        <v>0</v>
      </c>
      <c r="BZ52" s="645">
        <f>VLOOKUP(WWWW[[#This Row],[Village  Name]],SiteDB6[[Site Name]:[Pcode]],3,FALSE)</f>
        <v>0</v>
      </c>
      <c r="CA52" s="645" t="str">
        <f t="shared" si="1"/>
        <v>Covered</v>
      </c>
      <c r="CB52" s="655"/>
    </row>
    <row r="53" spans="1:80">
      <c r="A53" s="641" t="s">
        <v>3150</v>
      </c>
      <c r="B53" s="641" t="s">
        <v>2994</v>
      </c>
      <c r="C53" s="642"/>
      <c r="D53" s="642" t="s">
        <v>231</v>
      </c>
      <c r="E53" s="643" t="s">
        <v>698</v>
      </c>
      <c r="F53" s="642" t="s">
        <v>3033</v>
      </c>
      <c r="G53" s="644" t="str">
        <f>VLOOKUP(WWWW[[#This Row],[Village  Name]],SiteDB6[[Site Name]:[Location Type]],8,FALSE)</f>
        <v>Village</v>
      </c>
      <c r="H53" s="642" t="s">
        <v>3061</v>
      </c>
      <c r="I53" s="646"/>
      <c r="J53" s="646">
        <v>308</v>
      </c>
      <c r="K53" s="647">
        <v>43258</v>
      </c>
      <c r="L53" s="648">
        <v>43830</v>
      </c>
      <c r="M53" s="646"/>
      <c r="N53" s="646"/>
      <c r="O53" s="524"/>
      <c r="P53" s="646"/>
      <c r="Q53" s="646"/>
      <c r="R53" s="646"/>
      <c r="S53" s="646"/>
      <c r="T53" s="646"/>
      <c r="U53" s="649"/>
      <c r="V53" s="646">
        <v>9</v>
      </c>
      <c r="W53" s="646"/>
      <c r="X53" s="646"/>
      <c r="Y53" s="646"/>
      <c r="Z53" s="646"/>
      <c r="AA53" s="646"/>
      <c r="AB53" s="646"/>
      <c r="AC53" s="649"/>
      <c r="AD53" s="646"/>
      <c r="AE53" s="646"/>
      <c r="AF53" s="646"/>
      <c r="AG53" s="646"/>
      <c r="AH53" s="646"/>
      <c r="AI53" s="646"/>
      <c r="AJ53" s="524"/>
      <c r="AK53" s="646"/>
      <c r="AL53" s="524"/>
      <c r="AM53" s="524"/>
      <c r="AN53" s="649"/>
      <c r="AO53" s="477"/>
      <c r="AP53" s="477"/>
      <c r="AQ53" s="524"/>
      <c r="AR53" s="524"/>
      <c r="AS53" s="524"/>
      <c r="AT53"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53" s="651">
        <f>WWWW[[#This Row],[%Equitable and continuous access to sufficient quantity of safe drinking water]]*WWWW[[#This Row],[Total PoP ]]</f>
        <v>0</v>
      </c>
      <c r="AV53"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53" s="651">
        <f>WWWW[[#This Row],[% Access to unimproved water points]]*WWWW[[#This Row],[Total PoP ]]</f>
        <v>0</v>
      </c>
      <c r="AX53"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53"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53" s="651">
        <f>WWWW[[#This Row],[HRP1]]/250</f>
        <v>0</v>
      </c>
      <c r="BA53" s="653">
        <f>1-WWWW[[#This Row],[% Equitable and continuous access to sufficient quantity of domestic water]]</f>
        <v>1</v>
      </c>
      <c r="BB53" s="651">
        <f>WWWW[[#This Row],[%equitable and continuous access to sufficient quantity of safe drinking and domestic water''s GAP]]*WWWW[[#This Row],[Total PoP ]]</f>
        <v>308</v>
      </c>
      <c r="BC53" s="654">
        <f>IF(WWWW[[#This Row],[Total required water points]]-WWWW[[#This Row],['#Water points coverage]]&lt;0,0,WWWW[[#This Row],[Total required water points]]-WWWW[[#This Row],['#Water points coverage]])</f>
        <v>1</v>
      </c>
      <c r="BD53" s="654">
        <f>ROUND(IF(WWWW[[#This Row],[Total PoP ]]&lt;250,1,WWWW[[#This Row],[Total PoP ]]/250),0)</f>
        <v>1</v>
      </c>
      <c r="BE5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0.17532467532467533</v>
      </c>
      <c r="BF53" s="651">
        <f>WWWW[[#This Row],[% people access to functioning Latrine]]*WWWW[[#This Row],[Total PoP ]]</f>
        <v>54</v>
      </c>
      <c r="BG53" s="654">
        <f>WWWW[[#This Row],['#_of_Functioning_latrines_in_school]]*50</f>
        <v>0</v>
      </c>
      <c r="BH53" s="654">
        <f>ROUND((WWWW[[#This Row],[Total PoP ]]/6),0)</f>
        <v>51</v>
      </c>
      <c r="BI53" s="654">
        <f>IF(WWWW[[#This Row],[Total required Latrines]]-(WWWW[[#This Row],['#_of_sanitary_fly-proof_HH_latrines]])&lt;0,0,WWWW[[#This Row],[Total required Latrines]]-(WWWW[[#This Row],['#_of_sanitary_fly-proof_HH_latrines]]))</f>
        <v>42</v>
      </c>
      <c r="BJ53" s="650">
        <f>1-WWWW[[#This Row],[% people access to functioning Latrine]]</f>
        <v>0.82467532467532467</v>
      </c>
      <c r="BK53"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53" s="483">
        <f>IF(WWWW[[#This Row],['#_of_functional_handwashing_facilities_at_HH_level]]*6&gt;WWWW[[#This Row],[Total PoP ]],WWWW[[#This Row],[Total PoP ]],WWWW[[#This Row],['#_of_functional_handwashing_facilities_at_HH_level]]*6)</f>
        <v>0</v>
      </c>
      <c r="BM53" s="654">
        <f>IF(WWWW[[#This Row],['# people reached by regular dedicated hygiene promotion]]&gt;WWWW[[#This Row],['# People received regular supply of hygiene items]],WWWW[[#This Row],['# people reached by regular dedicated hygiene promotion]],WWWW[[#This Row],['# People received regular supply of hygiene items]])</f>
        <v>0</v>
      </c>
      <c r="BN53" s="653">
        <f>IF(WWWW[[#This Row],[HRP3]]/WWWW[[#This Row],[Total PoP ]]&gt;100%,100%,WWWW[[#This Row],[HRP3]]/WWWW[[#This Row],[Total PoP ]])</f>
        <v>0</v>
      </c>
      <c r="BO53" s="650">
        <f>1-WWWW[[#This Row],[Hygiene Coverage%]]</f>
        <v>1</v>
      </c>
      <c r="BP53" s="652">
        <f>WWWW[[#This Row],['# people reached by regular dedicated hygiene promotion]]/WWWW[[#This Row],[Total PoP ]]</f>
        <v>0</v>
      </c>
      <c r="BQ5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53" s="478">
        <f>WWWW[[#This Row],['#_of_affected_women_and_girls_receiving_a_sufficient_quantity_of_sanitary_pads]]</f>
        <v>0</v>
      </c>
      <c r="BS53" s="524">
        <f>IF(WWWW[[#This Row],['# People with access to soap]]&gt;WWWW[[#This Row],['# People with access to Sanity Pads]],WWWW[[#This Row],['# People with access to soap]],WWWW[[#This Row],['# People with access to Sanity Pads]])</f>
        <v>0</v>
      </c>
      <c r="BT53" s="483" t="str">
        <f>IF(OR(WWWW[[#This Row],['#of students in school]]="",WWWW[[#This Row],['#of students in school]]=0),"No","Yes")</f>
        <v>No</v>
      </c>
      <c r="BU53" s="645" t="str">
        <f>VLOOKUP(WWWW[[#This Row],[Village  Name]],SiteDB6[[Site Name]:[Location Type 1]],9,FALSE)</f>
        <v>Village</v>
      </c>
      <c r="BV53" s="645" t="str">
        <f>VLOOKUP(WWWW[[#This Row],[Village  Name]],SiteDB6[[Site Name]:[Type of Accommodation]],10,FALSE)</f>
        <v>Village</v>
      </c>
      <c r="BW53" s="645">
        <f>VLOOKUP(WWWW[[#This Row],[Village  Name]],SiteDB6[[Site Name]:[Ethnic or GCA/NGCA]],11,FALSE)</f>
        <v>0</v>
      </c>
      <c r="BX53" s="645">
        <f>VLOOKUP(WWWW[[#This Row],[Village  Name]],SiteDB6[[Site Name]:[Lat]],12,FALSE)</f>
        <v>0</v>
      </c>
      <c r="BY53" s="645">
        <f>VLOOKUP(WWWW[[#This Row],[Village  Name]],SiteDB6[[Site Name]:[Long]],13,FALSE)</f>
        <v>0</v>
      </c>
      <c r="BZ53" s="645">
        <f>VLOOKUP(WWWW[[#This Row],[Village  Name]],SiteDB6[[Site Name]:[Pcode]],3,FALSE)</f>
        <v>0</v>
      </c>
      <c r="CA53" s="645" t="str">
        <f t="shared" si="1"/>
        <v>Covered</v>
      </c>
      <c r="CB53" s="655"/>
    </row>
    <row r="54" spans="1:80">
      <c r="A54" s="641" t="s">
        <v>3150</v>
      </c>
      <c r="B54" s="641" t="s">
        <v>2994</v>
      </c>
      <c r="C54" s="642"/>
      <c r="D54" s="642" t="s">
        <v>231</v>
      </c>
      <c r="E54" s="643" t="s">
        <v>698</v>
      </c>
      <c r="F54" s="642" t="s">
        <v>3033</v>
      </c>
      <c r="G54" s="644" t="str">
        <f>VLOOKUP(WWWW[[#This Row],[Village  Name]],SiteDB6[[Site Name]:[Location Type]],8,FALSE)</f>
        <v>Village</v>
      </c>
      <c r="H54" s="642" t="s">
        <v>3062</v>
      </c>
      <c r="I54" s="646"/>
      <c r="J54" s="646">
        <v>178</v>
      </c>
      <c r="K54" s="647">
        <v>43258</v>
      </c>
      <c r="L54" s="648">
        <v>43830</v>
      </c>
      <c r="M54" s="646"/>
      <c r="N54" s="646"/>
      <c r="O54" s="524"/>
      <c r="P54" s="646"/>
      <c r="Q54" s="646"/>
      <c r="R54" s="646"/>
      <c r="S54" s="646"/>
      <c r="T54" s="646"/>
      <c r="U54" s="649"/>
      <c r="V54" s="646">
        <v>6</v>
      </c>
      <c r="W54" s="646"/>
      <c r="X54" s="646"/>
      <c r="Y54" s="646"/>
      <c r="Z54" s="646"/>
      <c r="AA54" s="646"/>
      <c r="AB54" s="646"/>
      <c r="AC54" s="649"/>
      <c r="AD54" s="646"/>
      <c r="AE54" s="646"/>
      <c r="AF54" s="646"/>
      <c r="AG54" s="646"/>
      <c r="AH54" s="646"/>
      <c r="AI54" s="646"/>
      <c r="AJ54" s="524"/>
      <c r="AK54" s="646"/>
      <c r="AL54" s="524"/>
      <c r="AM54" s="524"/>
      <c r="AN54" s="649"/>
      <c r="AO54" s="477"/>
      <c r="AP54" s="477"/>
      <c r="AQ54" s="524"/>
      <c r="AR54" s="524"/>
      <c r="AS54" s="524"/>
      <c r="AT54"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54" s="651">
        <f>WWWW[[#This Row],[%Equitable and continuous access to sufficient quantity of safe drinking water]]*WWWW[[#This Row],[Total PoP ]]</f>
        <v>0</v>
      </c>
      <c r="AV54"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54" s="651">
        <f>WWWW[[#This Row],[% Access to unimproved water points]]*WWWW[[#This Row],[Total PoP ]]</f>
        <v>0</v>
      </c>
      <c r="AX54"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54"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54" s="651">
        <f>WWWW[[#This Row],[HRP1]]/250</f>
        <v>0</v>
      </c>
      <c r="BA54" s="653">
        <f>1-WWWW[[#This Row],[% Equitable and continuous access to sufficient quantity of domestic water]]</f>
        <v>1</v>
      </c>
      <c r="BB54" s="651">
        <f>WWWW[[#This Row],[%equitable and continuous access to sufficient quantity of safe drinking and domestic water''s GAP]]*WWWW[[#This Row],[Total PoP ]]</f>
        <v>178</v>
      </c>
      <c r="BC54" s="654">
        <f>IF(WWWW[[#This Row],[Total required water points]]-WWWW[[#This Row],['#Water points coverage]]&lt;0,0,WWWW[[#This Row],[Total required water points]]-WWWW[[#This Row],['#Water points coverage]])</f>
        <v>1</v>
      </c>
      <c r="BD54" s="654">
        <f>ROUND(IF(WWWW[[#This Row],[Total PoP ]]&lt;250,1,WWWW[[#This Row],[Total PoP ]]/250),0)</f>
        <v>1</v>
      </c>
      <c r="BE5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0.20224719101123595</v>
      </c>
      <c r="BF54" s="651">
        <f>WWWW[[#This Row],[% people access to functioning Latrine]]*WWWW[[#This Row],[Total PoP ]]</f>
        <v>36</v>
      </c>
      <c r="BG54" s="654">
        <f>WWWW[[#This Row],['#_of_Functioning_latrines_in_school]]*50</f>
        <v>0</v>
      </c>
      <c r="BH54" s="654">
        <f>ROUND((WWWW[[#This Row],[Total PoP ]]/6),0)</f>
        <v>30</v>
      </c>
      <c r="BI54" s="654">
        <f>IF(WWWW[[#This Row],[Total required Latrines]]-(WWWW[[#This Row],['#_of_sanitary_fly-proof_HH_latrines]])&lt;0,0,WWWW[[#This Row],[Total required Latrines]]-(WWWW[[#This Row],['#_of_sanitary_fly-proof_HH_latrines]]))</f>
        <v>24</v>
      </c>
      <c r="BJ54" s="650">
        <f>1-WWWW[[#This Row],[% people access to functioning Latrine]]</f>
        <v>0.797752808988764</v>
      </c>
      <c r="BK54"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54" s="483">
        <f>IF(WWWW[[#This Row],['#_of_functional_handwashing_facilities_at_HH_level]]*6&gt;WWWW[[#This Row],[Total PoP ]],WWWW[[#This Row],[Total PoP ]],WWWW[[#This Row],['#_of_functional_handwashing_facilities_at_HH_level]]*6)</f>
        <v>0</v>
      </c>
      <c r="BM54" s="654">
        <f>IF(WWWW[[#This Row],['# people reached by regular dedicated hygiene promotion]]&gt;WWWW[[#This Row],['# People received regular supply of hygiene items]],WWWW[[#This Row],['# people reached by regular dedicated hygiene promotion]],WWWW[[#This Row],['# People received regular supply of hygiene items]])</f>
        <v>0</v>
      </c>
      <c r="BN54" s="653">
        <f>IF(WWWW[[#This Row],[HRP3]]/WWWW[[#This Row],[Total PoP ]]&gt;100%,100%,WWWW[[#This Row],[HRP3]]/WWWW[[#This Row],[Total PoP ]])</f>
        <v>0</v>
      </c>
      <c r="BO54" s="650">
        <f>1-WWWW[[#This Row],[Hygiene Coverage%]]</f>
        <v>1</v>
      </c>
      <c r="BP54" s="652">
        <f>WWWW[[#This Row],['# people reached by regular dedicated hygiene promotion]]/WWWW[[#This Row],[Total PoP ]]</f>
        <v>0</v>
      </c>
      <c r="BQ5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54" s="478">
        <f>WWWW[[#This Row],['#_of_affected_women_and_girls_receiving_a_sufficient_quantity_of_sanitary_pads]]</f>
        <v>0</v>
      </c>
      <c r="BS54" s="524">
        <f>IF(WWWW[[#This Row],['# People with access to soap]]&gt;WWWW[[#This Row],['# People with access to Sanity Pads]],WWWW[[#This Row],['# People with access to soap]],WWWW[[#This Row],['# People with access to Sanity Pads]])</f>
        <v>0</v>
      </c>
      <c r="BT54" s="483" t="str">
        <f>IF(OR(WWWW[[#This Row],['#of students in school]]="",WWWW[[#This Row],['#of students in school]]=0),"No","Yes")</f>
        <v>No</v>
      </c>
      <c r="BU54" s="645" t="str">
        <f>VLOOKUP(WWWW[[#This Row],[Village  Name]],SiteDB6[[Site Name]:[Location Type 1]],9,FALSE)</f>
        <v>Village</v>
      </c>
      <c r="BV54" s="645" t="str">
        <f>VLOOKUP(WWWW[[#This Row],[Village  Name]],SiteDB6[[Site Name]:[Type of Accommodation]],10,FALSE)</f>
        <v>Village</v>
      </c>
      <c r="BW54" s="645">
        <f>VLOOKUP(WWWW[[#This Row],[Village  Name]],SiteDB6[[Site Name]:[Ethnic or GCA/NGCA]],11,FALSE)</f>
        <v>0</v>
      </c>
      <c r="BX54" s="645">
        <f>VLOOKUP(WWWW[[#This Row],[Village  Name]],SiteDB6[[Site Name]:[Lat]],12,FALSE)</f>
        <v>0</v>
      </c>
      <c r="BY54" s="645">
        <f>VLOOKUP(WWWW[[#This Row],[Village  Name]],SiteDB6[[Site Name]:[Long]],13,FALSE)</f>
        <v>0</v>
      </c>
      <c r="BZ54" s="645">
        <f>VLOOKUP(WWWW[[#This Row],[Village  Name]],SiteDB6[[Site Name]:[Pcode]],3,FALSE)</f>
        <v>0</v>
      </c>
      <c r="CA54" s="645" t="str">
        <f t="shared" si="1"/>
        <v>Covered</v>
      </c>
      <c r="CB54" s="655"/>
    </row>
    <row r="55" spans="1:80">
      <c r="A55" s="641" t="s">
        <v>3150</v>
      </c>
      <c r="B55" s="641" t="s">
        <v>2994</v>
      </c>
      <c r="C55" s="642"/>
      <c r="D55" s="642" t="s">
        <v>231</v>
      </c>
      <c r="E55" s="643" t="s">
        <v>698</v>
      </c>
      <c r="F55" s="642" t="s">
        <v>3033</v>
      </c>
      <c r="G55" s="644" t="str">
        <f>VLOOKUP(WWWW[[#This Row],[Village  Name]],SiteDB6[[Site Name]:[Location Type]],8,FALSE)</f>
        <v>Village</v>
      </c>
      <c r="H55" s="642" t="s">
        <v>3063</v>
      </c>
      <c r="I55" s="646"/>
      <c r="J55" s="646">
        <v>393</v>
      </c>
      <c r="K55" s="647">
        <v>43258</v>
      </c>
      <c r="L55" s="648">
        <v>43830</v>
      </c>
      <c r="M55" s="646"/>
      <c r="N55" s="646"/>
      <c r="O55" s="524"/>
      <c r="P55" s="646"/>
      <c r="Q55" s="646"/>
      <c r="R55" s="646"/>
      <c r="S55" s="646"/>
      <c r="T55" s="646"/>
      <c r="U55" s="649"/>
      <c r="V55" s="646">
        <v>4</v>
      </c>
      <c r="W55" s="646"/>
      <c r="X55" s="646"/>
      <c r="Y55" s="646"/>
      <c r="Z55" s="646"/>
      <c r="AA55" s="646"/>
      <c r="AB55" s="646"/>
      <c r="AC55" s="649"/>
      <c r="AD55" s="646"/>
      <c r="AE55" s="646"/>
      <c r="AF55" s="646"/>
      <c r="AG55" s="646"/>
      <c r="AH55" s="646"/>
      <c r="AI55" s="646"/>
      <c r="AJ55" s="524"/>
      <c r="AK55" s="646"/>
      <c r="AL55" s="524"/>
      <c r="AM55" s="524"/>
      <c r="AN55" s="649"/>
      <c r="AO55" s="477"/>
      <c r="AP55" s="477"/>
      <c r="AQ55" s="524"/>
      <c r="AR55" s="524"/>
      <c r="AS55" s="524"/>
      <c r="AT55"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55" s="651">
        <f>WWWW[[#This Row],[%Equitable and continuous access to sufficient quantity of safe drinking water]]*WWWW[[#This Row],[Total PoP ]]</f>
        <v>0</v>
      </c>
      <c r="AV55"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55" s="651">
        <f>WWWW[[#This Row],[% Access to unimproved water points]]*WWWW[[#This Row],[Total PoP ]]</f>
        <v>0</v>
      </c>
      <c r="AX55"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55"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55" s="651">
        <f>WWWW[[#This Row],[HRP1]]/250</f>
        <v>0</v>
      </c>
      <c r="BA55" s="653">
        <f>1-WWWW[[#This Row],[% Equitable and continuous access to sufficient quantity of domestic water]]</f>
        <v>1</v>
      </c>
      <c r="BB55" s="651">
        <f>WWWW[[#This Row],[%equitable and continuous access to sufficient quantity of safe drinking and domestic water''s GAP]]*WWWW[[#This Row],[Total PoP ]]</f>
        <v>393</v>
      </c>
      <c r="BC55" s="654">
        <f>IF(WWWW[[#This Row],[Total required water points]]-WWWW[[#This Row],['#Water points coverage]]&lt;0,0,WWWW[[#This Row],[Total required water points]]-WWWW[[#This Row],['#Water points coverage]])</f>
        <v>2</v>
      </c>
      <c r="BD55" s="654">
        <f>ROUND(IF(WWWW[[#This Row],[Total PoP ]]&lt;250,1,WWWW[[#This Row],[Total PoP ]]/250),0)</f>
        <v>2</v>
      </c>
      <c r="BE5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6.1068702290076333E-2</v>
      </c>
      <c r="BF55" s="651">
        <f>WWWW[[#This Row],[% people access to functioning Latrine]]*WWWW[[#This Row],[Total PoP ]]</f>
        <v>24</v>
      </c>
      <c r="BG55" s="654">
        <f>WWWW[[#This Row],['#_of_Functioning_latrines_in_school]]*50</f>
        <v>0</v>
      </c>
      <c r="BH55" s="654">
        <f>ROUND((WWWW[[#This Row],[Total PoP ]]/6),0)</f>
        <v>66</v>
      </c>
      <c r="BI55" s="654">
        <f>IF(WWWW[[#This Row],[Total required Latrines]]-(WWWW[[#This Row],['#_of_sanitary_fly-proof_HH_latrines]])&lt;0,0,WWWW[[#This Row],[Total required Latrines]]-(WWWW[[#This Row],['#_of_sanitary_fly-proof_HH_latrines]]))</f>
        <v>62</v>
      </c>
      <c r="BJ55" s="650">
        <f>1-WWWW[[#This Row],[% people access to functioning Latrine]]</f>
        <v>0.93893129770992367</v>
      </c>
      <c r="BK55"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55" s="483">
        <f>IF(WWWW[[#This Row],['#_of_functional_handwashing_facilities_at_HH_level]]*6&gt;WWWW[[#This Row],[Total PoP ]],WWWW[[#This Row],[Total PoP ]],WWWW[[#This Row],['#_of_functional_handwashing_facilities_at_HH_level]]*6)</f>
        <v>0</v>
      </c>
      <c r="BM55" s="654">
        <f>IF(WWWW[[#This Row],['# people reached by regular dedicated hygiene promotion]]&gt;WWWW[[#This Row],['# People received regular supply of hygiene items]],WWWW[[#This Row],['# people reached by regular dedicated hygiene promotion]],WWWW[[#This Row],['# People received regular supply of hygiene items]])</f>
        <v>0</v>
      </c>
      <c r="BN55" s="653">
        <f>IF(WWWW[[#This Row],[HRP3]]/WWWW[[#This Row],[Total PoP ]]&gt;100%,100%,WWWW[[#This Row],[HRP3]]/WWWW[[#This Row],[Total PoP ]])</f>
        <v>0</v>
      </c>
      <c r="BO55" s="650">
        <f>1-WWWW[[#This Row],[Hygiene Coverage%]]</f>
        <v>1</v>
      </c>
      <c r="BP55" s="652">
        <f>WWWW[[#This Row],['# people reached by regular dedicated hygiene promotion]]/WWWW[[#This Row],[Total PoP ]]</f>
        <v>0</v>
      </c>
      <c r="BQ5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55" s="478">
        <f>WWWW[[#This Row],['#_of_affected_women_and_girls_receiving_a_sufficient_quantity_of_sanitary_pads]]</f>
        <v>0</v>
      </c>
      <c r="BS55" s="524">
        <f>IF(WWWW[[#This Row],['# People with access to soap]]&gt;WWWW[[#This Row],['# People with access to Sanity Pads]],WWWW[[#This Row],['# People with access to soap]],WWWW[[#This Row],['# People with access to Sanity Pads]])</f>
        <v>0</v>
      </c>
      <c r="BT55" s="483" t="str">
        <f>IF(OR(WWWW[[#This Row],['#of students in school]]="",WWWW[[#This Row],['#of students in school]]=0),"No","Yes")</f>
        <v>No</v>
      </c>
      <c r="BU55" s="645" t="str">
        <f>VLOOKUP(WWWW[[#This Row],[Village  Name]],SiteDB6[[Site Name]:[Location Type 1]],9,FALSE)</f>
        <v>Village</v>
      </c>
      <c r="BV55" s="645" t="str">
        <f>VLOOKUP(WWWW[[#This Row],[Village  Name]],SiteDB6[[Site Name]:[Type of Accommodation]],10,FALSE)</f>
        <v>Village</v>
      </c>
      <c r="BW55" s="645">
        <f>VLOOKUP(WWWW[[#This Row],[Village  Name]],SiteDB6[[Site Name]:[Ethnic or GCA/NGCA]],11,FALSE)</f>
        <v>0</v>
      </c>
      <c r="BX55" s="645">
        <f>VLOOKUP(WWWW[[#This Row],[Village  Name]],SiteDB6[[Site Name]:[Lat]],12,FALSE)</f>
        <v>0</v>
      </c>
      <c r="BY55" s="645">
        <f>VLOOKUP(WWWW[[#This Row],[Village  Name]],SiteDB6[[Site Name]:[Long]],13,FALSE)</f>
        <v>0</v>
      </c>
      <c r="BZ55" s="645">
        <f>VLOOKUP(WWWW[[#This Row],[Village  Name]],SiteDB6[[Site Name]:[Pcode]],3,FALSE)</f>
        <v>0</v>
      </c>
      <c r="CA55" s="645" t="str">
        <f t="shared" si="1"/>
        <v>Covered</v>
      </c>
      <c r="CB55" s="655"/>
    </row>
    <row r="56" spans="1:80">
      <c r="A56" s="641" t="s">
        <v>3150</v>
      </c>
      <c r="B56" s="641" t="s">
        <v>2994</v>
      </c>
      <c r="C56" s="642"/>
      <c r="D56" s="642" t="s">
        <v>231</v>
      </c>
      <c r="E56" s="643" t="s">
        <v>698</v>
      </c>
      <c r="F56" s="642" t="s">
        <v>3033</v>
      </c>
      <c r="G56" s="644" t="str">
        <f>VLOOKUP(WWWW[[#This Row],[Village  Name]],SiteDB6[[Site Name]:[Location Type]],8,FALSE)</f>
        <v>Village</v>
      </c>
      <c r="H56" s="642" t="s">
        <v>3064</v>
      </c>
      <c r="I56" s="646"/>
      <c r="J56" s="646">
        <v>131</v>
      </c>
      <c r="K56" s="647">
        <v>43258</v>
      </c>
      <c r="L56" s="648">
        <v>43830</v>
      </c>
      <c r="M56" s="646"/>
      <c r="N56" s="646"/>
      <c r="O56" s="524"/>
      <c r="P56" s="646"/>
      <c r="Q56" s="646"/>
      <c r="R56" s="646"/>
      <c r="S56" s="646"/>
      <c r="T56" s="646"/>
      <c r="U56" s="649"/>
      <c r="V56" s="646">
        <v>1</v>
      </c>
      <c r="W56" s="646"/>
      <c r="X56" s="646"/>
      <c r="Y56" s="646"/>
      <c r="Z56" s="646"/>
      <c r="AA56" s="646"/>
      <c r="AB56" s="646"/>
      <c r="AC56" s="649"/>
      <c r="AD56" s="646"/>
      <c r="AE56" s="646"/>
      <c r="AF56" s="646"/>
      <c r="AG56" s="646"/>
      <c r="AH56" s="646"/>
      <c r="AI56" s="646"/>
      <c r="AJ56" s="524"/>
      <c r="AK56" s="646"/>
      <c r="AL56" s="524"/>
      <c r="AM56" s="524"/>
      <c r="AN56" s="649"/>
      <c r="AO56" s="477"/>
      <c r="AP56" s="477"/>
      <c r="AQ56" s="524"/>
      <c r="AR56" s="524"/>
      <c r="AS56" s="524"/>
      <c r="AT56"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56" s="651">
        <f>WWWW[[#This Row],[%Equitable and continuous access to sufficient quantity of safe drinking water]]*WWWW[[#This Row],[Total PoP ]]</f>
        <v>0</v>
      </c>
      <c r="AV56"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56" s="651">
        <f>WWWW[[#This Row],[% Access to unimproved water points]]*WWWW[[#This Row],[Total PoP ]]</f>
        <v>0</v>
      </c>
      <c r="AX56"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56"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56" s="651">
        <f>WWWW[[#This Row],[HRP1]]/250</f>
        <v>0</v>
      </c>
      <c r="BA56" s="653">
        <f>1-WWWW[[#This Row],[% Equitable and continuous access to sufficient quantity of domestic water]]</f>
        <v>1</v>
      </c>
      <c r="BB56" s="651">
        <f>WWWW[[#This Row],[%equitable and continuous access to sufficient quantity of safe drinking and domestic water''s GAP]]*WWWW[[#This Row],[Total PoP ]]</f>
        <v>131</v>
      </c>
      <c r="BC56" s="654">
        <f>IF(WWWW[[#This Row],[Total required water points]]-WWWW[[#This Row],['#Water points coverage]]&lt;0,0,WWWW[[#This Row],[Total required water points]]-WWWW[[#This Row],['#Water points coverage]])</f>
        <v>1</v>
      </c>
      <c r="BD56" s="654">
        <f>ROUND(IF(WWWW[[#This Row],[Total PoP ]]&lt;250,1,WWWW[[#This Row],[Total PoP ]]/250),0)</f>
        <v>1</v>
      </c>
      <c r="BE5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4.5801526717557252E-2</v>
      </c>
      <c r="BF56" s="651">
        <f>WWWW[[#This Row],[% people access to functioning Latrine]]*WWWW[[#This Row],[Total PoP ]]</f>
        <v>6</v>
      </c>
      <c r="BG56" s="654">
        <f>WWWW[[#This Row],['#_of_Functioning_latrines_in_school]]*50</f>
        <v>0</v>
      </c>
      <c r="BH56" s="654">
        <f>ROUND((WWWW[[#This Row],[Total PoP ]]/6),0)</f>
        <v>22</v>
      </c>
      <c r="BI56" s="654">
        <f>IF(WWWW[[#This Row],[Total required Latrines]]-(WWWW[[#This Row],['#_of_sanitary_fly-proof_HH_latrines]])&lt;0,0,WWWW[[#This Row],[Total required Latrines]]-(WWWW[[#This Row],['#_of_sanitary_fly-proof_HH_latrines]]))</f>
        <v>21</v>
      </c>
      <c r="BJ56" s="650">
        <f>1-WWWW[[#This Row],[% people access to functioning Latrine]]</f>
        <v>0.95419847328244278</v>
      </c>
      <c r="BK56"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56" s="483">
        <f>IF(WWWW[[#This Row],['#_of_functional_handwashing_facilities_at_HH_level]]*6&gt;WWWW[[#This Row],[Total PoP ]],WWWW[[#This Row],[Total PoP ]],WWWW[[#This Row],['#_of_functional_handwashing_facilities_at_HH_level]]*6)</f>
        <v>0</v>
      </c>
      <c r="BM56" s="654">
        <f>IF(WWWW[[#This Row],['# people reached by regular dedicated hygiene promotion]]&gt;WWWW[[#This Row],['# People received regular supply of hygiene items]],WWWW[[#This Row],['# people reached by regular dedicated hygiene promotion]],WWWW[[#This Row],['# People received regular supply of hygiene items]])</f>
        <v>0</v>
      </c>
      <c r="BN56" s="653">
        <f>IF(WWWW[[#This Row],[HRP3]]/WWWW[[#This Row],[Total PoP ]]&gt;100%,100%,WWWW[[#This Row],[HRP3]]/WWWW[[#This Row],[Total PoP ]])</f>
        <v>0</v>
      </c>
      <c r="BO56" s="650">
        <f>1-WWWW[[#This Row],[Hygiene Coverage%]]</f>
        <v>1</v>
      </c>
      <c r="BP56" s="652">
        <f>WWWW[[#This Row],['# people reached by regular dedicated hygiene promotion]]/WWWW[[#This Row],[Total PoP ]]</f>
        <v>0</v>
      </c>
      <c r="BQ5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56" s="478">
        <f>WWWW[[#This Row],['#_of_affected_women_and_girls_receiving_a_sufficient_quantity_of_sanitary_pads]]</f>
        <v>0</v>
      </c>
      <c r="BS56" s="524">
        <f>IF(WWWW[[#This Row],['# People with access to soap]]&gt;WWWW[[#This Row],['# People with access to Sanity Pads]],WWWW[[#This Row],['# People with access to soap]],WWWW[[#This Row],['# People with access to Sanity Pads]])</f>
        <v>0</v>
      </c>
      <c r="BT56" s="483" t="str">
        <f>IF(OR(WWWW[[#This Row],['#of students in school]]="",WWWW[[#This Row],['#of students in school]]=0),"No","Yes")</f>
        <v>No</v>
      </c>
      <c r="BU56" s="645" t="str">
        <f>VLOOKUP(WWWW[[#This Row],[Village  Name]],SiteDB6[[Site Name]:[Location Type 1]],9,FALSE)</f>
        <v>Village</v>
      </c>
      <c r="BV56" s="645" t="str">
        <f>VLOOKUP(WWWW[[#This Row],[Village  Name]],SiteDB6[[Site Name]:[Type of Accommodation]],10,FALSE)</f>
        <v>Village</v>
      </c>
      <c r="BW56" s="645">
        <f>VLOOKUP(WWWW[[#This Row],[Village  Name]],SiteDB6[[Site Name]:[Ethnic or GCA/NGCA]],11,FALSE)</f>
        <v>0</v>
      </c>
      <c r="BX56" s="645">
        <f>VLOOKUP(WWWW[[#This Row],[Village  Name]],SiteDB6[[Site Name]:[Lat]],12,FALSE)</f>
        <v>0</v>
      </c>
      <c r="BY56" s="645">
        <f>VLOOKUP(WWWW[[#This Row],[Village  Name]],SiteDB6[[Site Name]:[Long]],13,FALSE)</f>
        <v>0</v>
      </c>
      <c r="BZ56" s="645">
        <f>VLOOKUP(WWWW[[#This Row],[Village  Name]],SiteDB6[[Site Name]:[Pcode]],3,FALSE)</f>
        <v>0</v>
      </c>
      <c r="CA56" s="645" t="str">
        <f t="shared" si="1"/>
        <v>Covered</v>
      </c>
      <c r="CB56" s="655"/>
    </row>
    <row r="57" spans="1:80">
      <c r="A57" s="641" t="s">
        <v>3150</v>
      </c>
      <c r="B57" s="641" t="s">
        <v>2994</v>
      </c>
      <c r="C57" s="642"/>
      <c r="D57" s="642" t="s">
        <v>231</v>
      </c>
      <c r="E57" s="643" t="s">
        <v>698</v>
      </c>
      <c r="F57" s="642" t="s">
        <v>3033</v>
      </c>
      <c r="G57" s="644" t="str">
        <f>VLOOKUP(WWWW[[#This Row],[Village  Name]],SiteDB6[[Site Name]:[Location Type]],8,FALSE)</f>
        <v>Village</v>
      </c>
      <c r="H57" s="642" t="s">
        <v>3065</v>
      </c>
      <c r="I57" s="646"/>
      <c r="J57" s="646">
        <v>112</v>
      </c>
      <c r="K57" s="647">
        <v>43258</v>
      </c>
      <c r="L57" s="648">
        <v>43830</v>
      </c>
      <c r="M57" s="646"/>
      <c r="N57" s="646"/>
      <c r="O57" s="524"/>
      <c r="P57" s="646"/>
      <c r="Q57" s="646"/>
      <c r="R57" s="646"/>
      <c r="S57" s="646"/>
      <c r="T57" s="646"/>
      <c r="U57" s="649"/>
      <c r="V57" s="646">
        <v>1</v>
      </c>
      <c r="W57" s="646"/>
      <c r="X57" s="646"/>
      <c r="Y57" s="646"/>
      <c r="Z57" s="646"/>
      <c r="AA57" s="646"/>
      <c r="AB57" s="646"/>
      <c r="AC57" s="649"/>
      <c r="AD57" s="646"/>
      <c r="AE57" s="646"/>
      <c r="AF57" s="646"/>
      <c r="AG57" s="646"/>
      <c r="AH57" s="646"/>
      <c r="AI57" s="646"/>
      <c r="AJ57" s="524"/>
      <c r="AK57" s="646"/>
      <c r="AL57" s="524"/>
      <c r="AM57" s="524"/>
      <c r="AN57" s="649"/>
      <c r="AO57" s="477"/>
      <c r="AP57" s="477"/>
      <c r="AQ57" s="524"/>
      <c r="AR57" s="524"/>
      <c r="AS57" s="524"/>
      <c r="AT57"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57" s="651">
        <f>WWWW[[#This Row],[%Equitable and continuous access to sufficient quantity of safe drinking water]]*WWWW[[#This Row],[Total PoP ]]</f>
        <v>0</v>
      </c>
      <c r="AV57"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57" s="651">
        <f>WWWW[[#This Row],[% Access to unimproved water points]]*WWWW[[#This Row],[Total PoP ]]</f>
        <v>0</v>
      </c>
      <c r="AX57"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57"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57" s="651">
        <f>WWWW[[#This Row],[HRP1]]/250</f>
        <v>0</v>
      </c>
      <c r="BA57" s="653">
        <f>1-WWWW[[#This Row],[% Equitable and continuous access to sufficient quantity of domestic water]]</f>
        <v>1</v>
      </c>
      <c r="BB57" s="651">
        <f>WWWW[[#This Row],[%equitable and continuous access to sufficient quantity of safe drinking and domestic water''s GAP]]*WWWW[[#This Row],[Total PoP ]]</f>
        <v>112</v>
      </c>
      <c r="BC57" s="654">
        <f>IF(WWWW[[#This Row],[Total required water points]]-WWWW[[#This Row],['#Water points coverage]]&lt;0,0,WWWW[[#This Row],[Total required water points]]-WWWW[[#This Row],['#Water points coverage]])</f>
        <v>1</v>
      </c>
      <c r="BD57" s="654">
        <f>ROUND(IF(WWWW[[#This Row],[Total PoP ]]&lt;250,1,WWWW[[#This Row],[Total PoP ]]/250),0)</f>
        <v>1</v>
      </c>
      <c r="BE5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5.3571428571428568E-2</v>
      </c>
      <c r="BF57" s="651">
        <f>WWWW[[#This Row],[% people access to functioning Latrine]]*WWWW[[#This Row],[Total PoP ]]</f>
        <v>6</v>
      </c>
      <c r="BG57" s="654">
        <f>WWWW[[#This Row],['#_of_Functioning_latrines_in_school]]*50</f>
        <v>0</v>
      </c>
      <c r="BH57" s="654">
        <f>ROUND((WWWW[[#This Row],[Total PoP ]]/6),0)</f>
        <v>19</v>
      </c>
      <c r="BI57" s="654">
        <f>IF(WWWW[[#This Row],[Total required Latrines]]-(WWWW[[#This Row],['#_of_sanitary_fly-proof_HH_latrines]])&lt;0,0,WWWW[[#This Row],[Total required Latrines]]-(WWWW[[#This Row],['#_of_sanitary_fly-proof_HH_latrines]]))</f>
        <v>18</v>
      </c>
      <c r="BJ57" s="650">
        <f>1-WWWW[[#This Row],[% people access to functioning Latrine]]</f>
        <v>0.9464285714285714</v>
      </c>
      <c r="BK57"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57" s="483">
        <f>IF(WWWW[[#This Row],['#_of_functional_handwashing_facilities_at_HH_level]]*6&gt;WWWW[[#This Row],[Total PoP ]],WWWW[[#This Row],[Total PoP ]],WWWW[[#This Row],['#_of_functional_handwashing_facilities_at_HH_level]]*6)</f>
        <v>0</v>
      </c>
      <c r="BM57" s="654">
        <f>IF(WWWW[[#This Row],['# people reached by regular dedicated hygiene promotion]]&gt;WWWW[[#This Row],['# People received regular supply of hygiene items]],WWWW[[#This Row],['# people reached by regular dedicated hygiene promotion]],WWWW[[#This Row],['# People received regular supply of hygiene items]])</f>
        <v>0</v>
      </c>
      <c r="BN57" s="653">
        <f>IF(WWWW[[#This Row],[HRP3]]/WWWW[[#This Row],[Total PoP ]]&gt;100%,100%,WWWW[[#This Row],[HRP3]]/WWWW[[#This Row],[Total PoP ]])</f>
        <v>0</v>
      </c>
      <c r="BO57" s="650">
        <f>1-WWWW[[#This Row],[Hygiene Coverage%]]</f>
        <v>1</v>
      </c>
      <c r="BP57" s="652">
        <f>WWWW[[#This Row],['# people reached by regular dedicated hygiene promotion]]/WWWW[[#This Row],[Total PoP ]]</f>
        <v>0</v>
      </c>
      <c r="BQ5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57" s="478">
        <f>WWWW[[#This Row],['#_of_affected_women_and_girls_receiving_a_sufficient_quantity_of_sanitary_pads]]</f>
        <v>0</v>
      </c>
      <c r="BS57" s="524">
        <f>IF(WWWW[[#This Row],['# People with access to soap]]&gt;WWWW[[#This Row],['# People with access to Sanity Pads]],WWWW[[#This Row],['# People with access to soap]],WWWW[[#This Row],['# People with access to Sanity Pads]])</f>
        <v>0</v>
      </c>
      <c r="BT57" s="483" t="str">
        <f>IF(OR(WWWW[[#This Row],['#of students in school]]="",WWWW[[#This Row],['#of students in school]]=0),"No","Yes")</f>
        <v>No</v>
      </c>
      <c r="BU57" s="645" t="str">
        <f>VLOOKUP(WWWW[[#This Row],[Village  Name]],SiteDB6[[Site Name]:[Location Type 1]],9,FALSE)</f>
        <v>Village</v>
      </c>
      <c r="BV57" s="645" t="str">
        <f>VLOOKUP(WWWW[[#This Row],[Village  Name]],SiteDB6[[Site Name]:[Type of Accommodation]],10,FALSE)</f>
        <v>Village</v>
      </c>
      <c r="BW57" s="645">
        <f>VLOOKUP(WWWW[[#This Row],[Village  Name]],SiteDB6[[Site Name]:[Ethnic or GCA/NGCA]],11,FALSE)</f>
        <v>0</v>
      </c>
      <c r="BX57" s="645">
        <f>VLOOKUP(WWWW[[#This Row],[Village  Name]],SiteDB6[[Site Name]:[Lat]],12,FALSE)</f>
        <v>0</v>
      </c>
      <c r="BY57" s="645">
        <f>VLOOKUP(WWWW[[#This Row],[Village  Name]],SiteDB6[[Site Name]:[Long]],13,FALSE)</f>
        <v>0</v>
      </c>
      <c r="BZ57" s="645">
        <f>VLOOKUP(WWWW[[#This Row],[Village  Name]],SiteDB6[[Site Name]:[Pcode]],3,FALSE)</f>
        <v>0</v>
      </c>
      <c r="CA57" s="645" t="str">
        <f t="shared" si="1"/>
        <v>Covered</v>
      </c>
      <c r="CB57" s="655"/>
    </row>
    <row r="58" spans="1:80">
      <c r="A58" s="641" t="s">
        <v>3150</v>
      </c>
      <c r="B58" s="641" t="s">
        <v>2994</v>
      </c>
      <c r="C58" s="642"/>
      <c r="D58" s="642" t="s">
        <v>231</v>
      </c>
      <c r="E58" s="643" t="s">
        <v>698</v>
      </c>
      <c r="F58" s="642" t="s">
        <v>3033</v>
      </c>
      <c r="G58" s="644" t="str">
        <f>VLOOKUP(WWWW[[#This Row],[Village  Name]],SiteDB6[[Site Name]:[Location Type]],8,FALSE)</f>
        <v>Village</v>
      </c>
      <c r="H58" s="642" t="s">
        <v>3066</v>
      </c>
      <c r="I58" s="646"/>
      <c r="J58" s="646">
        <v>166</v>
      </c>
      <c r="K58" s="647">
        <v>43258</v>
      </c>
      <c r="L58" s="648">
        <v>43830</v>
      </c>
      <c r="M58" s="646"/>
      <c r="N58" s="646"/>
      <c r="O58" s="524"/>
      <c r="P58" s="646"/>
      <c r="Q58" s="646"/>
      <c r="R58" s="646"/>
      <c r="S58" s="646"/>
      <c r="T58" s="646"/>
      <c r="U58" s="649"/>
      <c r="V58" s="646">
        <v>15</v>
      </c>
      <c r="W58" s="646"/>
      <c r="X58" s="646"/>
      <c r="Y58" s="646"/>
      <c r="Z58" s="646"/>
      <c r="AA58" s="646"/>
      <c r="AB58" s="646"/>
      <c r="AC58" s="649"/>
      <c r="AD58" s="646"/>
      <c r="AE58" s="646"/>
      <c r="AF58" s="646"/>
      <c r="AG58" s="646"/>
      <c r="AH58" s="646"/>
      <c r="AI58" s="646"/>
      <c r="AJ58" s="524"/>
      <c r="AK58" s="646"/>
      <c r="AL58" s="524"/>
      <c r="AM58" s="524"/>
      <c r="AN58" s="649"/>
      <c r="AO58" s="477"/>
      <c r="AP58" s="477"/>
      <c r="AQ58" s="524"/>
      <c r="AR58" s="524"/>
      <c r="AS58" s="524"/>
      <c r="AT58"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58" s="651">
        <f>WWWW[[#This Row],[%Equitable and continuous access to sufficient quantity of safe drinking water]]*WWWW[[#This Row],[Total PoP ]]</f>
        <v>0</v>
      </c>
      <c r="AV58"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58" s="651">
        <f>WWWW[[#This Row],[% Access to unimproved water points]]*WWWW[[#This Row],[Total PoP ]]</f>
        <v>0</v>
      </c>
      <c r="AX58"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58"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58" s="651">
        <f>WWWW[[#This Row],[HRP1]]/250</f>
        <v>0</v>
      </c>
      <c r="BA58" s="653">
        <f>1-WWWW[[#This Row],[% Equitable and continuous access to sufficient quantity of domestic water]]</f>
        <v>1</v>
      </c>
      <c r="BB58" s="651">
        <f>WWWW[[#This Row],[%equitable and continuous access to sufficient quantity of safe drinking and domestic water''s GAP]]*WWWW[[#This Row],[Total PoP ]]</f>
        <v>166</v>
      </c>
      <c r="BC58" s="654">
        <f>IF(WWWW[[#This Row],[Total required water points]]-WWWW[[#This Row],['#Water points coverage]]&lt;0,0,WWWW[[#This Row],[Total required water points]]-WWWW[[#This Row],['#Water points coverage]])</f>
        <v>1</v>
      </c>
      <c r="BD58" s="654">
        <f>ROUND(IF(WWWW[[#This Row],[Total PoP ]]&lt;250,1,WWWW[[#This Row],[Total PoP ]]/250),0)</f>
        <v>1</v>
      </c>
      <c r="BE5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0.54216867469879515</v>
      </c>
      <c r="BF58" s="651">
        <f>WWWW[[#This Row],[% people access to functioning Latrine]]*WWWW[[#This Row],[Total PoP ]]</f>
        <v>90</v>
      </c>
      <c r="BG58" s="654">
        <f>WWWW[[#This Row],['#_of_Functioning_latrines_in_school]]*50</f>
        <v>0</v>
      </c>
      <c r="BH58" s="654">
        <f>ROUND((WWWW[[#This Row],[Total PoP ]]/6),0)</f>
        <v>28</v>
      </c>
      <c r="BI58" s="654">
        <f>IF(WWWW[[#This Row],[Total required Latrines]]-(WWWW[[#This Row],['#_of_sanitary_fly-proof_HH_latrines]])&lt;0,0,WWWW[[#This Row],[Total required Latrines]]-(WWWW[[#This Row],['#_of_sanitary_fly-proof_HH_latrines]]))</f>
        <v>13</v>
      </c>
      <c r="BJ58" s="650">
        <f>1-WWWW[[#This Row],[% people access to functioning Latrine]]</f>
        <v>0.45783132530120485</v>
      </c>
      <c r="BK58"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58" s="483">
        <f>IF(WWWW[[#This Row],['#_of_functional_handwashing_facilities_at_HH_level]]*6&gt;WWWW[[#This Row],[Total PoP ]],WWWW[[#This Row],[Total PoP ]],WWWW[[#This Row],['#_of_functional_handwashing_facilities_at_HH_level]]*6)</f>
        <v>0</v>
      </c>
      <c r="BM58" s="654">
        <f>IF(WWWW[[#This Row],['# people reached by regular dedicated hygiene promotion]]&gt;WWWW[[#This Row],['# People received regular supply of hygiene items]],WWWW[[#This Row],['# people reached by regular dedicated hygiene promotion]],WWWW[[#This Row],['# People received regular supply of hygiene items]])</f>
        <v>0</v>
      </c>
      <c r="BN58" s="653">
        <f>IF(WWWW[[#This Row],[HRP3]]/WWWW[[#This Row],[Total PoP ]]&gt;100%,100%,WWWW[[#This Row],[HRP3]]/WWWW[[#This Row],[Total PoP ]])</f>
        <v>0</v>
      </c>
      <c r="BO58" s="650">
        <f>1-WWWW[[#This Row],[Hygiene Coverage%]]</f>
        <v>1</v>
      </c>
      <c r="BP58" s="652">
        <f>WWWW[[#This Row],['# people reached by regular dedicated hygiene promotion]]/WWWW[[#This Row],[Total PoP ]]</f>
        <v>0</v>
      </c>
      <c r="BQ5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58" s="478">
        <f>WWWW[[#This Row],['#_of_affected_women_and_girls_receiving_a_sufficient_quantity_of_sanitary_pads]]</f>
        <v>0</v>
      </c>
      <c r="BS58" s="524">
        <f>IF(WWWW[[#This Row],['# People with access to soap]]&gt;WWWW[[#This Row],['# People with access to Sanity Pads]],WWWW[[#This Row],['# People with access to soap]],WWWW[[#This Row],['# People with access to Sanity Pads]])</f>
        <v>0</v>
      </c>
      <c r="BT58" s="483" t="str">
        <f>IF(OR(WWWW[[#This Row],['#of students in school]]="",WWWW[[#This Row],['#of students in school]]=0),"No","Yes")</f>
        <v>No</v>
      </c>
      <c r="BU58" s="645" t="str">
        <f>VLOOKUP(WWWW[[#This Row],[Village  Name]],SiteDB6[[Site Name]:[Location Type 1]],9,FALSE)</f>
        <v>Village</v>
      </c>
      <c r="BV58" s="645" t="str">
        <f>VLOOKUP(WWWW[[#This Row],[Village  Name]],SiteDB6[[Site Name]:[Type of Accommodation]],10,FALSE)</f>
        <v>Village</v>
      </c>
      <c r="BW58" s="645">
        <f>VLOOKUP(WWWW[[#This Row],[Village  Name]],SiteDB6[[Site Name]:[Ethnic or GCA/NGCA]],11,FALSE)</f>
        <v>0</v>
      </c>
      <c r="BX58" s="645">
        <f>VLOOKUP(WWWW[[#This Row],[Village  Name]],SiteDB6[[Site Name]:[Lat]],12,FALSE)</f>
        <v>0</v>
      </c>
      <c r="BY58" s="645">
        <f>VLOOKUP(WWWW[[#This Row],[Village  Name]],SiteDB6[[Site Name]:[Long]],13,FALSE)</f>
        <v>0</v>
      </c>
      <c r="BZ58" s="645">
        <f>VLOOKUP(WWWW[[#This Row],[Village  Name]],SiteDB6[[Site Name]:[Pcode]],3,FALSE)</f>
        <v>0</v>
      </c>
      <c r="CA58" s="645" t="str">
        <f t="shared" si="1"/>
        <v>Covered</v>
      </c>
      <c r="CB58" s="655"/>
    </row>
    <row r="59" spans="1:80">
      <c r="A59" s="641" t="s">
        <v>3150</v>
      </c>
      <c r="B59" s="641" t="s">
        <v>2994</v>
      </c>
      <c r="C59" s="642"/>
      <c r="D59" s="642" t="s">
        <v>231</v>
      </c>
      <c r="E59" s="643" t="s">
        <v>698</v>
      </c>
      <c r="F59" s="642" t="s">
        <v>3033</v>
      </c>
      <c r="G59" s="644" t="str">
        <f>VLOOKUP(WWWW[[#This Row],[Village  Name]],SiteDB6[[Site Name]:[Location Type]],8,FALSE)</f>
        <v>Village</v>
      </c>
      <c r="H59" s="642" t="s">
        <v>3067</v>
      </c>
      <c r="I59" s="646"/>
      <c r="J59" s="646">
        <v>343</v>
      </c>
      <c r="K59" s="647">
        <v>43258</v>
      </c>
      <c r="L59" s="648">
        <v>43830</v>
      </c>
      <c r="M59" s="646"/>
      <c r="N59" s="646"/>
      <c r="O59" s="524"/>
      <c r="P59" s="646"/>
      <c r="Q59" s="646"/>
      <c r="R59" s="646"/>
      <c r="S59" s="646"/>
      <c r="T59" s="646"/>
      <c r="U59" s="649"/>
      <c r="V59" s="646">
        <v>9</v>
      </c>
      <c r="W59" s="646"/>
      <c r="X59" s="646"/>
      <c r="Y59" s="646"/>
      <c r="Z59" s="646"/>
      <c r="AA59" s="646"/>
      <c r="AB59" s="646"/>
      <c r="AC59" s="649"/>
      <c r="AD59" s="646"/>
      <c r="AE59" s="646"/>
      <c r="AF59" s="646"/>
      <c r="AG59" s="646"/>
      <c r="AH59" s="646"/>
      <c r="AI59" s="646"/>
      <c r="AJ59" s="524"/>
      <c r="AK59" s="646"/>
      <c r="AL59" s="524"/>
      <c r="AM59" s="524"/>
      <c r="AN59" s="649"/>
      <c r="AO59" s="477"/>
      <c r="AP59" s="477"/>
      <c r="AQ59" s="524"/>
      <c r="AR59" s="524"/>
      <c r="AS59" s="524"/>
      <c r="AT59"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59" s="651">
        <f>WWWW[[#This Row],[%Equitable and continuous access to sufficient quantity of safe drinking water]]*WWWW[[#This Row],[Total PoP ]]</f>
        <v>0</v>
      </c>
      <c r="AV59"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59" s="651">
        <f>WWWW[[#This Row],[% Access to unimproved water points]]*WWWW[[#This Row],[Total PoP ]]</f>
        <v>0</v>
      </c>
      <c r="AX59"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59"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59" s="651">
        <f>WWWW[[#This Row],[HRP1]]/250</f>
        <v>0</v>
      </c>
      <c r="BA59" s="653">
        <f>1-WWWW[[#This Row],[% Equitable and continuous access to sufficient quantity of domestic water]]</f>
        <v>1</v>
      </c>
      <c r="BB59" s="651">
        <f>WWWW[[#This Row],[%equitable and continuous access to sufficient quantity of safe drinking and domestic water''s GAP]]*WWWW[[#This Row],[Total PoP ]]</f>
        <v>343</v>
      </c>
      <c r="BC59" s="654">
        <f>IF(WWWW[[#This Row],[Total required water points]]-WWWW[[#This Row],['#Water points coverage]]&lt;0,0,WWWW[[#This Row],[Total required water points]]-WWWW[[#This Row],['#Water points coverage]])</f>
        <v>1</v>
      </c>
      <c r="BD59" s="654">
        <f>ROUND(IF(WWWW[[#This Row],[Total PoP ]]&lt;250,1,WWWW[[#This Row],[Total PoP ]]/250),0)</f>
        <v>1</v>
      </c>
      <c r="BE5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0.15743440233236153</v>
      </c>
      <c r="BF59" s="651">
        <f>WWWW[[#This Row],[% people access to functioning Latrine]]*WWWW[[#This Row],[Total PoP ]]</f>
        <v>54.000000000000007</v>
      </c>
      <c r="BG59" s="654">
        <f>WWWW[[#This Row],['#_of_Functioning_latrines_in_school]]*50</f>
        <v>0</v>
      </c>
      <c r="BH59" s="654">
        <f>ROUND((WWWW[[#This Row],[Total PoP ]]/6),0)</f>
        <v>57</v>
      </c>
      <c r="BI59" s="654">
        <f>IF(WWWW[[#This Row],[Total required Latrines]]-(WWWW[[#This Row],['#_of_sanitary_fly-proof_HH_latrines]])&lt;0,0,WWWW[[#This Row],[Total required Latrines]]-(WWWW[[#This Row],['#_of_sanitary_fly-proof_HH_latrines]]))</f>
        <v>48</v>
      </c>
      <c r="BJ59" s="650">
        <f>1-WWWW[[#This Row],[% people access to functioning Latrine]]</f>
        <v>0.8425655976676385</v>
      </c>
      <c r="BK59"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59" s="483">
        <f>IF(WWWW[[#This Row],['#_of_functional_handwashing_facilities_at_HH_level]]*6&gt;WWWW[[#This Row],[Total PoP ]],WWWW[[#This Row],[Total PoP ]],WWWW[[#This Row],['#_of_functional_handwashing_facilities_at_HH_level]]*6)</f>
        <v>0</v>
      </c>
      <c r="BM59" s="654">
        <f>IF(WWWW[[#This Row],['# people reached by regular dedicated hygiene promotion]]&gt;WWWW[[#This Row],['# People received regular supply of hygiene items]],WWWW[[#This Row],['# people reached by regular dedicated hygiene promotion]],WWWW[[#This Row],['# People received regular supply of hygiene items]])</f>
        <v>0</v>
      </c>
      <c r="BN59" s="653">
        <f>IF(WWWW[[#This Row],[HRP3]]/WWWW[[#This Row],[Total PoP ]]&gt;100%,100%,WWWW[[#This Row],[HRP3]]/WWWW[[#This Row],[Total PoP ]])</f>
        <v>0</v>
      </c>
      <c r="BO59" s="650">
        <f>1-WWWW[[#This Row],[Hygiene Coverage%]]</f>
        <v>1</v>
      </c>
      <c r="BP59" s="652">
        <f>WWWW[[#This Row],['# people reached by regular dedicated hygiene promotion]]/WWWW[[#This Row],[Total PoP ]]</f>
        <v>0</v>
      </c>
      <c r="BQ5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59" s="478">
        <f>WWWW[[#This Row],['#_of_affected_women_and_girls_receiving_a_sufficient_quantity_of_sanitary_pads]]</f>
        <v>0</v>
      </c>
      <c r="BS59" s="524">
        <f>IF(WWWW[[#This Row],['# People with access to soap]]&gt;WWWW[[#This Row],['# People with access to Sanity Pads]],WWWW[[#This Row],['# People with access to soap]],WWWW[[#This Row],['# People with access to Sanity Pads]])</f>
        <v>0</v>
      </c>
      <c r="BT59" s="483" t="str">
        <f>IF(OR(WWWW[[#This Row],['#of students in school]]="",WWWW[[#This Row],['#of students in school]]=0),"No","Yes")</f>
        <v>No</v>
      </c>
      <c r="BU59" s="645" t="str">
        <f>VLOOKUP(WWWW[[#This Row],[Village  Name]],SiteDB6[[Site Name]:[Location Type 1]],9,FALSE)</f>
        <v>Village</v>
      </c>
      <c r="BV59" s="645" t="str">
        <f>VLOOKUP(WWWW[[#This Row],[Village  Name]],SiteDB6[[Site Name]:[Type of Accommodation]],10,FALSE)</f>
        <v>Village</v>
      </c>
      <c r="BW59" s="645">
        <f>VLOOKUP(WWWW[[#This Row],[Village  Name]],SiteDB6[[Site Name]:[Ethnic or GCA/NGCA]],11,FALSE)</f>
        <v>0</v>
      </c>
      <c r="BX59" s="645">
        <f>VLOOKUP(WWWW[[#This Row],[Village  Name]],SiteDB6[[Site Name]:[Lat]],12,FALSE)</f>
        <v>0</v>
      </c>
      <c r="BY59" s="645">
        <f>VLOOKUP(WWWW[[#This Row],[Village  Name]],SiteDB6[[Site Name]:[Long]],13,FALSE)</f>
        <v>0</v>
      </c>
      <c r="BZ59" s="645">
        <f>VLOOKUP(WWWW[[#This Row],[Village  Name]],SiteDB6[[Site Name]:[Pcode]],3,FALSE)</f>
        <v>0</v>
      </c>
      <c r="CA59" s="645" t="str">
        <f t="shared" si="1"/>
        <v>Covered</v>
      </c>
      <c r="CB59" s="655"/>
    </row>
    <row r="60" spans="1:80">
      <c r="A60" s="641" t="s">
        <v>3150</v>
      </c>
      <c r="B60" s="641" t="s">
        <v>2994</v>
      </c>
      <c r="C60" s="642"/>
      <c r="D60" s="642" t="s">
        <v>231</v>
      </c>
      <c r="E60" s="643" t="s">
        <v>698</v>
      </c>
      <c r="F60" s="642" t="s">
        <v>3068</v>
      </c>
      <c r="G60" s="644" t="str">
        <f>VLOOKUP(WWWW[[#This Row],[Village  Name]],SiteDB6[[Site Name]:[Location Type]],8,FALSE)</f>
        <v>Village</v>
      </c>
      <c r="H60" s="642" t="s">
        <v>3073</v>
      </c>
      <c r="I60" s="646"/>
      <c r="J60" s="646">
        <v>134</v>
      </c>
      <c r="K60" s="647">
        <v>43258</v>
      </c>
      <c r="L60" s="648">
        <v>43830</v>
      </c>
      <c r="M60" s="646"/>
      <c r="N60" s="646"/>
      <c r="O60" s="524"/>
      <c r="P60" s="646"/>
      <c r="Q60" s="646"/>
      <c r="R60" s="646"/>
      <c r="S60" s="646"/>
      <c r="T60" s="646"/>
      <c r="U60" s="649"/>
      <c r="V60" s="646">
        <v>6</v>
      </c>
      <c r="W60" s="646"/>
      <c r="X60" s="646"/>
      <c r="Y60" s="646"/>
      <c r="Z60" s="646"/>
      <c r="AA60" s="646"/>
      <c r="AB60" s="646"/>
      <c r="AC60" s="649"/>
      <c r="AD60" s="646">
        <v>10</v>
      </c>
      <c r="AE60" s="646">
        <v>14</v>
      </c>
      <c r="AF60" s="646">
        <v>3</v>
      </c>
      <c r="AG60" s="646">
        <v>2</v>
      </c>
      <c r="AH60" s="646"/>
      <c r="AI60" s="646"/>
      <c r="AJ60" s="524"/>
      <c r="AK60" s="646"/>
      <c r="AL60" s="524"/>
      <c r="AM60" s="524"/>
      <c r="AN60" s="649"/>
      <c r="AO60" s="477"/>
      <c r="AP60" s="477"/>
      <c r="AQ60" s="524"/>
      <c r="AR60" s="524"/>
      <c r="AS60" s="524"/>
      <c r="AT60"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60" s="651">
        <f>WWWW[[#This Row],[%Equitable and continuous access to sufficient quantity of safe drinking water]]*WWWW[[#This Row],[Total PoP ]]</f>
        <v>0</v>
      </c>
      <c r="AV60"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60" s="651">
        <f>WWWW[[#This Row],[% Access to unimproved water points]]*WWWW[[#This Row],[Total PoP ]]</f>
        <v>0</v>
      </c>
      <c r="AX60"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60"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60" s="651">
        <f>WWWW[[#This Row],[HRP1]]/250</f>
        <v>0</v>
      </c>
      <c r="BA60" s="653">
        <f>1-WWWW[[#This Row],[% Equitable and continuous access to sufficient quantity of domestic water]]</f>
        <v>1</v>
      </c>
      <c r="BB60" s="651">
        <f>WWWW[[#This Row],[%equitable and continuous access to sufficient quantity of safe drinking and domestic water''s GAP]]*WWWW[[#This Row],[Total PoP ]]</f>
        <v>134</v>
      </c>
      <c r="BC60" s="654">
        <f>IF(WWWW[[#This Row],[Total required water points]]-WWWW[[#This Row],['#Water points coverage]]&lt;0,0,WWWW[[#This Row],[Total required water points]]-WWWW[[#This Row],['#Water points coverage]])</f>
        <v>1</v>
      </c>
      <c r="BD60" s="654">
        <f>ROUND(IF(WWWW[[#This Row],[Total PoP ]]&lt;250,1,WWWW[[#This Row],[Total PoP ]]/250),0)</f>
        <v>1</v>
      </c>
      <c r="BE6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0.26865671641791045</v>
      </c>
      <c r="BF60" s="651">
        <f>WWWW[[#This Row],[% people access to functioning Latrine]]*WWWW[[#This Row],[Total PoP ]]</f>
        <v>36</v>
      </c>
      <c r="BG60" s="654">
        <f>WWWW[[#This Row],['#_of_Functioning_latrines_in_school]]*50</f>
        <v>0</v>
      </c>
      <c r="BH60" s="654">
        <f>ROUND((WWWW[[#This Row],[Total PoP ]]/6),0)</f>
        <v>22</v>
      </c>
      <c r="BI60" s="654">
        <f>IF(WWWW[[#This Row],[Total required Latrines]]-(WWWW[[#This Row],['#_of_sanitary_fly-proof_HH_latrines]])&lt;0,0,WWWW[[#This Row],[Total required Latrines]]-(WWWW[[#This Row],['#_of_sanitary_fly-proof_HH_latrines]]))</f>
        <v>16</v>
      </c>
      <c r="BJ60" s="650">
        <f>1-WWWW[[#This Row],[% people access to functioning Latrine]]</f>
        <v>0.73134328358208955</v>
      </c>
      <c r="BK60"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29</v>
      </c>
      <c r="BL60" s="483">
        <f>IF(WWWW[[#This Row],['#_of_functional_handwashing_facilities_at_HH_level]]*6&gt;WWWW[[#This Row],[Total PoP ]],WWWW[[#This Row],[Total PoP ]],WWWW[[#This Row],['#_of_functional_handwashing_facilities_at_HH_level]]*6)</f>
        <v>0</v>
      </c>
      <c r="BM60" s="654">
        <f>IF(WWWW[[#This Row],['# people reached by regular dedicated hygiene promotion]]&gt;WWWW[[#This Row],['# People received regular supply of hygiene items]],WWWW[[#This Row],['# people reached by regular dedicated hygiene promotion]],WWWW[[#This Row],['# People received regular supply of hygiene items]])</f>
        <v>29</v>
      </c>
      <c r="BN60" s="653">
        <f>IF(WWWW[[#This Row],[HRP3]]/WWWW[[#This Row],[Total PoP ]]&gt;100%,100%,WWWW[[#This Row],[HRP3]]/WWWW[[#This Row],[Total PoP ]])</f>
        <v>0.21641791044776118</v>
      </c>
      <c r="BO60" s="650">
        <f>1-WWWW[[#This Row],[Hygiene Coverage%]]</f>
        <v>0.78358208955223885</v>
      </c>
      <c r="BP60" s="652">
        <f>WWWW[[#This Row],['# people reached by regular dedicated hygiene promotion]]/WWWW[[#This Row],[Total PoP ]]</f>
        <v>0.21641791044776118</v>
      </c>
      <c r="BQ6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60" s="478">
        <f>WWWW[[#This Row],['#_of_affected_women_and_girls_receiving_a_sufficient_quantity_of_sanitary_pads]]</f>
        <v>0</v>
      </c>
      <c r="BS60" s="524">
        <f>IF(WWWW[[#This Row],['# People with access to soap]]&gt;WWWW[[#This Row],['# People with access to Sanity Pads]],WWWW[[#This Row],['# People with access to soap]],WWWW[[#This Row],['# People with access to Sanity Pads]])</f>
        <v>0</v>
      </c>
      <c r="BT60" s="483" t="str">
        <f>IF(OR(WWWW[[#This Row],['#of students in school]]="",WWWW[[#This Row],['#of students in school]]=0),"No","Yes")</f>
        <v>No</v>
      </c>
      <c r="BU60" s="645" t="str">
        <f>VLOOKUP(WWWW[[#This Row],[Village  Name]],SiteDB6[[Site Name]:[Location Type 1]],9,FALSE)</f>
        <v>Village</v>
      </c>
      <c r="BV60" s="645" t="str">
        <f>VLOOKUP(WWWW[[#This Row],[Village  Name]],SiteDB6[[Site Name]:[Type of Accommodation]],10,FALSE)</f>
        <v>Village</v>
      </c>
      <c r="BW60" s="645">
        <f>VLOOKUP(WWWW[[#This Row],[Village  Name]],SiteDB6[[Site Name]:[Ethnic or GCA/NGCA]],11,FALSE)</f>
        <v>0</v>
      </c>
      <c r="BX60" s="645">
        <f>VLOOKUP(WWWW[[#This Row],[Village  Name]],SiteDB6[[Site Name]:[Lat]],12,FALSE)</f>
        <v>0</v>
      </c>
      <c r="BY60" s="645">
        <f>VLOOKUP(WWWW[[#This Row],[Village  Name]],SiteDB6[[Site Name]:[Long]],13,FALSE)</f>
        <v>0</v>
      </c>
      <c r="BZ60" s="645">
        <f>VLOOKUP(WWWW[[#This Row],[Village  Name]],SiteDB6[[Site Name]:[Pcode]],3,FALSE)</f>
        <v>0</v>
      </c>
      <c r="CA60" s="645" t="str">
        <f t="shared" si="1"/>
        <v>Covered</v>
      </c>
      <c r="CB60" s="655"/>
    </row>
    <row r="61" spans="1:80">
      <c r="A61" s="641" t="s">
        <v>3150</v>
      </c>
      <c r="B61" s="641" t="s">
        <v>2994</v>
      </c>
      <c r="C61" s="642"/>
      <c r="D61" s="642" t="s">
        <v>231</v>
      </c>
      <c r="E61" s="643" t="s">
        <v>698</v>
      </c>
      <c r="F61" s="642" t="s">
        <v>3068</v>
      </c>
      <c r="G61" s="644" t="str">
        <f>VLOOKUP(WWWW[[#This Row],[Village  Name]],SiteDB6[[Site Name]:[Location Type]],8,FALSE)</f>
        <v>Village</v>
      </c>
      <c r="H61" s="642" t="s">
        <v>3074</v>
      </c>
      <c r="I61" s="646"/>
      <c r="J61" s="646">
        <v>157</v>
      </c>
      <c r="K61" s="647">
        <v>43258</v>
      </c>
      <c r="L61" s="648">
        <v>43830</v>
      </c>
      <c r="M61" s="646"/>
      <c r="N61" s="646"/>
      <c r="O61" s="524"/>
      <c r="P61" s="646"/>
      <c r="Q61" s="646"/>
      <c r="R61" s="646"/>
      <c r="S61" s="646"/>
      <c r="T61" s="646"/>
      <c r="U61" s="649"/>
      <c r="V61" s="646">
        <v>1</v>
      </c>
      <c r="W61" s="646"/>
      <c r="X61" s="646"/>
      <c r="Y61" s="646"/>
      <c r="Z61" s="646"/>
      <c r="AA61" s="646"/>
      <c r="AB61" s="646"/>
      <c r="AC61" s="649"/>
      <c r="AD61" s="646">
        <v>11</v>
      </c>
      <c r="AE61" s="646">
        <v>14</v>
      </c>
      <c r="AF61" s="646">
        <v>5</v>
      </c>
      <c r="AG61" s="646">
        <v>8</v>
      </c>
      <c r="AH61" s="646"/>
      <c r="AI61" s="646"/>
      <c r="AJ61" s="524"/>
      <c r="AK61" s="646"/>
      <c r="AL61" s="524"/>
      <c r="AM61" s="524"/>
      <c r="AN61" s="649"/>
      <c r="AO61" s="477"/>
      <c r="AP61" s="477"/>
      <c r="AQ61" s="524"/>
      <c r="AR61" s="524"/>
      <c r="AS61" s="524"/>
      <c r="AT61" s="65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61" s="651">
        <f>WWWW[[#This Row],[%Equitable and continuous access to sufficient quantity of safe drinking water]]*WWWW[[#This Row],[Total PoP ]]</f>
        <v>0</v>
      </c>
      <c r="AV61" s="65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61" s="651">
        <f>WWWW[[#This Row],[% Access to unimproved water points]]*WWWW[[#This Row],[Total PoP ]]</f>
        <v>0</v>
      </c>
      <c r="AX61" s="65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61" s="65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61" s="651">
        <f>WWWW[[#This Row],[HRP1]]/250</f>
        <v>0</v>
      </c>
      <c r="BA61" s="653">
        <f>1-WWWW[[#This Row],[% Equitable and continuous access to sufficient quantity of domestic water]]</f>
        <v>1</v>
      </c>
      <c r="BB61" s="651">
        <f>WWWW[[#This Row],[%equitable and continuous access to sufficient quantity of safe drinking and domestic water''s GAP]]*WWWW[[#This Row],[Total PoP ]]</f>
        <v>157</v>
      </c>
      <c r="BC61" s="654">
        <f>IF(WWWW[[#This Row],[Total required water points]]-WWWW[[#This Row],['#Water points coverage]]&lt;0,0,WWWW[[#This Row],[Total required water points]]-WWWW[[#This Row],['#Water points coverage]])</f>
        <v>1</v>
      </c>
      <c r="BD61" s="654">
        <f>ROUND(IF(WWWW[[#This Row],[Total PoP ]]&lt;250,1,WWWW[[#This Row],[Total PoP ]]/250),0)</f>
        <v>1</v>
      </c>
      <c r="BE6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3.8216560509554139E-2</v>
      </c>
      <c r="BF61" s="651">
        <f>WWWW[[#This Row],[% people access to functioning Latrine]]*WWWW[[#This Row],[Total PoP ]]</f>
        <v>6</v>
      </c>
      <c r="BG61" s="654">
        <f>WWWW[[#This Row],['#_of_Functioning_latrines_in_school]]*50</f>
        <v>0</v>
      </c>
      <c r="BH61" s="654">
        <f>ROUND((WWWW[[#This Row],[Total PoP ]]/6),0)</f>
        <v>26</v>
      </c>
      <c r="BI61" s="654">
        <f>IF(WWWW[[#This Row],[Total required Latrines]]-(WWWW[[#This Row],['#_of_sanitary_fly-proof_HH_latrines]])&lt;0,0,WWWW[[#This Row],[Total required Latrines]]-(WWWW[[#This Row],['#_of_sanitary_fly-proof_HH_latrines]]))</f>
        <v>25</v>
      </c>
      <c r="BJ61" s="650">
        <f>1-WWWW[[#This Row],[% people access to functioning Latrine]]</f>
        <v>0.96178343949044587</v>
      </c>
      <c r="BK61" s="65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38</v>
      </c>
      <c r="BL61" s="483">
        <f>IF(WWWW[[#This Row],['#_of_functional_handwashing_facilities_at_HH_level]]*6&gt;WWWW[[#This Row],[Total PoP ]],WWWW[[#This Row],[Total PoP ]],WWWW[[#This Row],['#_of_functional_handwashing_facilities_at_HH_level]]*6)</f>
        <v>0</v>
      </c>
      <c r="BM61" s="654">
        <f>IF(WWWW[[#This Row],['# people reached by regular dedicated hygiene promotion]]&gt;WWWW[[#This Row],['# People received regular supply of hygiene items]],WWWW[[#This Row],['# people reached by regular dedicated hygiene promotion]],WWWW[[#This Row],['# People received regular supply of hygiene items]])</f>
        <v>38</v>
      </c>
      <c r="BN61" s="653">
        <f>IF(WWWW[[#This Row],[HRP3]]/WWWW[[#This Row],[Total PoP ]]&gt;100%,100%,WWWW[[#This Row],[HRP3]]/WWWW[[#This Row],[Total PoP ]])</f>
        <v>0.24203821656050956</v>
      </c>
      <c r="BO61" s="650">
        <f>1-WWWW[[#This Row],[Hygiene Coverage%]]</f>
        <v>0.7579617834394905</v>
      </c>
      <c r="BP61" s="652">
        <f>WWWW[[#This Row],['# people reached by regular dedicated hygiene promotion]]/WWWW[[#This Row],[Total PoP ]]</f>
        <v>0.24203821656050956</v>
      </c>
      <c r="BQ6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61" s="478">
        <f>WWWW[[#This Row],['#_of_affected_women_and_girls_receiving_a_sufficient_quantity_of_sanitary_pads]]</f>
        <v>0</v>
      </c>
      <c r="BS61" s="524">
        <f>IF(WWWW[[#This Row],['# People with access to soap]]&gt;WWWW[[#This Row],['# People with access to Sanity Pads]],WWWW[[#This Row],['# People with access to soap]],WWWW[[#This Row],['# People with access to Sanity Pads]])</f>
        <v>0</v>
      </c>
      <c r="BT61" s="483" t="str">
        <f>IF(OR(WWWW[[#This Row],['#of students in school]]="",WWWW[[#This Row],['#of students in school]]=0),"No","Yes")</f>
        <v>No</v>
      </c>
      <c r="BU61" s="645" t="str">
        <f>VLOOKUP(WWWW[[#This Row],[Village  Name]],SiteDB6[[Site Name]:[Location Type 1]],9,FALSE)</f>
        <v>Village</v>
      </c>
      <c r="BV61" s="645" t="str">
        <f>VLOOKUP(WWWW[[#This Row],[Village  Name]],SiteDB6[[Site Name]:[Type of Accommodation]],10,FALSE)</f>
        <v>Village</v>
      </c>
      <c r="BW61" s="645">
        <f>VLOOKUP(WWWW[[#This Row],[Village  Name]],SiteDB6[[Site Name]:[Ethnic or GCA/NGCA]],11,FALSE)</f>
        <v>0</v>
      </c>
      <c r="BX61" s="645">
        <f>VLOOKUP(WWWW[[#This Row],[Village  Name]],SiteDB6[[Site Name]:[Lat]],12,FALSE)</f>
        <v>0</v>
      </c>
      <c r="BY61" s="645">
        <f>VLOOKUP(WWWW[[#This Row],[Village  Name]],SiteDB6[[Site Name]:[Long]],13,FALSE)</f>
        <v>0</v>
      </c>
      <c r="BZ61" s="645">
        <f>VLOOKUP(WWWW[[#This Row],[Village  Name]],SiteDB6[[Site Name]:[Pcode]],3,FALSE)</f>
        <v>0</v>
      </c>
      <c r="CA61" s="645" t="str">
        <f t="shared" si="1"/>
        <v>Covered</v>
      </c>
      <c r="CB61" s="655"/>
    </row>
    <row r="62" spans="1:80">
      <c r="A62" s="774" t="s">
        <v>3150</v>
      </c>
      <c r="B62" s="774" t="s">
        <v>287</v>
      </c>
      <c r="C62" s="415" t="s">
        <v>287</v>
      </c>
      <c r="D62" s="415" t="s">
        <v>234</v>
      </c>
      <c r="E62" s="415" t="s">
        <v>2648</v>
      </c>
      <c r="F62" s="415" t="s">
        <v>402</v>
      </c>
      <c r="G62" s="644" t="str">
        <f>VLOOKUP(WWWW[[#This Row],[Village  Name]],SiteDB6[[Site Name]:[Location Type]],8,FALSE)</f>
        <v>Village</v>
      </c>
      <c r="H62" s="415" t="s">
        <v>408</v>
      </c>
      <c r="I62" s="524">
        <v>204</v>
      </c>
      <c r="J62" s="524">
        <v>1055</v>
      </c>
      <c r="K62" s="418">
        <v>43556</v>
      </c>
      <c r="L62" s="55">
        <v>44012</v>
      </c>
      <c r="M62" s="524">
        <v>241</v>
      </c>
      <c r="N62" s="524"/>
      <c r="O62" s="524"/>
      <c r="P62" s="524"/>
      <c r="Q62" s="524">
        <v>3</v>
      </c>
      <c r="R62" s="524"/>
      <c r="S62" s="524">
        <v>1055</v>
      </c>
      <c r="T62" s="524"/>
      <c r="U62" s="551"/>
      <c r="V62" s="524"/>
      <c r="W62" s="524" t="s">
        <v>40</v>
      </c>
      <c r="X62" s="524">
        <v>2</v>
      </c>
      <c r="Y62" s="524"/>
      <c r="Z62" s="524"/>
      <c r="AA62" s="524"/>
      <c r="AB62" s="524"/>
      <c r="AC62" s="551"/>
      <c r="AD62" s="524">
        <v>60</v>
      </c>
      <c r="AE62" s="524">
        <v>87</v>
      </c>
      <c r="AF62" s="524">
        <v>56</v>
      </c>
      <c r="AG62" s="524">
        <v>54</v>
      </c>
      <c r="AH62" s="524">
        <v>36</v>
      </c>
      <c r="AI62" s="524">
        <v>53</v>
      </c>
      <c r="AJ62" s="524"/>
      <c r="AK62" s="524">
        <v>1</v>
      </c>
      <c r="AL62" s="524">
        <v>204</v>
      </c>
      <c r="AM62" s="524"/>
      <c r="AN62" s="551"/>
      <c r="AO62" s="477"/>
      <c r="AP62" s="477"/>
      <c r="AQ62" s="524"/>
      <c r="AR62" s="524"/>
      <c r="AS62" s="524"/>
      <c r="AT6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62" s="483">
        <f>WWWW[[#This Row],[%Equitable and continuous access to sufficient quantity of safe drinking water]]*WWWW[[#This Row],[Total PoP ]]</f>
        <v>0</v>
      </c>
      <c r="AV6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62" s="483">
        <f>WWWW[[#This Row],[% Access to unimproved water points]]*WWWW[[#This Row],[Total PoP ]]</f>
        <v>1055</v>
      </c>
      <c r="AX6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6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1055</v>
      </c>
      <c r="AZ62" s="483">
        <f>WWWW[[#This Row],[HRP1]]/250</f>
        <v>4.22</v>
      </c>
      <c r="BA62" s="476">
        <f>1-WWWW[[#This Row],[% Equitable and continuous access to sufficient quantity of domestic water]]</f>
        <v>0</v>
      </c>
      <c r="BB62" s="483">
        <f>WWWW[[#This Row],[%equitable and continuous access to sufficient quantity of safe drinking and domestic water''s GAP]]*WWWW[[#This Row],[Total PoP ]]</f>
        <v>0</v>
      </c>
      <c r="BC62" s="478">
        <f>IF(WWWW[[#This Row],[Total required water points]]-WWWW[[#This Row],['#Water points coverage]]&lt;0,0,WWWW[[#This Row],[Total required water points]]-WWWW[[#This Row],['#Water points coverage]])</f>
        <v>0</v>
      </c>
      <c r="BD62" s="478">
        <f>ROUND(IF(WWWW[[#This Row],[Total PoP ]]&lt;250,1,WWWW[[#This Row],[Total PoP ]]/250),0)</f>
        <v>4</v>
      </c>
      <c r="BE6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62" s="483">
        <f>WWWW[[#This Row],[% people access to functioning Latrine]]*WWWW[[#This Row],[Total PoP ]]</f>
        <v>0</v>
      </c>
      <c r="BG62" s="478">
        <f>WWWW[[#This Row],['#_of_Functioning_latrines_in_school]]*50</f>
        <v>100</v>
      </c>
      <c r="BH62" s="478">
        <f>ROUND((WWWW[[#This Row],[Total PoP ]]/6),0)</f>
        <v>176</v>
      </c>
      <c r="BI62" s="478">
        <f>IF(WWWW[[#This Row],[Total required Latrines]]-(WWWW[[#This Row],['#_of_sanitary_fly-proof_HH_latrines]])&lt;0,0,WWWW[[#This Row],[Total required Latrines]]-(WWWW[[#This Row],['#_of_sanitary_fly-proof_HH_latrines]]))</f>
        <v>176</v>
      </c>
      <c r="BJ62" s="479">
        <f>1-WWWW[[#This Row],[% people access to functioning Latrine]]</f>
        <v>1</v>
      </c>
      <c r="BK6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346</v>
      </c>
      <c r="BL62" s="483">
        <f>IF(WWWW[[#This Row],['#_of_functional_handwashing_facilities_at_HH_level]]*6&gt;WWWW[[#This Row],[Total PoP ]],WWWW[[#This Row],[Total PoP ]],WWWW[[#This Row],['#_of_functional_handwashing_facilities_at_HH_level]]*6)</f>
        <v>0</v>
      </c>
      <c r="BM62" s="478">
        <f>IF(WWWW[[#This Row],['# people reached by regular dedicated hygiene promotion]]&gt;WWWW[[#This Row],['# People received regular supply of hygiene items]],WWWW[[#This Row],['# people reached by regular dedicated hygiene promotion]],WWWW[[#This Row],['# People received regular supply of hygiene items]])</f>
        <v>1055</v>
      </c>
      <c r="BN62" s="476">
        <f>IF(WWWW[[#This Row],[HRP3]]/WWWW[[#This Row],[Total PoP ]]&gt;100%,100%,WWWW[[#This Row],[HRP3]]/WWWW[[#This Row],[Total PoP ]])</f>
        <v>1</v>
      </c>
      <c r="BO62" s="479">
        <f>1-WWWW[[#This Row],[Hygiene Coverage%]]</f>
        <v>0</v>
      </c>
      <c r="BP62" s="477">
        <f>WWWW[[#This Row],['# people reached by regular dedicated hygiene promotion]]/WWWW[[#This Row],[Total PoP ]]</f>
        <v>0.32796208530805687</v>
      </c>
      <c r="BQ6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1055</v>
      </c>
      <c r="BR62" s="478">
        <f>WWWW[[#This Row],['#_of_affected_women_and_girls_receiving_a_sufficient_quantity_of_sanitary_pads]]</f>
        <v>0</v>
      </c>
      <c r="BS62" s="524">
        <f>IF(WWWW[[#This Row],['# People with access to soap]]&gt;WWWW[[#This Row],['# People with access to Sanity Pads]],WWWW[[#This Row],['# People with access to soap]],WWWW[[#This Row],['# People with access to Sanity Pads]])</f>
        <v>1055</v>
      </c>
      <c r="BT62" s="483" t="str">
        <f>IF(OR(WWWW[[#This Row],['#of students in school]]="",WWWW[[#This Row],['#of students in school]]=0),"No","Yes")</f>
        <v>Yes</v>
      </c>
      <c r="BU62" s="480" t="str">
        <f>VLOOKUP(WWWW[[#This Row],[Village  Name]],SiteDB6[[Site Name]:[Location Type 1]],9,FALSE)</f>
        <v>Village</v>
      </c>
      <c r="BV62" s="480" t="str">
        <f>VLOOKUP(WWWW[[#This Row],[Village  Name]],SiteDB6[[Site Name]:[Type of Accommodation]],10,FALSE)</f>
        <v>Village</v>
      </c>
      <c r="BW62" s="480" t="str">
        <f>VLOOKUP(WWWW[[#This Row],[Village  Name]],SiteDB6[[Site Name]:[Ethnic or GCA/NGCA]],11,FALSE)</f>
        <v>Rakhine</v>
      </c>
      <c r="BX62" s="480">
        <f>VLOOKUP(WWWW[[#This Row],[Village  Name]],SiteDB6[[Site Name]:[Lat]],12,FALSE)</f>
        <v>20.0839</v>
      </c>
      <c r="BY62" s="480">
        <f>VLOOKUP(WWWW[[#This Row],[Village  Name]],SiteDB6[[Site Name]:[Long]],13,FALSE)</f>
        <v>92.993799999999993</v>
      </c>
      <c r="BZ62" s="480">
        <f>VLOOKUP(WWWW[[#This Row],[Village  Name]],SiteDB6[[Site Name]:[Pcode]],3,FALSE)</f>
        <v>197557</v>
      </c>
      <c r="CA62" s="480" t="str">
        <f t="shared" ref="CA62:CA68" si="2">IF(C62="none","Notcovered","Covered")</f>
        <v>Covered</v>
      </c>
      <c r="CB62" s="505"/>
    </row>
    <row r="63" spans="1:80">
      <c r="A63" s="774" t="s">
        <v>3150</v>
      </c>
      <c r="B63" s="774" t="s">
        <v>287</v>
      </c>
      <c r="C63" s="415" t="s">
        <v>287</v>
      </c>
      <c r="D63" s="415" t="s">
        <v>234</v>
      </c>
      <c r="E63" s="415" t="s">
        <v>2648</v>
      </c>
      <c r="F63" s="415" t="s">
        <v>402</v>
      </c>
      <c r="G63" s="644" t="str">
        <f>VLOOKUP(WWWW[[#This Row],[Village  Name]],SiteDB6[[Site Name]:[Location Type]],8,FALSE)</f>
        <v>Village</v>
      </c>
      <c r="H63" s="415" t="s">
        <v>404</v>
      </c>
      <c r="I63" s="524">
        <v>948</v>
      </c>
      <c r="J63" s="524">
        <v>3946</v>
      </c>
      <c r="K63" s="418">
        <v>43556</v>
      </c>
      <c r="L63" s="55">
        <v>44012</v>
      </c>
      <c r="M63" s="524">
        <v>342</v>
      </c>
      <c r="N63" s="524"/>
      <c r="O63" s="524"/>
      <c r="P63" s="524"/>
      <c r="Q63" s="524">
        <v>3</v>
      </c>
      <c r="R63" s="524"/>
      <c r="S63" s="524">
        <v>3946</v>
      </c>
      <c r="T63" s="524">
        <v>2</v>
      </c>
      <c r="U63" s="551"/>
      <c r="V63" s="524"/>
      <c r="W63" s="524" t="s">
        <v>40</v>
      </c>
      <c r="X63" s="524">
        <v>2</v>
      </c>
      <c r="Y63" s="524"/>
      <c r="Z63" s="524"/>
      <c r="AA63" s="524"/>
      <c r="AB63" s="524"/>
      <c r="AC63" s="551"/>
      <c r="AD63" s="524">
        <v>437</v>
      </c>
      <c r="AE63" s="524">
        <v>496</v>
      </c>
      <c r="AF63" s="524">
        <v>160</v>
      </c>
      <c r="AG63" s="524">
        <v>154</v>
      </c>
      <c r="AH63" s="524">
        <v>74</v>
      </c>
      <c r="AI63" s="524">
        <v>122</v>
      </c>
      <c r="AJ63" s="524"/>
      <c r="AK63" s="524">
        <v>1</v>
      </c>
      <c r="AL63" s="524">
        <v>948</v>
      </c>
      <c r="AM63" s="524"/>
      <c r="AN63" s="551"/>
      <c r="AO63" s="477"/>
      <c r="AP63" s="477"/>
      <c r="AQ63" s="524"/>
      <c r="AR63" s="524"/>
      <c r="AS63" s="524"/>
      <c r="AT63"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0.12671059300557527</v>
      </c>
      <c r="AU63" s="483">
        <f>WWWW[[#This Row],[%Equitable and continuous access to sufficient quantity of safe drinking water]]*WWWW[[#This Row],[Total PoP ]]</f>
        <v>500</v>
      </c>
      <c r="AV63"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63" s="483">
        <f>WWWW[[#This Row],[% Access to unimproved water points]]*WWWW[[#This Row],[Total PoP ]]</f>
        <v>3946</v>
      </c>
      <c r="AX63"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63"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3946</v>
      </c>
      <c r="AZ63" s="483">
        <f>WWWW[[#This Row],[HRP1]]/250</f>
        <v>15.784000000000001</v>
      </c>
      <c r="BA63" s="476">
        <f>1-WWWW[[#This Row],[% Equitable and continuous access to sufficient quantity of domestic water]]</f>
        <v>0</v>
      </c>
      <c r="BB63" s="483">
        <f>WWWW[[#This Row],[%equitable and continuous access to sufficient quantity of safe drinking and domestic water''s GAP]]*WWWW[[#This Row],[Total PoP ]]</f>
        <v>0</v>
      </c>
      <c r="BC63" s="478">
        <f>IF(WWWW[[#This Row],[Total required water points]]-WWWW[[#This Row],['#Water points coverage]]&lt;0,0,WWWW[[#This Row],[Total required water points]]-WWWW[[#This Row],['#Water points coverage]])</f>
        <v>0.2159999999999993</v>
      </c>
      <c r="BD63" s="478">
        <f>ROUND(IF(WWWW[[#This Row],[Total PoP ]]&lt;250,1,WWWW[[#This Row],[Total PoP ]]/250),0)</f>
        <v>16</v>
      </c>
      <c r="BE6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63" s="483">
        <f>WWWW[[#This Row],[% people access to functioning Latrine]]*WWWW[[#This Row],[Total PoP ]]</f>
        <v>0</v>
      </c>
      <c r="BG63" s="478">
        <f>WWWW[[#This Row],['#_of_Functioning_latrines_in_school]]*50</f>
        <v>100</v>
      </c>
      <c r="BH63" s="478">
        <f>ROUND((WWWW[[#This Row],[Total PoP ]]/6),0)</f>
        <v>658</v>
      </c>
      <c r="BI63" s="478">
        <f>IF(WWWW[[#This Row],[Total required Latrines]]-(WWWW[[#This Row],['#_of_sanitary_fly-proof_HH_latrines]])&lt;0,0,WWWW[[#This Row],[Total required Latrines]]-(WWWW[[#This Row],['#_of_sanitary_fly-proof_HH_latrines]]))</f>
        <v>658</v>
      </c>
      <c r="BJ63" s="479">
        <f>1-WWWW[[#This Row],[% people access to functioning Latrine]]</f>
        <v>1</v>
      </c>
      <c r="BK63"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1443</v>
      </c>
      <c r="BL63" s="483">
        <f>IF(WWWW[[#This Row],['#_of_functional_handwashing_facilities_at_HH_level]]*6&gt;WWWW[[#This Row],[Total PoP ]],WWWW[[#This Row],[Total PoP ]],WWWW[[#This Row],['#_of_functional_handwashing_facilities_at_HH_level]]*6)</f>
        <v>0</v>
      </c>
      <c r="BM63" s="478">
        <f>IF(WWWW[[#This Row],['# people reached by regular dedicated hygiene promotion]]&gt;WWWW[[#This Row],['# People received regular supply of hygiene items]],WWWW[[#This Row],['# people reached by regular dedicated hygiene promotion]],WWWW[[#This Row],['# People received regular supply of hygiene items]])</f>
        <v>3946</v>
      </c>
      <c r="BN63" s="476">
        <f>IF(WWWW[[#This Row],[HRP3]]/WWWW[[#This Row],[Total PoP ]]&gt;100%,100%,WWWW[[#This Row],[HRP3]]/WWWW[[#This Row],[Total PoP ]])</f>
        <v>1</v>
      </c>
      <c r="BO63" s="479">
        <f>1-WWWW[[#This Row],[Hygiene Coverage%]]</f>
        <v>0</v>
      </c>
      <c r="BP63" s="477">
        <f>WWWW[[#This Row],['# people reached by regular dedicated hygiene promotion]]/WWWW[[#This Row],[Total PoP ]]</f>
        <v>0.36568677141409023</v>
      </c>
      <c r="BQ6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3946</v>
      </c>
      <c r="BR63" s="478">
        <f>WWWW[[#This Row],['#_of_affected_women_and_girls_receiving_a_sufficient_quantity_of_sanitary_pads]]</f>
        <v>0</v>
      </c>
      <c r="BS63" s="524">
        <f>IF(WWWW[[#This Row],['# People with access to soap]]&gt;WWWW[[#This Row],['# People with access to Sanity Pads]],WWWW[[#This Row],['# People with access to soap]],WWWW[[#This Row],['# People with access to Sanity Pads]])</f>
        <v>3946</v>
      </c>
      <c r="BT63" s="483" t="str">
        <f>IF(OR(WWWW[[#This Row],['#of students in school]]="",WWWW[[#This Row],['#of students in school]]=0),"No","Yes")</f>
        <v>Yes</v>
      </c>
      <c r="BU63" s="480" t="str">
        <f>VLOOKUP(WWWW[[#This Row],[Village  Name]],SiteDB6[[Site Name]:[Location Type 1]],9,FALSE)</f>
        <v>Village</v>
      </c>
      <c r="BV63" s="480" t="str">
        <f>VLOOKUP(WWWW[[#This Row],[Village  Name]],SiteDB6[[Site Name]:[Type of Accommodation]],10,FALSE)</f>
        <v>Village</v>
      </c>
      <c r="BW63" s="480" t="str">
        <f>VLOOKUP(WWWW[[#This Row],[Village  Name]],SiteDB6[[Site Name]:[Ethnic or GCA/NGCA]],11,FALSE)</f>
        <v>Muslim</v>
      </c>
      <c r="BX63" s="480">
        <f>VLOOKUP(WWWW[[#This Row],[Village  Name]],SiteDB6[[Site Name]:[Lat]],12,FALSE)</f>
        <v>20.0641</v>
      </c>
      <c r="BY63" s="480">
        <f>VLOOKUP(WWWW[[#This Row],[Village  Name]],SiteDB6[[Site Name]:[Long]],13,FALSE)</f>
        <v>92.994600000000005</v>
      </c>
      <c r="BZ63" s="480">
        <f>VLOOKUP(WWWW[[#This Row],[Village  Name]],SiteDB6[[Site Name]:[Pcode]],3,FALSE)</f>
        <v>197548</v>
      </c>
      <c r="CA63" s="480" t="str">
        <f t="shared" si="2"/>
        <v>Covered</v>
      </c>
      <c r="CB63" s="505"/>
    </row>
    <row r="64" spans="1:80">
      <c r="A64" s="774" t="s">
        <v>3150</v>
      </c>
      <c r="B64" s="774" t="s">
        <v>287</v>
      </c>
      <c r="C64" s="415" t="s">
        <v>287</v>
      </c>
      <c r="D64" s="415" t="s">
        <v>234</v>
      </c>
      <c r="E64" s="415" t="s">
        <v>2648</v>
      </c>
      <c r="F64" s="415" t="s">
        <v>402</v>
      </c>
      <c r="G64" s="644" t="str">
        <f>VLOOKUP(WWWW[[#This Row],[Village  Name]],SiteDB6[[Site Name]:[Location Type]],8,FALSE)</f>
        <v>Village</v>
      </c>
      <c r="H64" s="415" t="s">
        <v>403</v>
      </c>
      <c r="I64" s="524">
        <v>477</v>
      </c>
      <c r="J64" s="524">
        <v>2034</v>
      </c>
      <c r="K64" s="418">
        <v>43556</v>
      </c>
      <c r="L64" s="55">
        <v>44012</v>
      </c>
      <c r="M64" s="524">
        <v>462</v>
      </c>
      <c r="N64" s="524"/>
      <c r="O64" s="524"/>
      <c r="P64" s="524"/>
      <c r="Q64" s="524">
        <v>1</v>
      </c>
      <c r="R64" s="524"/>
      <c r="S64" s="524">
        <v>2034</v>
      </c>
      <c r="T64" s="524">
        <v>2</v>
      </c>
      <c r="U64" s="551"/>
      <c r="V64" s="524"/>
      <c r="W64" s="524" t="s">
        <v>40</v>
      </c>
      <c r="X64" s="524">
        <v>8</v>
      </c>
      <c r="Y64" s="524"/>
      <c r="Z64" s="524"/>
      <c r="AA64" s="524"/>
      <c r="AB64" s="524"/>
      <c r="AC64" s="551"/>
      <c r="AD64" s="524">
        <v>27</v>
      </c>
      <c r="AE64" s="524">
        <v>393</v>
      </c>
      <c r="AF64" s="524">
        <v>48</v>
      </c>
      <c r="AG64" s="524">
        <v>58</v>
      </c>
      <c r="AH64" s="524">
        <v>0</v>
      </c>
      <c r="AI64" s="524">
        <v>0</v>
      </c>
      <c r="AJ64" s="524"/>
      <c r="AK64" s="524"/>
      <c r="AL64" s="524">
        <v>477</v>
      </c>
      <c r="AM64" s="524"/>
      <c r="AN64" s="551"/>
      <c r="AO64" s="477"/>
      <c r="AP64" s="477"/>
      <c r="AQ64" s="524"/>
      <c r="AR64" s="524"/>
      <c r="AS64" s="524"/>
      <c r="AT6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0.24582104228121926</v>
      </c>
      <c r="AU64" s="483">
        <f>WWWW[[#This Row],[%Equitable and continuous access to sufficient quantity of safe drinking water]]*WWWW[[#This Row],[Total PoP ]]</f>
        <v>500</v>
      </c>
      <c r="AV6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64" s="483">
        <f>WWWW[[#This Row],[% Access to unimproved water points]]*WWWW[[#This Row],[Total PoP ]]</f>
        <v>2034</v>
      </c>
      <c r="AX6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6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2034</v>
      </c>
      <c r="AZ64" s="483">
        <f>WWWW[[#This Row],[HRP1]]/250</f>
        <v>8.1359999999999992</v>
      </c>
      <c r="BA64" s="476">
        <f>1-WWWW[[#This Row],[% Equitable and continuous access to sufficient quantity of domestic water]]</f>
        <v>0</v>
      </c>
      <c r="BB64" s="483">
        <f>WWWW[[#This Row],[%equitable and continuous access to sufficient quantity of safe drinking and domestic water''s GAP]]*WWWW[[#This Row],[Total PoP ]]</f>
        <v>0</v>
      </c>
      <c r="BC64" s="478">
        <f>IF(WWWW[[#This Row],[Total required water points]]-WWWW[[#This Row],['#Water points coverage]]&lt;0,0,WWWW[[#This Row],[Total required water points]]-WWWW[[#This Row],['#Water points coverage]])</f>
        <v>0</v>
      </c>
      <c r="BD64" s="478">
        <f>ROUND(IF(WWWW[[#This Row],[Total PoP ]]&lt;250,1,WWWW[[#This Row],[Total PoP ]]/250),0)</f>
        <v>8</v>
      </c>
      <c r="BE6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64" s="483">
        <f>WWWW[[#This Row],[% people access to functioning Latrine]]*WWWW[[#This Row],[Total PoP ]]</f>
        <v>0</v>
      </c>
      <c r="BG64" s="478">
        <f>WWWW[[#This Row],['#_of_Functioning_latrines_in_school]]*50</f>
        <v>400</v>
      </c>
      <c r="BH64" s="478">
        <f>ROUND((WWWW[[#This Row],[Total PoP ]]/6),0)</f>
        <v>339</v>
      </c>
      <c r="BI64" s="478">
        <f>IF(WWWW[[#This Row],[Total required Latrines]]-(WWWW[[#This Row],['#_of_sanitary_fly-proof_HH_latrines]])&lt;0,0,WWWW[[#This Row],[Total required Latrines]]-(WWWW[[#This Row],['#_of_sanitary_fly-proof_HH_latrines]]))</f>
        <v>339</v>
      </c>
      <c r="BJ64" s="479">
        <f>1-WWWW[[#This Row],[% people access to functioning Latrine]]</f>
        <v>1</v>
      </c>
      <c r="BK6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526</v>
      </c>
      <c r="BL64" s="483">
        <f>IF(WWWW[[#This Row],['#_of_functional_handwashing_facilities_at_HH_level]]*6&gt;WWWW[[#This Row],[Total PoP ]],WWWW[[#This Row],[Total PoP ]],WWWW[[#This Row],['#_of_functional_handwashing_facilities_at_HH_level]]*6)</f>
        <v>0</v>
      </c>
      <c r="BM64" s="478">
        <f>IF(WWWW[[#This Row],['# people reached by regular dedicated hygiene promotion]]&gt;WWWW[[#This Row],['# People received regular supply of hygiene items]],WWWW[[#This Row],['# people reached by regular dedicated hygiene promotion]],WWWW[[#This Row],['# People received regular supply of hygiene items]])</f>
        <v>2034</v>
      </c>
      <c r="BN64" s="476">
        <f>IF(WWWW[[#This Row],[HRP3]]/WWWW[[#This Row],[Total PoP ]]&gt;100%,100%,WWWW[[#This Row],[HRP3]]/WWWW[[#This Row],[Total PoP ]])</f>
        <v>1</v>
      </c>
      <c r="BO64" s="479">
        <f>1-WWWW[[#This Row],[Hygiene Coverage%]]</f>
        <v>0</v>
      </c>
      <c r="BP64" s="477">
        <f>WWWW[[#This Row],['# people reached by regular dedicated hygiene promotion]]/WWWW[[#This Row],[Total PoP ]]</f>
        <v>0.25860373647984269</v>
      </c>
      <c r="BQ6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2034</v>
      </c>
      <c r="BR64" s="478">
        <f>WWWW[[#This Row],['#_of_affected_women_and_girls_receiving_a_sufficient_quantity_of_sanitary_pads]]</f>
        <v>0</v>
      </c>
      <c r="BS64" s="524">
        <f>IF(WWWW[[#This Row],['# People with access to soap]]&gt;WWWW[[#This Row],['# People with access to Sanity Pads]],WWWW[[#This Row],['# People with access to soap]],WWWW[[#This Row],['# People with access to Sanity Pads]])</f>
        <v>2034</v>
      </c>
      <c r="BT64" s="483" t="str">
        <f>IF(OR(WWWW[[#This Row],['#of students in school]]="",WWWW[[#This Row],['#of students in school]]=0),"No","Yes")</f>
        <v>Yes</v>
      </c>
      <c r="BU64" s="480" t="str">
        <f>VLOOKUP(WWWW[[#This Row],[Village  Name]],SiteDB6[[Site Name]:[Location Type 1]],9,FALSE)</f>
        <v>Village</v>
      </c>
      <c r="BV64" s="480" t="str">
        <f>VLOOKUP(WWWW[[#This Row],[Village  Name]],SiteDB6[[Site Name]:[Type of Accommodation]],10,FALSE)</f>
        <v>Village</v>
      </c>
      <c r="BW64" s="480" t="str">
        <f>VLOOKUP(WWWW[[#This Row],[Village  Name]],SiteDB6[[Site Name]:[Ethnic or GCA/NGCA]],11,FALSE)</f>
        <v>Rakhine</v>
      </c>
      <c r="BX64" s="480">
        <f>VLOOKUP(WWWW[[#This Row],[Village  Name]],SiteDB6[[Site Name]:[Lat]],12,FALSE)</f>
        <v>20.057860999999999</v>
      </c>
      <c r="BY64" s="480">
        <f>VLOOKUP(WWWW[[#This Row],[Village  Name]],SiteDB6[[Site Name]:[Long]],13,FALSE)</f>
        <v>92.995181000000002</v>
      </c>
      <c r="BZ64" s="480">
        <f>VLOOKUP(WWWW[[#This Row],[Village  Name]],SiteDB6[[Site Name]:[Pcode]],3,FALSE)</f>
        <v>197550</v>
      </c>
      <c r="CA64" s="480" t="str">
        <f t="shared" si="2"/>
        <v>Covered</v>
      </c>
      <c r="CB64" s="505"/>
    </row>
    <row r="65" spans="1:80">
      <c r="A65" s="774" t="s">
        <v>3150</v>
      </c>
      <c r="B65" s="774" t="s">
        <v>287</v>
      </c>
      <c r="C65" s="415" t="s">
        <v>287</v>
      </c>
      <c r="D65" s="415" t="s">
        <v>327</v>
      </c>
      <c r="E65" s="415" t="s">
        <v>2648</v>
      </c>
      <c r="F65" s="415" t="s">
        <v>402</v>
      </c>
      <c r="G65" s="644" t="str">
        <f>VLOOKUP(WWWW[[#This Row],[Village  Name]],SiteDB6[[Site Name]:[Location Type]],8,FALSE)</f>
        <v>Village</v>
      </c>
      <c r="H65" s="415" t="s">
        <v>3154</v>
      </c>
      <c r="I65" s="524">
        <v>79</v>
      </c>
      <c r="J65" s="524">
        <v>341</v>
      </c>
      <c r="K65" s="418">
        <v>43359</v>
      </c>
      <c r="L65" s="55">
        <v>44196</v>
      </c>
      <c r="M65" s="524">
        <v>40</v>
      </c>
      <c r="N65" s="524"/>
      <c r="O65" s="524"/>
      <c r="P65" s="524"/>
      <c r="Q65" s="524">
        <v>1</v>
      </c>
      <c r="R65" s="524"/>
      <c r="S65" s="524">
        <v>341</v>
      </c>
      <c r="T65" s="524">
        <v>1</v>
      </c>
      <c r="U65" s="551"/>
      <c r="V65" s="524">
        <v>5</v>
      </c>
      <c r="W65" s="524" t="s">
        <v>126</v>
      </c>
      <c r="X65" s="524">
        <v>3</v>
      </c>
      <c r="Y65" s="524">
        <v>14</v>
      </c>
      <c r="Z65" s="524"/>
      <c r="AA65" s="524"/>
      <c r="AB65" s="524"/>
      <c r="AC65" s="551"/>
      <c r="AD65" s="524"/>
      <c r="AE65" s="524"/>
      <c r="AF65" s="524"/>
      <c r="AG65" s="524"/>
      <c r="AH65" s="524"/>
      <c r="AI65" s="524"/>
      <c r="AJ65" s="524"/>
      <c r="AK65" s="524"/>
      <c r="AL65" s="524"/>
      <c r="AM65" s="524"/>
      <c r="AN65" s="551"/>
      <c r="AO65" s="477"/>
      <c r="AP65" s="477"/>
      <c r="AQ65" s="524"/>
      <c r="AR65" s="524"/>
      <c r="AS65" s="524"/>
      <c r="AT6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0.73313782991202348</v>
      </c>
      <c r="AU65" s="483">
        <f>WWWW[[#This Row],[%Equitable and continuous access to sufficient quantity of safe drinking water]]*WWWW[[#This Row],[Total PoP ]]</f>
        <v>250</v>
      </c>
      <c r="AV6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65" s="483">
        <f>WWWW[[#This Row],[% Access to unimproved water points]]*WWWW[[#This Row],[Total PoP ]]</f>
        <v>341</v>
      </c>
      <c r="AX6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6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341</v>
      </c>
      <c r="AZ65" s="483">
        <f>WWWW[[#This Row],[HRP1]]/250</f>
        <v>1.3640000000000001</v>
      </c>
      <c r="BA65" s="476">
        <f>1-WWWW[[#This Row],[% Equitable and continuous access to sufficient quantity of domestic water]]</f>
        <v>0</v>
      </c>
      <c r="BB65" s="483">
        <f>WWWW[[#This Row],[%equitable and continuous access to sufficient quantity of safe drinking and domestic water''s GAP]]*WWWW[[#This Row],[Total PoP ]]</f>
        <v>0</v>
      </c>
      <c r="BC65" s="478">
        <f>IF(WWWW[[#This Row],[Total required water points]]-WWWW[[#This Row],['#Water points coverage]]&lt;0,0,WWWW[[#This Row],[Total required water points]]-WWWW[[#This Row],['#Water points coverage]])</f>
        <v>0</v>
      </c>
      <c r="BD65" s="478">
        <f>ROUND(IF(WWWW[[#This Row],[Total PoP ]]&lt;250,1,WWWW[[#This Row],[Total PoP ]]/250),0)</f>
        <v>1</v>
      </c>
      <c r="BE6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8.797653958944282E-2</v>
      </c>
      <c r="BF65" s="483">
        <f>WWWW[[#This Row],[% people access to functioning Latrine]]*WWWW[[#This Row],[Total PoP ]]</f>
        <v>30</v>
      </c>
      <c r="BG65" s="478">
        <f>WWWW[[#This Row],['#_of_Functioning_latrines_in_school]]*50</f>
        <v>150</v>
      </c>
      <c r="BH65" s="478">
        <f>ROUND((WWWW[[#This Row],[Total PoP ]]/6),0)</f>
        <v>57</v>
      </c>
      <c r="BI65" s="478">
        <f>IF(WWWW[[#This Row],[Total required Latrines]]-(WWWW[[#This Row],['#_of_sanitary_fly-proof_HH_latrines]])&lt;0,0,WWWW[[#This Row],[Total required Latrines]]-(WWWW[[#This Row],['#_of_sanitary_fly-proof_HH_latrines]]))</f>
        <v>52</v>
      </c>
      <c r="BJ65" s="479">
        <f>1-WWWW[[#This Row],[% people access to functioning Latrine]]</f>
        <v>0.91202346041055715</v>
      </c>
      <c r="BK6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65" s="483">
        <f>IF(WWWW[[#This Row],['#_of_functional_handwashing_facilities_at_HH_level]]*6&gt;WWWW[[#This Row],[Total PoP ]],WWWW[[#This Row],[Total PoP ]],WWWW[[#This Row],['#_of_functional_handwashing_facilities_at_HH_level]]*6)</f>
        <v>0</v>
      </c>
      <c r="BM65" s="478">
        <f>IF(WWWW[[#This Row],['# people reached by regular dedicated hygiene promotion]]&gt;WWWW[[#This Row],['# People received regular supply of hygiene items]],WWWW[[#This Row],['# people reached by regular dedicated hygiene promotion]],WWWW[[#This Row],['# People received regular supply of hygiene items]])</f>
        <v>0</v>
      </c>
      <c r="BN65" s="476">
        <f>IF(WWWW[[#This Row],[HRP3]]/WWWW[[#This Row],[Total PoP ]]&gt;100%,100%,WWWW[[#This Row],[HRP3]]/WWWW[[#This Row],[Total PoP ]])</f>
        <v>0</v>
      </c>
      <c r="BO65" s="479">
        <f>1-WWWW[[#This Row],[Hygiene Coverage%]]</f>
        <v>1</v>
      </c>
      <c r="BP65" s="477">
        <f>WWWW[[#This Row],['# people reached by regular dedicated hygiene promotion]]/WWWW[[#This Row],[Total PoP ]]</f>
        <v>0</v>
      </c>
      <c r="BQ6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65" s="478">
        <f>WWWW[[#This Row],['#_of_affected_women_and_girls_receiving_a_sufficient_quantity_of_sanitary_pads]]</f>
        <v>0</v>
      </c>
      <c r="BS65" s="524">
        <f>IF(WWWW[[#This Row],['# People with access to soap]]&gt;WWWW[[#This Row],['# People with access to Sanity Pads]],WWWW[[#This Row],['# People with access to soap]],WWWW[[#This Row],['# People with access to Sanity Pads]])</f>
        <v>0</v>
      </c>
      <c r="BT65" s="483" t="str">
        <f>IF(OR(WWWW[[#This Row],['#of students in school]]="",WWWW[[#This Row],['#of students in school]]=0),"No","Yes")</f>
        <v>Yes</v>
      </c>
      <c r="BU65" s="480" t="str">
        <f>VLOOKUP(WWWW[[#This Row],[Village  Name]],SiteDB6[[Site Name]:[Location Type 1]],9,FALSE)</f>
        <v>Village</v>
      </c>
      <c r="BV65" s="480" t="str">
        <f>VLOOKUP(WWWW[[#This Row],[Village  Name]],SiteDB6[[Site Name]:[Type of Accommodation]],10,FALSE)</f>
        <v>Village</v>
      </c>
      <c r="BW65" s="480">
        <f>VLOOKUP(WWWW[[#This Row],[Village  Name]],SiteDB6[[Site Name]:[Ethnic or GCA/NGCA]],11,FALSE)</f>
        <v>0</v>
      </c>
      <c r="BX65" s="480">
        <f>VLOOKUP(WWWW[[#This Row],[Village  Name]],SiteDB6[[Site Name]:[Lat]],12,FALSE)</f>
        <v>92.969009399414105</v>
      </c>
      <c r="BY65" s="480">
        <f>VLOOKUP(WWWW[[#This Row],[Village  Name]],SiteDB6[[Site Name]:[Long]],13,FALSE)</f>
        <v>20.014240264892599</v>
      </c>
      <c r="BZ65" s="480">
        <f>VLOOKUP(WWWW[[#This Row],[Village  Name]],SiteDB6[[Site Name]:[Pcode]],3,FALSE)</f>
        <v>197542</v>
      </c>
      <c r="CA65" s="480" t="str">
        <f t="shared" si="2"/>
        <v>Covered</v>
      </c>
      <c r="CB65" s="505"/>
    </row>
    <row r="66" spans="1:80">
      <c r="A66" s="774" t="s">
        <v>3150</v>
      </c>
      <c r="B66" s="774" t="s">
        <v>287</v>
      </c>
      <c r="C66" s="415" t="s">
        <v>287</v>
      </c>
      <c r="D66" s="415" t="s">
        <v>327</v>
      </c>
      <c r="E66" s="415" t="s">
        <v>2648</v>
      </c>
      <c r="F66" s="415" t="s">
        <v>402</v>
      </c>
      <c r="G66" s="644" t="str">
        <f>VLOOKUP(WWWW[[#This Row],[Village  Name]],SiteDB6[[Site Name]:[Location Type]],8,FALSE)</f>
        <v>Village</v>
      </c>
      <c r="H66" s="415" t="s">
        <v>3155</v>
      </c>
      <c r="I66" s="524">
        <v>84</v>
      </c>
      <c r="J66" s="524">
        <v>359</v>
      </c>
      <c r="K66" s="418">
        <v>43359</v>
      </c>
      <c r="L66" s="55">
        <v>44196</v>
      </c>
      <c r="M66" s="524">
        <v>78</v>
      </c>
      <c r="N66" s="524"/>
      <c r="O66" s="524"/>
      <c r="P66" s="524"/>
      <c r="Q66" s="524">
        <v>0</v>
      </c>
      <c r="R66" s="524"/>
      <c r="S66" s="524">
        <v>359</v>
      </c>
      <c r="T66" s="524">
        <v>0</v>
      </c>
      <c r="U66" s="551"/>
      <c r="V66" s="524">
        <v>2</v>
      </c>
      <c r="W66" s="524" t="s">
        <v>126</v>
      </c>
      <c r="X66" s="524">
        <v>1</v>
      </c>
      <c r="Y66" s="524">
        <v>8</v>
      </c>
      <c r="Z66" s="524"/>
      <c r="AA66" s="524"/>
      <c r="AB66" s="524"/>
      <c r="AC66" s="551"/>
      <c r="AD66" s="524"/>
      <c r="AE66" s="524"/>
      <c r="AF66" s="524"/>
      <c r="AG66" s="524"/>
      <c r="AH66" s="524"/>
      <c r="AI66" s="524"/>
      <c r="AJ66" s="524"/>
      <c r="AK66" s="524"/>
      <c r="AL66" s="524"/>
      <c r="AM66" s="524"/>
      <c r="AN66" s="551"/>
      <c r="AO66" s="477"/>
      <c r="AP66" s="477"/>
      <c r="AQ66" s="524"/>
      <c r="AR66" s="524"/>
      <c r="AS66" s="524"/>
      <c r="AT6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66" s="483">
        <f>WWWW[[#This Row],[%Equitable and continuous access to sufficient quantity of safe drinking water]]*WWWW[[#This Row],[Total PoP ]]</f>
        <v>0</v>
      </c>
      <c r="AV6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66" s="483">
        <f>WWWW[[#This Row],[% Access to unimproved water points]]*WWWW[[#This Row],[Total PoP ]]</f>
        <v>359</v>
      </c>
      <c r="AX6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6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359</v>
      </c>
      <c r="AZ66" s="483">
        <f>WWWW[[#This Row],[HRP1]]/250</f>
        <v>1.4359999999999999</v>
      </c>
      <c r="BA66" s="476">
        <f>1-WWWW[[#This Row],[% Equitable and continuous access to sufficient quantity of domestic water]]</f>
        <v>0</v>
      </c>
      <c r="BB66" s="483">
        <f>WWWW[[#This Row],[%equitable and continuous access to sufficient quantity of safe drinking and domestic water''s GAP]]*WWWW[[#This Row],[Total PoP ]]</f>
        <v>0</v>
      </c>
      <c r="BC66" s="478">
        <f>IF(WWWW[[#This Row],[Total required water points]]-WWWW[[#This Row],['#Water points coverage]]&lt;0,0,WWWW[[#This Row],[Total required water points]]-WWWW[[#This Row],['#Water points coverage]])</f>
        <v>0</v>
      </c>
      <c r="BD66" s="478">
        <f>ROUND(IF(WWWW[[#This Row],[Total PoP ]]&lt;250,1,WWWW[[#This Row],[Total PoP ]]/250),0)</f>
        <v>1</v>
      </c>
      <c r="BE6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3.3426183844011144E-2</v>
      </c>
      <c r="BF66" s="483">
        <f>WWWW[[#This Row],[% people access to functioning Latrine]]*WWWW[[#This Row],[Total PoP ]]</f>
        <v>12</v>
      </c>
      <c r="BG66" s="478">
        <f>WWWW[[#This Row],['#_of_Functioning_latrines_in_school]]*50</f>
        <v>50</v>
      </c>
      <c r="BH66" s="478">
        <f>ROUND((WWWW[[#This Row],[Total PoP ]]/6),0)</f>
        <v>60</v>
      </c>
      <c r="BI66" s="478">
        <f>IF(WWWW[[#This Row],[Total required Latrines]]-(WWWW[[#This Row],['#_of_sanitary_fly-proof_HH_latrines]])&lt;0,0,WWWW[[#This Row],[Total required Latrines]]-(WWWW[[#This Row],['#_of_sanitary_fly-proof_HH_latrines]]))</f>
        <v>58</v>
      </c>
      <c r="BJ66" s="479">
        <f>1-WWWW[[#This Row],[% people access to functioning Latrine]]</f>
        <v>0.96657381615598881</v>
      </c>
      <c r="BK6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66" s="483">
        <f>IF(WWWW[[#This Row],['#_of_functional_handwashing_facilities_at_HH_level]]*6&gt;WWWW[[#This Row],[Total PoP ]],WWWW[[#This Row],[Total PoP ]],WWWW[[#This Row],['#_of_functional_handwashing_facilities_at_HH_level]]*6)</f>
        <v>0</v>
      </c>
      <c r="BM66" s="478">
        <f>IF(WWWW[[#This Row],['# people reached by regular dedicated hygiene promotion]]&gt;WWWW[[#This Row],['# People received regular supply of hygiene items]],WWWW[[#This Row],['# people reached by regular dedicated hygiene promotion]],WWWW[[#This Row],['# People received regular supply of hygiene items]])</f>
        <v>0</v>
      </c>
      <c r="BN66" s="476">
        <f>IF(WWWW[[#This Row],[HRP3]]/WWWW[[#This Row],[Total PoP ]]&gt;100%,100%,WWWW[[#This Row],[HRP3]]/WWWW[[#This Row],[Total PoP ]])</f>
        <v>0</v>
      </c>
      <c r="BO66" s="479">
        <f>1-WWWW[[#This Row],[Hygiene Coverage%]]</f>
        <v>1</v>
      </c>
      <c r="BP66" s="477">
        <f>WWWW[[#This Row],['# people reached by regular dedicated hygiene promotion]]/WWWW[[#This Row],[Total PoP ]]</f>
        <v>0</v>
      </c>
      <c r="BQ6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66" s="478">
        <f>WWWW[[#This Row],['#_of_affected_women_and_girls_receiving_a_sufficient_quantity_of_sanitary_pads]]</f>
        <v>0</v>
      </c>
      <c r="BS66" s="524">
        <f>IF(WWWW[[#This Row],['# People with access to soap]]&gt;WWWW[[#This Row],['# People with access to Sanity Pads]],WWWW[[#This Row],['# People with access to soap]],WWWW[[#This Row],['# People with access to Sanity Pads]])</f>
        <v>0</v>
      </c>
      <c r="BT66" s="483" t="str">
        <f>IF(OR(WWWW[[#This Row],['#of students in school]]="",WWWW[[#This Row],['#of students in school]]=0),"No","Yes")</f>
        <v>Yes</v>
      </c>
      <c r="BU66" s="480" t="str">
        <f>VLOOKUP(WWWW[[#This Row],[Village  Name]],SiteDB6[[Site Name]:[Location Type 1]],9,FALSE)</f>
        <v>Village</v>
      </c>
      <c r="BV66" s="480" t="str">
        <f>VLOOKUP(WWWW[[#This Row],[Village  Name]],SiteDB6[[Site Name]:[Type of Accommodation]],10,FALSE)</f>
        <v>Village</v>
      </c>
      <c r="BW66" s="480">
        <f>VLOOKUP(WWWW[[#This Row],[Village  Name]],SiteDB6[[Site Name]:[Ethnic or GCA/NGCA]],11,FALSE)</f>
        <v>0</v>
      </c>
      <c r="BX66" s="480">
        <f>VLOOKUP(WWWW[[#This Row],[Village  Name]],SiteDB6[[Site Name]:[Lat]],12,FALSE)</f>
        <v>92.967132568359403</v>
      </c>
      <c r="BY66" s="480">
        <f>VLOOKUP(WWWW[[#This Row],[Village  Name]],SiteDB6[[Site Name]:[Long]],13,FALSE)</f>
        <v>19.9705104827881</v>
      </c>
      <c r="BZ66" s="480">
        <f>VLOOKUP(WWWW[[#This Row],[Village  Name]],SiteDB6[[Site Name]:[Pcode]],3,FALSE)</f>
        <v>197568</v>
      </c>
      <c r="CA66" s="480" t="str">
        <f t="shared" si="2"/>
        <v>Covered</v>
      </c>
      <c r="CB66" s="505"/>
    </row>
    <row r="67" spans="1:80">
      <c r="A67" s="774" t="s">
        <v>3150</v>
      </c>
      <c r="B67" s="774" t="s">
        <v>287</v>
      </c>
      <c r="C67" s="415" t="s">
        <v>287</v>
      </c>
      <c r="D67" s="415" t="s">
        <v>327</v>
      </c>
      <c r="E67" s="415" t="s">
        <v>2648</v>
      </c>
      <c r="F67" s="415" t="s">
        <v>402</v>
      </c>
      <c r="G67" s="644" t="str">
        <f>VLOOKUP(WWWW[[#This Row],[Village  Name]],SiteDB6[[Site Name]:[Location Type]],8,FALSE)</f>
        <v>Village</v>
      </c>
      <c r="H67" s="415" t="s">
        <v>3164</v>
      </c>
      <c r="I67" s="524">
        <v>21</v>
      </c>
      <c r="J67" s="524">
        <v>83</v>
      </c>
      <c r="K67" s="418">
        <v>43359</v>
      </c>
      <c r="L67" s="55">
        <v>44196</v>
      </c>
      <c r="M67" s="524">
        <v>9</v>
      </c>
      <c r="N67" s="524"/>
      <c r="O67" s="524"/>
      <c r="P67" s="524"/>
      <c r="Q67" s="524">
        <v>1</v>
      </c>
      <c r="R67" s="524"/>
      <c r="S67" s="524">
        <v>83</v>
      </c>
      <c r="T67" s="524">
        <v>0</v>
      </c>
      <c r="U67" s="551"/>
      <c r="V67" s="524">
        <v>0</v>
      </c>
      <c r="W67" s="524" t="s">
        <v>126</v>
      </c>
      <c r="X67" s="524">
        <v>0</v>
      </c>
      <c r="Y67" s="524">
        <v>0</v>
      </c>
      <c r="Z67" s="524"/>
      <c r="AA67" s="524"/>
      <c r="AB67" s="524"/>
      <c r="AC67" s="551"/>
      <c r="AD67" s="524"/>
      <c r="AE67" s="524"/>
      <c r="AF67" s="524"/>
      <c r="AG67" s="524"/>
      <c r="AH67" s="524"/>
      <c r="AI67" s="524"/>
      <c r="AJ67" s="524"/>
      <c r="AK67" s="524"/>
      <c r="AL67" s="524"/>
      <c r="AM67" s="524"/>
      <c r="AN67" s="551"/>
      <c r="AO67" s="477"/>
      <c r="AP67" s="477"/>
      <c r="AQ67" s="524"/>
      <c r="AR67" s="524"/>
      <c r="AS67" s="524"/>
      <c r="AT6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67" s="483">
        <f>WWWW[[#This Row],[%Equitable and continuous access to sufficient quantity of safe drinking water]]*WWWW[[#This Row],[Total PoP ]]</f>
        <v>0</v>
      </c>
      <c r="AV6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67" s="483">
        <f>WWWW[[#This Row],[% Access to unimproved water points]]*WWWW[[#This Row],[Total PoP ]]</f>
        <v>83</v>
      </c>
      <c r="AX6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6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83</v>
      </c>
      <c r="AZ67" s="483">
        <f>WWWW[[#This Row],[HRP1]]/250</f>
        <v>0.33200000000000002</v>
      </c>
      <c r="BA67" s="476">
        <f>1-WWWW[[#This Row],[% Equitable and continuous access to sufficient quantity of domestic water]]</f>
        <v>0</v>
      </c>
      <c r="BB67" s="483">
        <f>WWWW[[#This Row],[%equitable and continuous access to sufficient quantity of safe drinking and domestic water''s GAP]]*WWWW[[#This Row],[Total PoP ]]</f>
        <v>0</v>
      </c>
      <c r="BC67" s="478">
        <f>IF(WWWW[[#This Row],[Total required water points]]-WWWW[[#This Row],['#Water points coverage]]&lt;0,0,WWWW[[#This Row],[Total required water points]]-WWWW[[#This Row],['#Water points coverage]])</f>
        <v>0.66799999999999993</v>
      </c>
      <c r="BD67" s="478">
        <f>ROUND(IF(WWWW[[#This Row],[Total PoP ]]&lt;250,1,WWWW[[#This Row],[Total PoP ]]/250),0)</f>
        <v>1</v>
      </c>
      <c r="BE6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67" s="483">
        <f>WWWW[[#This Row],[% people access to functioning Latrine]]*WWWW[[#This Row],[Total PoP ]]</f>
        <v>0</v>
      </c>
      <c r="BG67" s="478">
        <f>WWWW[[#This Row],['#_of_Functioning_latrines_in_school]]*50</f>
        <v>0</v>
      </c>
      <c r="BH67" s="478">
        <f>ROUND((WWWW[[#This Row],[Total PoP ]]/6),0)</f>
        <v>14</v>
      </c>
      <c r="BI67" s="478">
        <f>IF(WWWW[[#This Row],[Total required Latrines]]-(WWWW[[#This Row],['#_of_sanitary_fly-proof_HH_latrines]])&lt;0,0,WWWW[[#This Row],[Total required Latrines]]-(WWWW[[#This Row],['#_of_sanitary_fly-proof_HH_latrines]]))</f>
        <v>14</v>
      </c>
      <c r="BJ67" s="479">
        <f>1-WWWW[[#This Row],[% people access to functioning Latrine]]</f>
        <v>1</v>
      </c>
      <c r="BK6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67" s="483">
        <f>IF(WWWW[[#This Row],['#_of_functional_handwashing_facilities_at_HH_level]]*6&gt;WWWW[[#This Row],[Total PoP ]],WWWW[[#This Row],[Total PoP ]],WWWW[[#This Row],['#_of_functional_handwashing_facilities_at_HH_level]]*6)</f>
        <v>0</v>
      </c>
      <c r="BM67" s="478">
        <f>IF(WWWW[[#This Row],['# people reached by regular dedicated hygiene promotion]]&gt;WWWW[[#This Row],['# People received regular supply of hygiene items]],WWWW[[#This Row],['# people reached by regular dedicated hygiene promotion]],WWWW[[#This Row],['# People received regular supply of hygiene items]])</f>
        <v>0</v>
      </c>
      <c r="BN67" s="476">
        <f>IF(WWWW[[#This Row],[HRP3]]/WWWW[[#This Row],[Total PoP ]]&gt;100%,100%,WWWW[[#This Row],[HRP3]]/WWWW[[#This Row],[Total PoP ]])</f>
        <v>0</v>
      </c>
      <c r="BO67" s="479">
        <f>1-WWWW[[#This Row],[Hygiene Coverage%]]</f>
        <v>1</v>
      </c>
      <c r="BP67" s="477">
        <f>WWWW[[#This Row],['# people reached by regular dedicated hygiene promotion]]/WWWW[[#This Row],[Total PoP ]]</f>
        <v>0</v>
      </c>
      <c r="BQ6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67" s="478">
        <f>WWWW[[#This Row],['#_of_affected_women_and_girls_receiving_a_sufficient_quantity_of_sanitary_pads]]</f>
        <v>0</v>
      </c>
      <c r="BS67" s="524">
        <f>IF(WWWW[[#This Row],['# People with access to soap]]&gt;WWWW[[#This Row],['# People with access to Sanity Pads]],WWWW[[#This Row],['# People with access to soap]],WWWW[[#This Row],['# People with access to Sanity Pads]])</f>
        <v>0</v>
      </c>
      <c r="BT67" s="483" t="str">
        <f>IF(OR(WWWW[[#This Row],['#of students in school]]="",WWWW[[#This Row],['#of students in school]]=0),"No","Yes")</f>
        <v>Yes</v>
      </c>
      <c r="BU67" s="480" t="str">
        <f>VLOOKUP(WWWW[[#This Row],[Village  Name]],SiteDB6[[Site Name]:[Location Type 1]],9,FALSE)</f>
        <v>Village</v>
      </c>
      <c r="BV67" s="480" t="str">
        <f>VLOOKUP(WWWW[[#This Row],[Village  Name]],SiteDB6[[Site Name]:[Type of Accommodation]],10,FALSE)</f>
        <v>Village</v>
      </c>
      <c r="BW67" s="480">
        <f>VLOOKUP(WWWW[[#This Row],[Village  Name]],SiteDB6[[Site Name]:[Ethnic or GCA/NGCA]],11,FALSE)</f>
        <v>0</v>
      </c>
      <c r="BX67" s="480">
        <f>VLOOKUP(WWWW[[#This Row],[Village  Name]],SiteDB6[[Site Name]:[Lat]],12,FALSE)</f>
        <v>92.943733215332003</v>
      </c>
      <c r="BY67" s="480">
        <f>VLOOKUP(WWWW[[#This Row],[Village  Name]],SiteDB6[[Site Name]:[Long]],13,FALSE)</f>
        <v>20.0130805969238</v>
      </c>
      <c r="BZ67" s="480">
        <f>VLOOKUP(WWWW[[#This Row],[Village  Name]],SiteDB6[[Site Name]:[Pcode]],3,FALSE)</f>
        <v>217987</v>
      </c>
      <c r="CA67" s="480" t="str">
        <f t="shared" si="2"/>
        <v>Covered</v>
      </c>
      <c r="CB67" s="505"/>
    </row>
    <row r="68" spans="1:80">
      <c r="A68" s="774" t="s">
        <v>3150</v>
      </c>
      <c r="B68" s="774" t="s">
        <v>287</v>
      </c>
      <c r="C68" s="415" t="s">
        <v>287</v>
      </c>
      <c r="D68" s="415" t="s">
        <v>327</v>
      </c>
      <c r="E68" s="415" t="s">
        <v>2648</v>
      </c>
      <c r="F68" s="415" t="s">
        <v>402</v>
      </c>
      <c r="G68" s="644" t="str">
        <f>VLOOKUP(WWWW[[#This Row],[Village  Name]],SiteDB6[[Site Name]:[Location Type]],8,FALSE)</f>
        <v>Village</v>
      </c>
      <c r="H68" s="415" t="s">
        <v>806</v>
      </c>
      <c r="I68" s="524">
        <v>160</v>
      </c>
      <c r="J68" s="524">
        <v>728</v>
      </c>
      <c r="K68" s="418">
        <v>43359</v>
      </c>
      <c r="L68" s="55">
        <v>44196</v>
      </c>
      <c r="M68" s="524">
        <v>177</v>
      </c>
      <c r="N68" s="524"/>
      <c r="O68" s="524"/>
      <c r="P68" s="524"/>
      <c r="Q68" s="524">
        <v>0</v>
      </c>
      <c r="R68" s="524"/>
      <c r="S68" s="524">
        <v>728</v>
      </c>
      <c r="T68" s="524">
        <v>0</v>
      </c>
      <c r="U68" s="551"/>
      <c r="V68" s="524">
        <v>10</v>
      </c>
      <c r="W68" s="524" t="s">
        <v>126</v>
      </c>
      <c r="X68" s="524">
        <v>2</v>
      </c>
      <c r="Y68" s="524">
        <v>11</v>
      </c>
      <c r="Z68" s="524"/>
      <c r="AA68" s="524"/>
      <c r="AB68" s="524"/>
      <c r="AC68" s="551"/>
      <c r="AD68" s="524"/>
      <c r="AE68" s="524"/>
      <c r="AF68" s="524"/>
      <c r="AG68" s="524"/>
      <c r="AH68" s="524"/>
      <c r="AI68" s="524"/>
      <c r="AJ68" s="524"/>
      <c r="AK68" s="524"/>
      <c r="AL68" s="524"/>
      <c r="AM68" s="524"/>
      <c r="AN68" s="551"/>
      <c r="AO68" s="477"/>
      <c r="AP68" s="477"/>
      <c r="AQ68" s="524"/>
      <c r="AR68" s="524"/>
      <c r="AS68" s="524"/>
      <c r="AT6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68" s="483">
        <f>WWWW[[#This Row],[%Equitable and continuous access to sufficient quantity of safe drinking water]]*WWWW[[#This Row],[Total PoP ]]</f>
        <v>0</v>
      </c>
      <c r="AV6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68" s="483">
        <f>WWWW[[#This Row],[% Access to unimproved water points]]*WWWW[[#This Row],[Total PoP ]]</f>
        <v>728</v>
      </c>
      <c r="AX6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6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728</v>
      </c>
      <c r="AZ68" s="483">
        <f>WWWW[[#This Row],[HRP1]]/250</f>
        <v>2.9119999999999999</v>
      </c>
      <c r="BA68" s="476">
        <f>1-WWWW[[#This Row],[% Equitable and continuous access to sufficient quantity of domestic water]]</f>
        <v>0</v>
      </c>
      <c r="BB68" s="483">
        <f>WWWW[[#This Row],[%equitable and continuous access to sufficient quantity of safe drinking and domestic water''s GAP]]*WWWW[[#This Row],[Total PoP ]]</f>
        <v>0</v>
      </c>
      <c r="BC68" s="478">
        <f>IF(WWWW[[#This Row],[Total required water points]]-WWWW[[#This Row],['#Water points coverage]]&lt;0,0,WWWW[[#This Row],[Total required water points]]-WWWW[[#This Row],['#Water points coverage]])</f>
        <v>8.8000000000000078E-2</v>
      </c>
      <c r="BD68" s="478">
        <f>ROUND(IF(WWWW[[#This Row],[Total PoP ]]&lt;250,1,WWWW[[#This Row],[Total PoP ]]/250),0)</f>
        <v>3</v>
      </c>
      <c r="BE6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8.2417582417582416E-2</v>
      </c>
      <c r="BF68" s="483">
        <f>WWWW[[#This Row],[% people access to functioning Latrine]]*WWWW[[#This Row],[Total PoP ]]</f>
        <v>60</v>
      </c>
      <c r="BG68" s="478">
        <f>WWWW[[#This Row],['#_of_Functioning_latrines_in_school]]*50</f>
        <v>100</v>
      </c>
      <c r="BH68" s="478">
        <f>ROUND((WWWW[[#This Row],[Total PoP ]]/6),0)</f>
        <v>121</v>
      </c>
      <c r="BI68" s="478">
        <f>IF(WWWW[[#This Row],[Total required Latrines]]-(WWWW[[#This Row],['#_of_sanitary_fly-proof_HH_latrines]])&lt;0,0,WWWW[[#This Row],[Total required Latrines]]-(WWWW[[#This Row],['#_of_sanitary_fly-proof_HH_latrines]]))</f>
        <v>111</v>
      </c>
      <c r="BJ68" s="479">
        <f>1-WWWW[[#This Row],[% people access to functioning Latrine]]</f>
        <v>0.91758241758241754</v>
      </c>
      <c r="BK6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68" s="483">
        <f>IF(WWWW[[#This Row],['#_of_functional_handwashing_facilities_at_HH_level]]*6&gt;WWWW[[#This Row],[Total PoP ]],WWWW[[#This Row],[Total PoP ]],WWWW[[#This Row],['#_of_functional_handwashing_facilities_at_HH_level]]*6)</f>
        <v>0</v>
      </c>
      <c r="BM68" s="478">
        <f>IF(WWWW[[#This Row],['# people reached by regular dedicated hygiene promotion]]&gt;WWWW[[#This Row],['# People received regular supply of hygiene items]],WWWW[[#This Row],['# people reached by regular dedicated hygiene promotion]],WWWW[[#This Row],['# People received regular supply of hygiene items]])</f>
        <v>0</v>
      </c>
      <c r="BN68" s="476">
        <f>IF(WWWW[[#This Row],[HRP3]]/WWWW[[#This Row],[Total PoP ]]&gt;100%,100%,WWWW[[#This Row],[HRP3]]/WWWW[[#This Row],[Total PoP ]])</f>
        <v>0</v>
      </c>
      <c r="BO68" s="479">
        <f>1-WWWW[[#This Row],[Hygiene Coverage%]]</f>
        <v>1</v>
      </c>
      <c r="BP68" s="477">
        <f>WWWW[[#This Row],['# people reached by regular dedicated hygiene promotion]]/WWWW[[#This Row],[Total PoP ]]</f>
        <v>0</v>
      </c>
      <c r="BQ6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68" s="478">
        <f>WWWW[[#This Row],['#_of_affected_women_and_girls_receiving_a_sufficient_quantity_of_sanitary_pads]]</f>
        <v>0</v>
      </c>
      <c r="BS68" s="524">
        <f>IF(WWWW[[#This Row],['# People with access to soap]]&gt;WWWW[[#This Row],['# People with access to Sanity Pads]],WWWW[[#This Row],['# People with access to soap]],WWWW[[#This Row],['# People with access to Sanity Pads]])</f>
        <v>0</v>
      </c>
      <c r="BT68" s="483" t="str">
        <f>IF(OR(WWWW[[#This Row],['#of students in school]]="",WWWW[[#This Row],['#of students in school]]=0),"No","Yes")</f>
        <v>Yes</v>
      </c>
      <c r="BU68" s="480" t="str">
        <f>VLOOKUP(WWWW[[#This Row],[Village  Name]],SiteDB6[[Site Name]:[Location Type 1]],9,FALSE)</f>
        <v>Village</v>
      </c>
      <c r="BV68" s="480" t="str">
        <f>VLOOKUP(WWWW[[#This Row],[Village  Name]],SiteDB6[[Site Name]:[Type of Accommodation]],10,FALSE)</f>
        <v>Village</v>
      </c>
      <c r="BW68" s="480">
        <f>VLOOKUP(WWWW[[#This Row],[Village  Name]],SiteDB6[[Site Name]:[Ethnic or GCA/NGCA]],11,FALSE)</f>
        <v>0</v>
      </c>
      <c r="BX68" s="480">
        <f>VLOOKUP(WWWW[[#This Row],[Village  Name]],SiteDB6[[Site Name]:[Lat]],12,FALSE)</f>
        <v>19.94882965</v>
      </c>
      <c r="BY68" s="480">
        <f>VLOOKUP(WWWW[[#This Row],[Village  Name]],SiteDB6[[Site Name]:[Long]],13,FALSE)</f>
        <v>92.978782649999999</v>
      </c>
      <c r="BZ68" s="480">
        <f>VLOOKUP(WWWW[[#This Row],[Village  Name]],SiteDB6[[Site Name]:[Pcode]],3,FALSE)</f>
        <v>197566</v>
      </c>
      <c r="CA68" s="480" t="str">
        <f t="shared" si="2"/>
        <v>Covered</v>
      </c>
      <c r="CB68" s="505"/>
    </row>
    <row r="69" spans="1:80">
      <c r="A69" s="774" t="s">
        <v>3150</v>
      </c>
      <c r="B69" s="774" t="s">
        <v>2269</v>
      </c>
      <c r="C69" s="415" t="s">
        <v>2269</v>
      </c>
      <c r="D69" s="415" t="s">
        <v>231</v>
      </c>
      <c r="E69" s="415" t="s">
        <v>2648</v>
      </c>
      <c r="F69" s="415" t="s">
        <v>357</v>
      </c>
      <c r="G69" s="644" t="str">
        <f>VLOOKUP(WWWW[[#This Row],[Village  Name]],SiteDB6[[Site Name]:[Location Type]],8,FALSE)</f>
        <v>Village</v>
      </c>
      <c r="H69" s="415" t="s">
        <v>2270</v>
      </c>
      <c r="I69" s="524">
        <v>65</v>
      </c>
      <c r="J69" s="524">
        <v>323</v>
      </c>
      <c r="K69" s="418">
        <v>43540</v>
      </c>
      <c r="L69" s="55">
        <v>43906</v>
      </c>
      <c r="M69" s="524">
        <v>48</v>
      </c>
      <c r="N69" s="524"/>
      <c r="O69" s="524">
        <v>0</v>
      </c>
      <c r="P69" s="524">
        <v>4</v>
      </c>
      <c r="Q69" s="524">
        <v>1</v>
      </c>
      <c r="R69" s="524"/>
      <c r="S69" s="524">
        <v>0</v>
      </c>
      <c r="T69" s="524">
        <v>0</v>
      </c>
      <c r="U69" s="551"/>
      <c r="V69" s="524">
        <v>65</v>
      </c>
      <c r="W69" s="524" t="s">
        <v>126</v>
      </c>
      <c r="X69" s="524">
        <v>0</v>
      </c>
      <c r="Y69" s="524">
        <v>0</v>
      </c>
      <c r="Z69" s="524">
        <v>0</v>
      </c>
      <c r="AA69" s="524">
        <v>0</v>
      </c>
      <c r="AB69" s="524">
        <v>0</v>
      </c>
      <c r="AC69" s="551"/>
      <c r="AD69" s="524">
        <v>0</v>
      </c>
      <c r="AE69" s="524">
        <v>0</v>
      </c>
      <c r="AF69" s="524">
        <v>0</v>
      </c>
      <c r="AG69" s="524">
        <v>0</v>
      </c>
      <c r="AH69" s="524">
        <v>0</v>
      </c>
      <c r="AI69" s="524">
        <v>0</v>
      </c>
      <c r="AJ69" s="524">
        <v>65</v>
      </c>
      <c r="AK69" s="524">
        <v>0</v>
      </c>
      <c r="AL69" s="524"/>
      <c r="AM69" s="524"/>
      <c r="AN69" s="551"/>
      <c r="AO69" s="477"/>
      <c r="AP69" s="477"/>
      <c r="AQ69" s="524"/>
      <c r="AR69" s="524"/>
      <c r="AS69" s="524"/>
      <c r="AT6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69" s="483">
        <f>WWWW[[#This Row],[%Equitable and continuous access to sufficient quantity of safe drinking water]]*WWWW[[#This Row],[Total PoP ]]</f>
        <v>323</v>
      </c>
      <c r="AV6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69" s="483">
        <f>WWWW[[#This Row],[% Access to unimproved water points]]*WWWW[[#This Row],[Total PoP ]]</f>
        <v>323</v>
      </c>
      <c r="AX6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6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323</v>
      </c>
      <c r="AZ69" s="483">
        <f>WWWW[[#This Row],[HRP1]]/250</f>
        <v>1.292</v>
      </c>
      <c r="BA69" s="476">
        <f>1-WWWW[[#This Row],[% Equitable and continuous access to sufficient quantity of domestic water]]</f>
        <v>0</v>
      </c>
      <c r="BB69" s="483">
        <f>WWWW[[#This Row],[%equitable and continuous access to sufficient quantity of safe drinking and domestic water''s GAP]]*WWWW[[#This Row],[Total PoP ]]</f>
        <v>0</v>
      </c>
      <c r="BC69" s="478">
        <f>IF(WWWW[[#This Row],[Total required water points]]-WWWW[[#This Row],['#Water points coverage]]&lt;0,0,WWWW[[#This Row],[Total required water points]]-WWWW[[#This Row],['#Water points coverage]])</f>
        <v>0</v>
      </c>
      <c r="BD69" s="478">
        <f>ROUND(IF(WWWW[[#This Row],[Total PoP ]]&lt;250,1,WWWW[[#This Row],[Total PoP ]]/250),0)</f>
        <v>1</v>
      </c>
      <c r="BE6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69" s="483">
        <f>WWWW[[#This Row],[% people access to functioning Latrine]]*WWWW[[#This Row],[Total PoP ]]</f>
        <v>323</v>
      </c>
      <c r="BG69" s="478">
        <f>WWWW[[#This Row],['#_of_Functioning_latrines_in_school]]*50</f>
        <v>0</v>
      </c>
      <c r="BH69" s="478">
        <f>ROUND((WWWW[[#This Row],[Total PoP ]]/6),0)</f>
        <v>54</v>
      </c>
      <c r="BI69" s="478">
        <f>IF(WWWW[[#This Row],[Total required Latrines]]-(WWWW[[#This Row],['#_of_sanitary_fly-proof_HH_latrines]])&lt;0,0,WWWW[[#This Row],[Total required Latrines]]-(WWWW[[#This Row],['#_of_sanitary_fly-proof_HH_latrines]]))</f>
        <v>0</v>
      </c>
      <c r="BJ69" s="479">
        <f>1-WWWW[[#This Row],[% people access to functioning Latrine]]</f>
        <v>0</v>
      </c>
      <c r="BK6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69" s="483">
        <f>IF(WWWW[[#This Row],['#_of_functional_handwashing_facilities_at_HH_level]]*6&gt;WWWW[[#This Row],[Total PoP ]],WWWW[[#This Row],[Total PoP ]],WWWW[[#This Row],['#_of_functional_handwashing_facilities_at_HH_level]]*6)</f>
        <v>323</v>
      </c>
      <c r="BM69" s="478">
        <f>IF(WWWW[[#This Row],['# people reached by regular dedicated hygiene promotion]]&gt;WWWW[[#This Row],['# People received regular supply of hygiene items]],WWWW[[#This Row],['# people reached by regular dedicated hygiene promotion]],WWWW[[#This Row],['# People received regular supply of hygiene items]])</f>
        <v>0</v>
      </c>
      <c r="BN69" s="476">
        <f>IF(WWWW[[#This Row],[HRP3]]/WWWW[[#This Row],[Total PoP ]]&gt;100%,100%,WWWW[[#This Row],[HRP3]]/WWWW[[#This Row],[Total PoP ]])</f>
        <v>0</v>
      </c>
      <c r="BO69" s="479">
        <f>1-WWWW[[#This Row],[Hygiene Coverage%]]</f>
        <v>1</v>
      </c>
      <c r="BP69" s="477">
        <f>WWWW[[#This Row],['# people reached by regular dedicated hygiene promotion]]/WWWW[[#This Row],[Total PoP ]]</f>
        <v>0</v>
      </c>
      <c r="BQ6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69" s="478">
        <f>WWWW[[#This Row],['#_of_affected_women_and_girls_receiving_a_sufficient_quantity_of_sanitary_pads]]</f>
        <v>0</v>
      </c>
      <c r="BS69" s="524">
        <f>IF(WWWW[[#This Row],['# People with access to soap]]&gt;WWWW[[#This Row],['# People with access to Sanity Pads]],WWWW[[#This Row],['# People with access to soap]],WWWW[[#This Row],['# People with access to Sanity Pads]])</f>
        <v>0</v>
      </c>
      <c r="BT69" s="483" t="str">
        <f>IF(OR(WWWW[[#This Row],['#of students in school]]="",WWWW[[#This Row],['#of students in school]]=0),"No","Yes")</f>
        <v>Yes</v>
      </c>
      <c r="BU69" s="480" t="str">
        <f>VLOOKUP(WWWW[[#This Row],[Village  Name]],SiteDB6[[Site Name]:[Location Type 1]],9,FALSE)</f>
        <v>Village</v>
      </c>
      <c r="BV69" s="480" t="str">
        <f>VLOOKUP(WWWW[[#This Row],[Village  Name]],SiteDB6[[Site Name]:[Type of Accommodation]],10,FALSE)</f>
        <v>Village</v>
      </c>
      <c r="BW69" s="480" t="str">
        <f>VLOOKUP(WWWW[[#This Row],[Village  Name]],SiteDB6[[Site Name]:[Ethnic or GCA/NGCA]],11,FALSE)</f>
        <v>Rakhine</v>
      </c>
      <c r="BX69" s="480">
        <f>VLOOKUP(WWWW[[#This Row],[Village  Name]],SiteDB6[[Site Name]:[Lat]],12,FALSE)</f>
        <v>19.417640689999999</v>
      </c>
      <c r="BY69" s="480">
        <f>VLOOKUP(WWWW[[#This Row],[Village  Name]],SiteDB6[[Site Name]:[Long]],13,FALSE)</f>
        <v>93.565246579999993</v>
      </c>
      <c r="BZ69" s="480">
        <f>VLOOKUP(WWWW[[#This Row],[Village  Name]],SiteDB6[[Site Name]:[Pcode]],3,FALSE)</f>
        <v>198464</v>
      </c>
      <c r="CA69" s="480" t="str">
        <f t="shared" ref="CA69:CA73" si="3">IF(C69="none","Notcovered","Covered")</f>
        <v>Covered</v>
      </c>
      <c r="CB69" s="505"/>
    </row>
    <row r="70" spans="1:80">
      <c r="A70" s="774" t="s">
        <v>3150</v>
      </c>
      <c r="B70" s="774" t="s">
        <v>2269</v>
      </c>
      <c r="C70" s="415" t="s">
        <v>2269</v>
      </c>
      <c r="D70" s="415" t="s">
        <v>231</v>
      </c>
      <c r="E70" s="415" t="s">
        <v>2648</v>
      </c>
      <c r="F70" s="415" t="s">
        <v>357</v>
      </c>
      <c r="G70" s="644" t="str">
        <f>VLOOKUP(WWWW[[#This Row],[Village  Name]],SiteDB6[[Site Name]:[Location Type]],8,FALSE)</f>
        <v>Village</v>
      </c>
      <c r="H70" s="415" t="s">
        <v>3125</v>
      </c>
      <c r="I70" s="524">
        <v>275</v>
      </c>
      <c r="J70" s="524">
        <v>1018</v>
      </c>
      <c r="K70" s="418">
        <v>43540</v>
      </c>
      <c r="L70" s="55">
        <v>43906</v>
      </c>
      <c r="M70" s="524">
        <v>227</v>
      </c>
      <c r="N70" s="524"/>
      <c r="O70" s="524"/>
      <c r="P70" s="524"/>
      <c r="Q70" s="524"/>
      <c r="R70" s="524"/>
      <c r="S70" s="524"/>
      <c r="T70" s="524"/>
      <c r="U70" s="551"/>
      <c r="V70" s="524"/>
      <c r="W70" s="524" t="s">
        <v>40</v>
      </c>
      <c r="X70" s="524">
        <v>5</v>
      </c>
      <c r="Y70" s="524"/>
      <c r="Z70" s="524"/>
      <c r="AA70" s="524"/>
      <c r="AB70" s="524"/>
      <c r="AC70" s="551"/>
      <c r="AD70" s="524">
        <v>0</v>
      </c>
      <c r="AE70" s="524">
        <v>0</v>
      </c>
      <c r="AF70" s="524">
        <v>0</v>
      </c>
      <c r="AG70" s="524">
        <v>0</v>
      </c>
      <c r="AH70" s="524">
        <v>0</v>
      </c>
      <c r="AI70" s="524">
        <v>0</v>
      </c>
      <c r="AJ70" s="524">
        <v>0</v>
      </c>
      <c r="AK70" s="524">
        <v>0</v>
      </c>
      <c r="AL70" s="524"/>
      <c r="AM70" s="524"/>
      <c r="AN70" s="551"/>
      <c r="AO70" s="477"/>
      <c r="AP70" s="477"/>
      <c r="AQ70" s="524"/>
      <c r="AR70" s="524"/>
      <c r="AS70" s="524"/>
      <c r="AT7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70" s="483">
        <f>WWWW[[#This Row],[%Equitable and continuous access to sufficient quantity of safe drinking water]]*WWWW[[#This Row],[Total PoP ]]</f>
        <v>0</v>
      </c>
      <c r="AV7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70" s="483">
        <f>WWWW[[#This Row],[% Access to unimproved water points]]*WWWW[[#This Row],[Total PoP ]]</f>
        <v>0</v>
      </c>
      <c r="AX7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7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70" s="483">
        <f>WWWW[[#This Row],[HRP1]]/250</f>
        <v>0</v>
      </c>
      <c r="BA70" s="476">
        <f>1-WWWW[[#This Row],[% Equitable and continuous access to sufficient quantity of domestic water]]</f>
        <v>1</v>
      </c>
      <c r="BB70" s="483">
        <f>WWWW[[#This Row],[%equitable and continuous access to sufficient quantity of safe drinking and domestic water''s GAP]]*WWWW[[#This Row],[Total PoP ]]</f>
        <v>1018</v>
      </c>
      <c r="BC70" s="478">
        <f>IF(WWWW[[#This Row],[Total required water points]]-WWWW[[#This Row],['#Water points coverage]]&lt;0,0,WWWW[[#This Row],[Total required water points]]-WWWW[[#This Row],['#Water points coverage]])</f>
        <v>4</v>
      </c>
      <c r="BD70" s="478">
        <f>ROUND(IF(WWWW[[#This Row],[Total PoP ]]&lt;250,1,WWWW[[#This Row],[Total PoP ]]/250),0)</f>
        <v>4</v>
      </c>
      <c r="BE7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70" s="483">
        <f>WWWW[[#This Row],[% people access to functioning Latrine]]*WWWW[[#This Row],[Total PoP ]]</f>
        <v>0</v>
      </c>
      <c r="BG70" s="478">
        <f>WWWW[[#This Row],['#_of_Functioning_latrines_in_school]]*50</f>
        <v>250</v>
      </c>
      <c r="BH70" s="478">
        <f>ROUND((WWWW[[#This Row],[Total PoP ]]/6),0)</f>
        <v>170</v>
      </c>
      <c r="BI70" s="478">
        <f>IF(WWWW[[#This Row],[Total required Latrines]]-(WWWW[[#This Row],['#_of_sanitary_fly-proof_HH_latrines]])&lt;0,0,WWWW[[#This Row],[Total required Latrines]]-(WWWW[[#This Row],['#_of_sanitary_fly-proof_HH_latrines]]))</f>
        <v>170</v>
      </c>
      <c r="BJ70" s="479">
        <f>1-WWWW[[#This Row],[% people access to functioning Latrine]]</f>
        <v>1</v>
      </c>
      <c r="BK7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70" s="483">
        <f>IF(WWWW[[#This Row],['#_of_functional_handwashing_facilities_at_HH_level]]*6&gt;WWWW[[#This Row],[Total PoP ]],WWWW[[#This Row],[Total PoP ]],WWWW[[#This Row],['#_of_functional_handwashing_facilities_at_HH_level]]*6)</f>
        <v>0</v>
      </c>
      <c r="BM70" s="478">
        <f>IF(WWWW[[#This Row],['# people reached by regular dedicated hygiene promotion]]&gt;WWWW[[#This Row],['# People received regular supply of hygiene items]],WWWW[[#This Row],['# people reached by regular dedicated hygiene promotion]],WWWW[[#This Row],['# People received regular supply of hygiene items]])</f>
        <v>0</v>
      </c>
      <c r="BN70" s="476">
        <f>IF(WWWW[[#This Row],[HRP3]]/WWWW[[#This Row],[Total PoP ]]&gt;100%,100%,WWWW[[#This Row],[HRP3]]/WWWW[[#This Row],[Total PoP ]])</f>
        <v>0</v>
      </c>
      <c r="BO70" s="479">
        <f>1-WWWW[[#This Row],[Hygiene Coverage%]]</f>
        <v>1</v>
      </c>
      <c r="BP70" s="477">
        <f>WWWW[[#This Row],['# people reached by regular dedicated hygiene promotion]]/WWWW[[#This Row],[Total PoP ]]</f>
        <v>0</v>
      </c>
      <c r="BQ7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70" s="478">
        <f>WWWW[[#This Row],['#_of_affected_women_and_girls_receiving_a_sufficient_quantity_of_sanitary_pads]]</f>
        <v>0</v>
      </c>
      <c r="BS70" s="524">
        <f>IF(WWWW[[#This Row],['# People with access to soap]]&gt;WWWW[[#This Row],['# People with access to Sanity Pads]],WWWW[[#This Row],['# People with access to soap]],WWWW[[#This Row],['# People with access to Sanity Pads]])</f>
        <v>0</v>
      </c>
      <c r="BT70" s="483" t="str">
        <f>IF(OR(WWWW[[#This Row],['#of students in school]]="",WWWW[[#This Row],['#of students in school]]=0),"No","Yes")</f>
        <v>Yes</v>
      </c>
      <c r="BU70" s="480" t="str">
        <f>VLOOKUP(WWWW[[#This Row],[Village  Name]],SiteDB6[[Site Name]:[Location Type 1]],9,FALSE)</f>
        <v>Village</v>
      </c>
      <c r="BV70" s="480" t="str">
        <f>VLOOKUP(WWWW[[#This Row],[Village  Name]],SiteDB6[[Site Name]:[Type of Accommodation]],10,FALSE)</f>
        <v>Village</v>
      </c>
      <c r="BW70" s="480" t="str">
        <f>VLOOKUP(WWWW[[#This Row],[Village  Name]],SiteDB6[[Site Name]:[Ethnic or GCA/NGCA]],11,FALSE)</f>
        <v>Rakhine</v>
      </c>
      <c r="BX70" s="480">
        <f>VLOOKUP(WWWW[[#This Row],[Village  Name]],SiteDB6[[Site Name]:[Lat]],12,FALSE)</f>
        <v>19.4781608581543</v>
      </c>
      <c r="BY70" s="480">
        <f>VLOOKUP(WWWW[[#This Row],[Village  Name]],SiteDB6[[Site Name]:[Long]],13,FALSE)</f>
        <v>93.622062683105497</v>
      </c>
      <c r="BZ70" s="480">
        <f>VLOOKUP(WWWW[[#This Row],[Village  Name]],SiteDB6[[Site Name]:[Pcode]],3,FALSE)</f>
        <v>198475</v>
      </c>
      <c r="CA70" s="480" t="str">
        <f t="shared" si="3"/>
        <v>Covered</v>
      </c>
      <c r="CB70" s="505"/>
    </row>
    <row r="71" spans="1:80">
      <c r="A71" s="774" t="s">
        <v>3150</v>
      </c>
      <c r="B71" s="774" t="s">
        <v>2269</v>
      </c>
      <c r="C71" s="415" t="s">
        <v>2269</v>
      </c>
      <c r="D71" s="415" t="s">
        <v>231</v>
      </c>
      <c r="E71" s="415" t="s">
        <v>2648</v>
      </c>
      <c r="F71" s="415" t="s">
        <v>357</v>
      </c>
      <c r="G71" s="644" t="str">
        <f>VLOOKUP(WWWW[[#This Row],[Village  Name]],SiteDB6[[Site Name]:[Location Type]],8,FALSE)</f>
        <v>Village</v>
      </c>
      <c r="H71" s="415" t="s">
        <v>3126</v>
      </c>
      <c r="I71" s="524">
        <v>76</v>
      </c>
      <c r="J71" s="524">
        <v>276</v>
      </c>
      <c r="K71" s="418">
        <v>43540</v>
      </c>
      <c r="L71" s="55">
        <v>43906</v>
      </c>
      <c r="M71" s="524">
        <v>69</v>
      </c>
      <c r="N71" s="524"/>
      <c r="O71" s="524"/>
      <c r="P71" s="524"/>
      <c r="Q71" s="524"/>
      <c r="R71" s="524"/>
      <c r="S71" s="524"/>
      <c r="T71" s="524"/>
      <c r="U71" s="551"/>
      <c r="V71" s="524"/>
      <c r="W71" s="524" t="s">
        <v>40</v>
      </c>
      <c r="X71" s="524">
        <v>2</v>
      </c>
      <c r="Y71" s="524"/>
      <c r="Z71" s="524"/>
      <c r="AA71" s="524"/>
      <c r="AB71" s="524"/>
      <c r="AC71" s="551"/>
      <c r="AD71" s="524">
        <v>0</v>
      </c>
      <c r="AE71" s="524">
        <v>0</v>
      </c>
      <c r="AF71" s="524">
        <v>0</v>
      </c>
      <c r="AG71" s="524">
        <v>0</v>
      </c>
      <c r="AH71" s="524">
        <v>0</v>
      </c>
      <c r="AI71" s="524">
        <v>0</v>
      </c>
      <c r="AJ71" s="524">
        <v>0</v>
      </c>
      <c r="AK71" s="524">
        <v>0</v>
      </c>
      <c r="AL71" s="524"/>
      <c r="AM71" s="524"/>
      <c r="AN71" s="551"/>
      <c r="AO71" s="477"/>
      <c r="AP71" s="477"/>
      <c r="AQ71" s="524"/>
      <c r="AR71" s="524"/>
      <c r="AS71" s="524"/>
      <c r="AT71"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71" s="483">
        <f>WWWW[[#This Row],[%Equitable and continuous access to sufficient quantity of safe drinking water]]*WWWW[[#This Row],[Total PoP ]]</f>
        <v>0</v>
      </c>
      <c r="AV71"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71" s="483">
        <f>WWWW[[#This Row],[% Access to unimproved water points]]*WWWW[[#This Row],[Total PoP ]]</f>
        <v>0</v>
      </c>
      <c r="AX71"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71"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71" s="483">
        <f>WWWW[[#This Row],[HRP1]]/250</f>
        <v>0</v>
      </c>
      <c r="BA71" s="476">
        <f>1-WWWW[[#This Row],[% Equitable and continuous access to sufficient quantity of domestic water]]</f>
        <v>1</v>
      </c>
      <c r="BB71" s="483">
        <f>WWWW[[#This Row],[%equitable and continuous access to sufficient quantity of safe drinking and domestic water''s GAP]]*WWWW[[#This Row],[Total PoP ]]</f>
        <v>276</v>
      </c>
      <c r="BC71" s="478">
        <f>IF(WWWW[[#This Row],[Total required water points]]-WWWW[[#This Row],['#Water points coverage]]&lt;0,0,WWWW[[#This Row],[Total required water points]]-WWWW[[#This Row],['#Water points coverage]])</f>
        <v>1</v>
      </c>
      <c r="BD71" s="478">
        <f>ROUND(IF(WWWW[[#This Row],[Total PoP ]]&lt;250,1,WWWW[[#This Row],[Total PoP ]]/250),0)</f>
        <v>1</v>
      </c>
      <c r="BE7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71" s="483">
        <f>WWWW[[#This Row],[% people access to functioning Latrine]]*WWWW[[#This Row],[Total PoP ]]</f>
        <v>0</v>
      </c>
      <c r="BG71" s="478">
        <f>WWWW[[#This Row],['#_of_Functioning_latrines_in_school]]*50</f>
        <v>100</v>
      </c>
      <c r="BH71" s="478">
        <f>ROUND((WWWW[[#This Row],[Total PoP ]]/6),0)</f>
        <v>46</v>
      </c>
      <c r="BI71" s="478">
        <f>IF(WWWW[[#This Row],[Total required Latrines]]-(WWWW[[#This Row],['#_of_sanitary_fly-proof_HH_latrines]])&lt;0,0,WWWW[[#This Row],[Total required Latrines]]-(WWWW[[#This Row],['#_of_sanitary_fly-proof_HH_latrines]]))</f>
        <v>46</v>
      </c>
      <c r="BJ71" s="479">
        <f>1-WWWW[[#This Row],[% people access to functioning Latrine]]</f>
        <v>1</v>
      </c>
      <c r="BK71"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71" s="483">
        <f>IF(WWWW[[#This Row],['#_of_functional_handwashing_facilities_at_HH_level]]*6&gt;WWWW[[#This Row],[Total PoP ]],WWWW[[#This Row],[Total PoP ]],WWWW[[#This Row],['#_of_functional_handwashing_facilities_at_HH_level]]*6)</f>
        <v>0</v>
      </c>
      <c r="BM71" s="478">
        <f>IF(WWWW[[#This Row],['# people reached by regular dedicated hygiene promotion]]&gt;WWWW[[#This Row],['# People received regular supply of hygiene items]],WWWW[[#This Row],['# people reached by regular dedicated hygiene promotion]],WWWW[[#This Row],['# People received regular supply of hygiene items]])</f>
        <v>0</v>
      </c>
      <c r="BN71" s="476">
        <f>IF(WWWW[[#This Row],[HRP3]]/WWWW[[#This Row],[Total PoP ]]&gt;100%,100%,WWWW[[#This Row],[HRP3]]/WWWW[[#This Row],[Total PoP ]])</f>
        <v>0</v>
      </c>
      <c r="BO71" s="479">
        <f>1-WWWW[[#This Row],[Hygiene Coverage%]]</f>
        <v>1</v>
      </c>
      <c r="BP71" s="477">
        <f>WWWW[[#This Row],['# people reached by regular dedicated hygiene promotion]]/WWWW[[#This Row],[Total PoP ]]</f>
        <v>0</v>
      </c>
      <c r="BQ7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71" s="478">
        <f>WWWW[[#This Row],['#_of_affected_women_and_girls_receiving_a_sufficient_quantity_of_sanitary_pads]]</f>
        <v>0</v>
      </c>
      <c r="BS71" s="524">
        <f>IF(WWWW[[#This Row],['# People with access to soap]]&gt;WWWW[[#This Row],['# People with access to Sanity Pads]],WWWW[[#This Row],['# People with access to soap]],WWWW[[#This Row],['# People with access to Sanity Pads]])</f>
        <v>0</v>
      </c>
      <c r="BT71" s="483" t="str">
        <f>IF(OR(WWWW[[#This Row],['#of students in school]]="",WWWW[[#This Row],['#of students in school]]=0),"No","Yes")</f>
        <v>Yes</v>
      </c>
      <c r="BU71" s="480" t="str">
        <f>VLOOKUP(WWWW[[#This Row],[Village  Name]],SiteDB6[[Site Name]:[Location Type 1]],9,FALSE)</f>
        <v>Village</v>
      </c>
      <c r="BV71" s="480" t="str">
        <f>VLOOKUP(WWWW[[#This Row],[Village  Name]],SiteDB6[[Site Name]:[Type of Accommodation]],10,FALSE)</f>
        <v>Village</v>
      </c>
      <c r="BW71" s="480" t="str">
        <f>VLOOKUP(WWWW[[#This Row],[Village  Name]],SiteDB6[[Site Name]:[Ethnic or GCA/NGCA]],11,FALSE)</f>
        <v>Rakhine</v>
      </c>
      <c r="BX71" s="480">
        <f>VLOOKUP(WWWW[[#This Row],[Village  Name]],SiteDB6[[Site Name]:[Lat]],12,FALSE)</f>
        <v>19.483570098876999</v>
      </c>
      <c r="BY71" s="480">
        <f>VLOOKUP(WWWW[[#This Row],[Village  Name]],SiteDB6[[Site Name]:[Long]],13,FALSE)</f>
        <v>93.639602661132798</v>
      </c>
      <c r="BZ71" s="480">
        <f>VLOOKUP(WWWW[[#This Row],[Village  Name]],SiteDB6[[Site Name]:[Pcode]],3,FALSE)</f>
        <v>198476</v>
      </c>
      <c r="CA71" s="480" t="str">
        <f t="shared" si="3"/>
        <v>Covered</v>
      </c>
      <c r="CB71" s="505"/>
    </row>
    <row r="72" spans="1:80">
      <c r="A72" s="774" t="s">
        <v>3150</v>
      </c>
      <c r="B72" s="774" t="s">
        <v>2269</v>
      </c>
      <c r="C72" s="415" t="s">
        <v>2269</v>
      </c>
      <c r="D72" s="415" t="s">
        <v>231</v>
      </c>
      <c r="E72" s="415" t="s">
        <v>2648</v>
      </c>
      <c r="F72" s="415" t="s">
        <v>357</v>
      </c>
      <c r="G72" s="644" t="str">
        <f>VLOOKUP(WWWW[[#This Row],[Village  Name]],SiteDB6[[Site Name]:[Location Type]],8,FALSE)</f>
        <v>Village</v>
      </c>
      <c r="H72" s="415" t="s">
        <v>2547</v>
      </c>
      <c r="I72" s="524">
        <v>251</v>
      </c>
      <c r="J72" s="524">
        <v>970</v>
      </c>
      <c r="K72" s="418">
        <v>43540</v>
      </c>
      <c r="L72" s="55">
        <v>43906</v>
      </c>
      <c r="M72" s="524">
        <v>297</v>
      </c>
      <c r="N72" s="524"/>
      <c r="O72" s="524"/>
      <c r="P72" s="524"/>
      <c r="Q72" s="524"/>
      <c r="R72" s="524"/>
      <c r="S72" s="524"/>
      <c r="T72" s="524"/>
      <c r="U72" s="551"/>
      <c r="V72" s="524"/>
      <c r="W72" s="524" t="s">
        <v>40</v>
      </c>
      <c r="X72" s="524">
        <v>4</v>
      </c>
      <c r="Y72" s="524"/>
      <c r="Z72" s="524"/>
      <c r="AA72" s="524"/>
      <c r="AB72" s="524"/>
      <c r="AC72" s="551"/>
      <c r="AD72" s="524">
        <v>0</v>
      </c>
      <c r="AE72" s="524">
        <v>0</v>
      </c>
      <c r="AF72" s="524">
        <v>0</v>
      </c>
      <c r="AG72" s="524">
        <v>0</v>
      </c>
      <c r="AH72" s="524">
        <v>0</v>
      </c>
      <c r="AI72" s="524">
        <v>0</v>
      </c>
      <c r="AJ72" s="524">
        <v>0</v>
      </c>
      <c r="AK72" s="524">
        <v>0</v>
      </c>
      <c r="AL72" s="524"/>
      <c r="AM72" s="524"/>
      <c r="AN72" s="551"/>
      <c r="AO72" s="477"/>
      <c r="AP72" s="477"/>
      <c r="AQ72" s="524"/>
      <c r="AR72" s="524"/>
      <c r="AS72" s="524"/>
      <c r="AT7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72" s="483">
        <f>WWWW[[#This Row],[%Equitable and continuous access to sufficient quantity of safe drinking water]]*WWWW[[#This Row],[Total PoP ]]</f>
        <v>0</v>
      </c>
      <c r="AV7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72" s="483">
        <f>WWWW[[#This Row],[% Access to unimproved water points]]*WWWW[[#This Row],[Total PoP ]]</f>
        <v>0</v>
      </c>
      <c r="AX7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7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72" s="483">
        <f>WWWW[[#This Row],[HRP1]]/250</f>
        <v>0</v>
      </c>
      <c r="BA72" s="476">
        <f>1-WWWW[[#This Row],[% Equitable and continuous access to sufficient quantity of domestic water]]</f>
        <v>1</v>
      </c>
      <c r="BB72" s="483">
        <f>WWWW[[#This Row],[%equitable and continuous access to sufficient quantity of safe drinking and domestic water''s GAP]]*WWWW[[#This Row],[Total PoP ]]</f>
        <v>970</v>
      </c>
      <c r="BC72" s="478">
        <f>IF(WWWW[[#This Row],[Total required water points]]-WWWW[[#This Row],['#Water points coverage]]&lt;0,0,WWWW[[#This Row],[Total required water points]]-WWWW[[#This Row],['#Water points coverage]])</f>
        <v>4</v>
      </c>
      <c r="BD72" s="478">
        <f>ROUND(IF(WWWW[[#This Row],[Total PoP ]]&lt;250,1,WWWW[[#This Row],[Total PoP ]]/250),0)</f>
        <v>4</v>
      </c>
      <c r="BE7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72" s="483">
        <f>WWWW[[#This Row],[% people access to functioning Latrine]]*WWWW[[#This Row],[Total PoP ]]</f>
        <v>0</v>
      </c>
      <c r="BG72" s="478">
        <f>WWWW[[#This Row],['#_of_Functioning_latrines_in_school]]*50</f>
        <v>200</v>
      </c>
      <c r="BH72" s="478">
        <f>ROUND((WWWW[[#This Row],[Total PoP ]]/6),0)</f>
        <v>162</v>
      </c>
      <c r="BI72" s="478">
        <f>IF(WWWW[[#This Row],[Total required Latrines]]-(WWWW[[#This Row],['#_of_sanitary_fly-proof_HH_latrines]])&lt;0,0,WWWW[[#This Row],[Total required Latrines]]-(WWWW[[#This Row],['#_of_sanitary_fly-proof_HH_latrines]]))</f>
        <v>162</v>
      </c>
      <c r="BJ72" s="479">
        <f>1-WWWW[[#This Row],[% people access to functioning Latrine]]</f>
        <v>1</v>
      </c>
      <c r="BK7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72" s="483">
        <f>IF(WWWW[[#This Row],['#_of_functional_handwashing_facilities_at_HH_level]]*6&gt;WWWW[[#This Row],[Total PoP ]],WWWW[[#This Row],[Total PoP ]],WWWW[[#This Row],['#_of_functional_handwashing_facilities_at_HH_level]]*6)</f>
        <v>0</v>
      </c>
      <c r="BM72" s="478">
        <f>IF(WWWW[[#This Row],['# people reached by regular dedicated hygiene promotion]]&gt;WWWW[[#This Row],['# People received regular supply of hygiene items]],WWWW[[#This Row],['# people reached by regular dedicated hygiene promotion]],WWWW[[#This Row],['# People received regular supply of hygiene items]])</f>
        <v>0</v>
      </c>
      <c r="BN72" s="476">
        <f>IF(WWWW[[#This Row],[HRP3]]/WWWW[[#This Row],[Total PoP ]]&gt;100%,100%,WWWW[[#This Row],[HRP3]]/WWWW[[#This Row],[Total PoP ]])</f>
        <v>0</v>
      </c>
      <c r="BO72" s="479">
        <f>1-WWWW[[#This Row],[Hygiene Coverage%]]</f>
        <v>1</v>
      </c>
      <c r="BP72" s="477">
        <f>WWWW[[#This Row],['# people reached by regular dedicated hygiene promotion]]/WWWW[[#This Row],[Total PoP ]]</f>
        <v>0</v>
      </c>
      <c r="BQ7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72" s="478">
        <f>WWWW[[#This Row],['#_of_affected_women_and_girls_receiving_a_sufficient_quantity_of_sanitary_pads]]</f>
        <v>0</v>
      </c>
      <c r="BS72" s="524">
        <f>IF(WWWW[[#This Row],['# People with access to soap]]&gt;WWWW[[#This Row],['# People with access to Sanity Pads]],WWWW[[#This Row],['# People with access to soap]],WWWW[[#This Row],['# People with access to Sanity Pads]])</f>
        <v>0</v>
      </c>
      <c r="BT72" s="483" t="str">
        <f>IF(OR(WWWW[[#This Row],['#of students in school]]="",WWWW[[#This Row],['#of students in school]]=0),"No","Yes")</f>
        <v>Yes</v>
      </c>
      <c r="BU72" s="480" t="str">
        <f>VLOOKUP(WWWW[[#This Row],[Village  Name]],SiteDB6[[Site Name]:[Location Type 1]],9,FALSE)</f>
        <v>Village</v>
      </c>
      <c r="BV72" s="480" t="str">
        <f>VLOOKUP(WWWW[[#This Row],[Village  Name]],SiteDB6[[Site Name]:[Type of Accommodation]],10,FALSE)</f>
        <v>Village</v>
      </c>
      <c r="BW72" s="480" t="str">
        <f>VLOOKUP(WWWW[[#This Row],[Village  Name]],SiteDB6[[Site Name]:[Ethnic or GCA/NGCA]],11,FALSE)</f>
        <v>Rakhine</v>
      </c>
      <c r="BX72" s="480">
        <f>VLOOKUP(WWWW[[#This Row],[Village  Name]],SiteDB6[[Site Name]:[Lat]],12,FALSE)</f>
        <v>19.378620147705099</v>
      </c>
      <c r="BY72" s="480">
        <f>VLOOKUP(WWWW[[#This Row],[Village  Name]],SiteDB6[[Site Name]:[Long]],13,FALSE)</f>
        <v>93.483879089355497</v>
      </c>
      <c r="BZ72" s="480">
        <f>VLOOKUP(WWWW[[#This Row],[Village  Name]],SiteDB6[[Site Name]:[Pcode]],3,FALSE)</f>
        <v>198508</v>
      </c>
      <c r="CA72" s="480" t="str">
        <f t="shared" si="3"/>
        <v>Covered</v>
      </c>
      <c r="CB72" s="505"/>
    </row>
    <row r="73" spans="1:80">
      <c r="A73" s="774" t="s">
        <v>3150</v>
      </c>
      <c r="B73" s="774" t="s">
        <v>2269</v>
      </c>
      <c r="C73" s="415" t="s">
        <v>2269</v>
      </c>
      <c r="D73" s="415" t="s">
        <v>231</v>
      </c>
      <c r="E73" s="415" t="s">
        <v>2648</v>
      </c>
      <c r="F73" s="415" t="s">
        <v>357</v>
      </c>
      <c r="G73" s="644" t="str">
        <f>VLOOKUP(WWWW[[#This Row],[Village  Name]],SiteDB6[[Site Name]:[Location Type]],8,FALSE)</f>
        <v>Village</v>
      </c>
      <c r="H73" s="415" t="s">
        <v>2548</v>
      </c>
      <c r="I73" s="524">
        <v>152</v>
      </c>
      <c r="J73" s="524">
        <v>864</v>
      </c>
      <c r="K73" s="418">
        <v>43540</v>
      </c>
      <c r="L73" s="55">
        <v>43906</v>
      </c>
      <c r="M73" s="524">
        <v>188</v>
      </c>
      <c r="N73" s="524"/>
      <c r="O73" s="524"/>
      <c r="P73" s="524"/>
      <c r="Q73" s="524"/>
      <c r="R73" s="524"/>
      <c r="S73" s="524"/>
      <c r="T73" s="524"/>
      <c r="U73" s="551"/>
      <c r="V73" s="524"/>
      <c r="W73" s="524" t="s">
        <v>40</v>
      </c>
      <c r="X73" s="524">
        <v>3</v>
      </c>
      <c r="Y73" s="524"/>
      <c r="Z73" s="524"/>
      <c r="AA73" s="524"/>
      <c r="AB73" s="524"/>
      <c r="AC73" s="551"/>
      <c r="AD73" s="524">
        <v>0</v>
      </c>
      <c r="AE73" s="524">
        <v>0</v>
      </c>
      <c r="AF73" s="524">
        <v>0</v>
      </c>
      <c r="AG73" s="524">
        <v>0</v>
      </c>
      <c r="AH73" s="524">
        <v>0</v>
      </c>
      <c r="AI73" s="524">
        <v>0</v>
      </c>
      <c r="AJ73" s="524">
        <v>0</v>
      </c>
      <c r="AK73" s="524">
        <v>0</v>
      </c>
      <c r="AL73" s="524"/>
      <c r="AM73" s="524"/>
      <c r="AN73" s="551"/>
      <c r="AO73" s="477"/>
      <c r="AP73" s="477"/>
      <c r="AQ73" s="524"/>
      <c r="AR73" s="524"/>
      <c r="AS73" s="524"/>
      <c r="AT73"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73" s="483">
        <f>WWWW[[#This Row],[%Equitable and continuous access to sufficient quantity of safe drinking water]]*WWWW[[#This Row],[Total PoP ]]</f>
        <v>0</v>
      </c>
      <c r="AV73"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73" s="483">
        <f>WWWW[[#This Row],[% Access to unimproved water points]]*WWWW[[#This Row],[Total PoP ]]</f>
        <v>0</v>
      </c>
      <c r="AX73"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73"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73" s="483">
        <f>WWWW[[#This Row],[HRP1]]/250</f>
        <v>0</v>
      </c>
      <c r="BA73" s="476">
        <f>1-WWWW[[#This Row],[% Equitable and continuous access to sufficient quantity of domestic water]]</f>
        <v>1</v>
      </c>
      <c r="BB73" s="483">
        <f>WWWW[[#This Row],[%equitable and continuous access to sufficient quantity of safe drinking and domestic water''s GAP]]*WWWW[[#This Row],[Total PoP ]]</f>
        <v>864</v>
      </c>
      <c r="BC73" s="478">
        <f>IF(WWWW[[#This Row],[Total required water points]]-WWWW[[#This Row],['#Water points coverage]]&lt;0,0,WWWW[[#This Row],[Total required water points]]-WWWW[[#This Row],['#Water points coverage]])</f>
        <v>3</v>
      </c>
      <c r="BD73" s="478">
        <f>ROUND(IF(WWWW[[#This Row],[Total PoP ]]&lt;250,1,WWWW[[#This Row],[Total PoP ]]/250),0)</f>
        <v>3</v>
      </c>
      <c r="BE7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73" s="483">
        <f>WWWW[[#This Row],[% people access to functioning Latrine]]*WWWW[[#This Row],[Total PoP ]]</f>
        <v>0</v>
      </c>
      <c r="BG73" s="478">
        <f>WWWW[[#This Row],['#_of_Functioning_latrines_in_school]]*50</f>
        <v>150</v>
      </c>
      <c r="BH73" s="478">
        <f>ROUND((WWWW[[#This Row],[Total PoP ]]/6),0)</f>
        <v>144</v>
      </c>
      <c r="BI73" s="478">
        <f>IF(WWWW[[#This Row],[Total required Latrines]]-(WWWW[[#This Row],['#_of_sanitary_fly-proof_HH_latrines]])&lt;0,0,WWWW[[#This Row],[Total required Latrines]]-(WWWW[[#This Row],['#_of_sanitary_fly-proof_HH_latrines]]))</f>
        <v>144</v>
      </c>
      <c r="BJ73" s="479">
        <f>1-WWWW[[#This Row],[% people access to functioning Latrine]]</f>
        <v>1</v>
      </c>
      <c r="BK73"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73" s="483">
        <f>IF(WWWW[[#This Row],['#_of_functional_handwashing_facilities_at_HH_level]]*6&gt;WWWW[[#This Row],[Total PoP ]],WWWW[[#This Row],[Total PoP ]],WWWW[[#This Row],['#_of_functional_handwashing_facilities_at_HH_level]]*6)</f>
        <v>0</v>
      </c>
      <c r="BM73" s="478">
        <f>IF(WWWW[[#This Row],['# people reached by regular dedicated hygiene promotion]]&gt;WWWW[[#This Row],['# People received regular supply of hygiene items]],WWWW[[#This Row],['# people reached by regular dedicated hygiene promotion]],WWWW[[#This Row],['# People received regular supply of hygiene items]])</f>
        <v>0</v>
      </c>
      <c r="BN73" s="476">
        <f>IF(WWWW[[#This Row],[HRP3]]/WWWW[[#This Row],[Total PoP ]]&gt;100%,100%,WWWW[[#This Row],[HRP3]]/WWWW[[#This Row],[Total PoP ]])</f>
        <v>0</v>
      </c>
      <c r="BO73" s="479">
        <f>1-WWWW[[#This Row],[Hygiene Coverage%]]</f>
        <v>1</v>
      </c>
      <c r="BP73" s="477">
        <f>WWWW[[#This Row],['# people reached by regular dedicated hygiene promotion]]/WWWW[[#This Row],[Total PoP ]]</f>
        <v>0</v>
      </c>
      <c r="BQ7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73" s="478">
        <f>WWWW[[#This Row],['#_of_affected_women_and_girls_receiving_a_sufficient_quantity_of_sanitary_pads]]</f>
        <v>0</v>
      </c>
      <c r="BS73" s="524">
        <f>IF(WWWW[[#This Row],['# People with access to soap]]&gt;WWWW[[#This Row],['# People with access to Sanity Pads]],WWWW[[#This Row],['# People with access to soap]],WWWW[[#This Row],['# People with access to Sanity Pads]])</f>
        <v>0</v>
      </c>
      <c r="BT73" s="483" t="str">
        <f>IF(OR(WWWW[[#This Row],['#of students in school]]="",WWWW[[#This Row],['#of students in school]]=0),"No","Yes")</f>
        <v>Yes</v>
      </c>
      <c r="BU73" s="480" t="str">
        <f>VLOOKUP(WWWW[[#This Row],[Village  Name]],SiteDB6[[Site Name]:[Location Type 1]],9,FALSE)</f>
        <v>Village</v>
      </c>
      <c r="BV73" s="480" t="str">
        <f>VLOOKUP(WWWW[[#This Row],[Village  Name]],SiteDB6[[Site Name]:[Type of Accommodation]],10,FALSE)</f>
        <v>Village</v>
      </c>
      <c r="BW73" s="480" t="str">
        <f>VLOOKUP(WWWW[[#This Row],[Village  Name]],SiteDB6[[Site Name]:[Ethnic or GCA/NGCA]],11,FALSE)</f>
        <v>Rakhine</v>
      </c>
      <c r="BX73" s="480">
        <f>VLOOKUP(WWWW[[#This Row],[Village  Name]],SiteDB6[[Site Name]:[Lat]],12,FALSE)</f>
        <v>19.243989944458001</v>
      </c>
      <c r="BY73" s="480">
        <f>VLOOKUP(WWWW[[#This Row],[Village  Name]],SiteDB6[[Site Name]:[Long]],13,FALSE)</f>
        <v>93.714859008789105</v>
      </c>
      <c r="BZ73" s="480">
        <f>VLOOKUP(WWWW[[#This Row],[Village  Name]],SiteDB6[[Site Name]:[Pcode]],3,FALSE)</f>
        <v>198667</v>
      </c>
      <c r="CA73" s="480" t="str">
        <f t="shared" si="3"/>
        <v>Covered</v>
      </c>
      <c r="CB73" s="505"/>
    </row>
    <row r="74" spans="1:80">
      <c r="A74" s="774" t="s">
        <v>3150</v>
      </c>
      <c r="B74" s="774" t="s">
        <v>314</v>
      </c>
      <c r="C74" s="415" t="s">
        <v>314</v>
      </c>
      <c r="D74" s="415" t="s">
        <v>327</v>
      </c>
      <c r="E74" s="415" t="s">
        <v>2648</v>
      </c>
      <c r="F74" s="415" t="s">
        <v>295</v>
      </c>
      <c r="G74" s="644" t="str">
        <f>VLOOKUP(WWWW[[#This Row],[Village  Name]],SiteDB6[[Site Name]:[Location Type]],8,FALSE)</f>
        <v>Village</v>
      </c>
      <c r="H74" s="415" t="s">
        <v>2577</v>
      </c>
      <c r="I74" s="524">
        <v>192</v>
      </c>
      <c r="J74" s="524">
        <v>1083</v>
      </c>
      <c r="K74" s="418">
        <v>42736</v>
      </c>
      <c r="L74" s="55">
        <v>44551</v>
      </c>
      <c r="M74" s="524"/>
      <c r="N74" s="524"/>
      <c r="O74" s="524">
        <v>2</v>
      </c>
      <c r="P74" s="524">
        <v>52</v>
      </c>
      <c r="Q74" s="524">
        <v>3</v>
      </c>
      <c r="R74" s="524">
        <v>53</v>
      </c>
      <c r="S74" s="524"/>
      <c r="T74" s="524"/>
      <c r="U74" s="551"/>
      <c r="V74" s="524">
        <v>112</v>
      </c>
      <c r="W74" s="524" t="s">
        <v>130</v>
      </c>
      <c r="X74" s="524"/>
      <c r="Y74" s="524"/>
      <c r="Z74" s="524"/>
      <c r="AA74" s="524"/>
      <c r="AB74" s="524"/>
      <c r="AC74" s="551"/>
      <c r="AD74" s="524">
        <v>90</v>
      </c>
      <c r="AE74" s="524">
        <v>671</v>
      </c>
      <c r="AF74" s="524">
        <v>43</v>
      </c>
      <c r="AG74" s="524">
        <v>76</v>
      </c>
      <c r="AH74" s="524"/>
      <c r="AI74" s="524"/>
      <c r="AJ74" s="524"/>
      <c r="AK74" s="524"/>
      <c r="AL74" s="524"/>
      <c r="AM74" s="524"/>
      <c r="AN74" s="551"/>
      <c r="AO74" s="477"/>
      <c r="AP74" s="477"/>
      <c r="AQ74" s="524"/>
      <c r="AR74" s="524"/>
      <c r="AS74" s="524"/>
      <c r="AT7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74" s="483">
        <f>WWWW[[#This Row],[%Equitable and continuous access to sufficient quantity of safe drinking water]]*WWWW[[#This Row],[Total PoP ]]</f>
        <v>1083</v>
      </c>
      <c r="AV7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74" s="483">
        <f>WWWW[[#This Row],[% Access to unimproved water points]]*WWWW[[#This Row],[Total PoP ]]</f>
        <v>1083</v>
      </c>
      <c r="AX7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7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1083</v>
      </c>
      <c r="AZ74" s="483">
        <f>WWWW[[#This Row],[HRP1]]/250</f>
        <v>4.3319999999999999</v>
      </c>
      <c r="BA74" s="476">
        <f>1-WWWW[[#This Row],[% Equitable and continuous access to sufficient quantity of domestic water]]</f>
        <v>0</v>
      </c>
      <c r="BB74" s="483">
        <f>WWWW[[#This Row],[%equitable and continuous access to sufficient quantity of safe drinking and domestic water''s GAP]]*WWWW[[#This Row],[Total PoP ]]</f>
        <v>0</v>
      </c>
      <c r="BC74" s="478">
        <f>IF(WWWW[[#This Row],[Total required water points]]-WWWW[[#This Row],['#Water points coverage]]&lt;0,0,WWWW[[#This Row],[Total required water points]]-WWWW[[#This Row],['#Water points coverage]])</f>
        <v>0</v>
      </c>
      <c r="BD74" s="478">
        <f>ROUND(IF(WWWW[[#This Row],[Total PoP ]]&lt;250,1,WWWW[[#This Row],[Total PoP ]]/250),0)</f>
        <v>4</v>
      </c>
      <c r="BE7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0.62049861495844871</v>
      </c>
      <c r="BF74" s="483">
        <f>WWWW[[#This Row],[% people access to functioning Latrine]]*WWWW[[#This Row],[Total PoP ]]</f>
        <v>672</v>
      </c>
      <c r="BG74" s="478">
        <f>WWWW[[#This Row],['#_of_Functioning_latrines_in_school]]*50</f>
        <v>0</v>
      </c>
      <c r="BH74" s="478">
        <f>ROUND((WWWW[[#This Row],[Total PoP ]]/6),0)</f>
        <v>181</v>
      </c>
      <c r="BI74" s="478">
        <f>IF(WWWW[[#This Row],[Total required Latrines]]-(WWWW[[#This Row],['#_of_sanitary_fly-proof_HH_latrines]])&lt;0,0,WWWW[[#This Row],[Total required Latrines]]-(WWWW[[#This Row],['#_of_sanitary_fly-proof_HH_latrines]]))</f>
        <v>69</v>
      </c>
      <c r="BJ74" s="479">
        <f>1-WWWW[[#This Row],[% people access to functioning Latrine]]</f>
        <v>0.37950138504155129</v>
      </c>
      <c r="BK7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880</v>
      </c>
      <c r="BL74" s="483">
        <f>IF(WWWW[[#This Row],['#_of_functional_handwashing_facilities_at_HH_level]]*6&gt;WWWW[[#This Row],[Total PoP ]],WWWW[[#This Row],[Total PoP ]],WWWW[[#This Row],['#_of_functional_handwashing_facilities_at_HH_level]]*6)</f>
        <v>0</v>
      </c>
      <c r="BM74" s="478">
        <f>IF(WWWW[[#This Row],['# people reached by regular dedicated hygiene promotion]]&gt;WWWW[[#This Row],['# People received regular supply of hygiene items]],WWWW[[#This Row],['# people reached by regular dedicated hygiene promotion]],WWWW[[#This Row],['# People received regular supply of hygiene items]])</f>
        <v>880</v>
      </c>
      <c r="BN74" s="476">
        <f>IF(WWWW[[#This Row],[HRP3]]/WWWW[[#This Row],[Total PoP ]]&gt;100%,100%,WWWW[[#This Row],[HRP3]]/WWWW[[#This Row],[Total PoP ]])</f>
        <v>0.81255771006463529</v>
      </c>
      <c r="BO74" s="479">
        <f>1-WWWW[[#This Row],[Hygiene Coverage%]]</f>
        <v>0.18744228993536471</v>
      </c>
      <c r="BP74" s="477">
        <f>WWWW[[#This Row],['# people reached by regular dedicated hygiene promotion]]/WWWW[[#This Row],[Total PoP ]]</f>
        <v>0.81255771006463529</v>
      </c>
      <c r="BQ7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74" s="478">
        <f>WWWW[[#This Row],['#_of_affected_women_and_girls_receiving_a_sufficient_quantity_of_sanitary_pads]]</f>
        <v>0</v>
      </c>
      <c r="BS74" s="524">
        <f>IF(WWWW[[#This Row],['# People with access to soap]]&gt;WWWW[[#This Row],['# People with access to Sanity Pads]],WWWW[[#This Row],['# People with access to soap]],WWWW[[#This Row],['# People with access to Sanity Pads]])</f>
        <v>0</v>
      </c>
      <c r="BT74" s="483" t="str">
        <f>IF(OR(WWWW[[#This Row],['#of students in school]]="",WWWW[[#This Row],['#of students in school]]=0),"No","Yes")</f>
        <v>No</v>
      </c>
      <c r="BU74" s="480" t="str">
        <f>VLOOKUP(WWWW[[#This Row],[Village  Name]],SiteDB6[[Site Name]:[Location Type 1]],9,FALSE)</f>
        <v>Village</v>
      </c>
      <c r="BV74" s="480" t="str">
        <f>VLOOKUP(WWWW[[#This Row],[Village  Name]],SiteDB6[[Site Name]:[Type of Accommodation]],10,FALSE)</f>
        <v>Village</v>
      </c>
      <c r="BW74" s="480">
        <f>VLOOKUP(WWWW[[#This Row],[Village  Name]],SiteDB6[[Site Name]:[Ethnic or GCA/NGCA]],11,FALSE)</f>
        <v>0</v>
      </c>
      <c r="BX74" s="480">
        <f>VLOOKUP(WWWW[[#This Row],[Village  Name]],SiteDB6[[Site Name]:[Lat]],12,FALSE)</f>
        <v>20.2034397125244</v>
      </c>
      <c r="BY74" s="480">
        <f>VLOOKUP(WWWW[[#This Row],[Village  Name]],SiteDB6[[Site Name]:[Long]],13,FALSE)</f>
        <v>92.909606933593807</v>
      </c>
      <c r="BZ74" s="480">
        <f>VLOOKUP(WWWW[[#This Row],[Village  Name]],SiteDB6[[Site Name]:[Pcode]],3,FALSE)</f>
        <v>196132</v>
      </c>
      <c r="CA74" s="480" t="str">
        <f t="shared" ref="CA74:CA105" si="4">IF(C74="none","Notcovered","Covered")</f>
        <v>Covered</v>
      </c>
      <c r="CB74" s="505"/>
    </row>
    <row r="75" spans="1:80">
      <c r="A75" s="774" t="s">
        <v>3150</v>
      </c>
      <c r="B75" s="774" t="s">
        <v>314</v>
      </c>
      <c r="C75" s="415" t="s">
        <v>314</v>
      </c>
      <c r="D75" s="415" t="s">
        <v>327</v>
      </c>
      <c r="E75" s="415" t="s">
        <v>2648</v>
      </c>
      <c r="F75" s="415" t="s">
        <v>295</v>
      </c>
      <c r="G75" s="644" t="str">
        <f>VLOOKUP(WWWW[[#This Row],[Village  Name]],SiteDB6[[Site Name]:[Location Type]],8,FALSE)</f>
        <v>Village</v>
      </c>
      <c r="H75" s="415" t="s">
        <v>2578</v>
      </c>
      <c r="I75" s="524">
        <v>65</v>
      </c>
      <c r="J75" s="524">
        <v>373</v>
      </c>
      <c r="K75" s="418">
        <v>42736</v>
      </c>
      <c r="L75" s="55">
        <v>44551</v>
      </c>
      <c r="M75" s="524"/>
      <c r="N75" s="524"/>
      <c r="O75" s="524">
        <v>4</v>
      </c>
      <c r="P75" s="524">
        <v>31</v>
      </c>
      <c r="Q75" s="524">
        <v>1</v>
      </c>
      <c r="R75" s="524"/>
      <c r="S75" s="524"/>
      <c r="T75" s="524"/>
      <c r="U75" s="551"/>
      <c r="V75" s="524">
        <v>44</v>
      </c>
      <c r="W75" s="524" t="s">
        <v>130</v>
      </c>
      <c r="X75" s="524"/>
      <c r="Y75" s="524"/>
      <c r="Z75" s="524"/>
      <c r="AA75" s="524"/>
      <c r="AB75" s="524"/>
      <c r="AC75" s="551"/>
      <c r="AD75" s="524">
        <v>72</v>
      </c>
      <c r="AE75" s="524">
        <v>194</v>
      </c>
      <c r="AF75" s="524">
        <v>19</v>
      </c>
      <c r="AG75" s="524">
        <v>26</v>
      </c>
      <c r="AH75" s="524"/>
      <c r="AI75" s="524"/>
      <c r="AJ75" s="524"/>
      <c r="AK75" s="524"/>
      <c r="AL75" s="524"/>
      <c r="AM75" s="524"/>
      <c r="AN75" s="551"/>
      <c r="AO75" s="477"/>
      <c r="AP75" s="477"/>
      <c r="AQ75" s="524"/>
      <c r="AR75" s="524"/>
      <c r="AS75" s="524"/>
      <c r="AT7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75" s="483">
        <f>WWWW[[#This Row],[%Equitable and continuous access to sufficient quantity of safe drinking water]]*WWWW[[#This Row],[Total PoP ]]</f>
        <v>373</v>
      </c>
      <c r="AV7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75" s="483">
        <f>WWWW[[#This Row],[% Access to unimproved water points]]*WWWW[[#This Row],[Total PoP ]]</f>
        <v>373</v>
      </c>
      <c r="AX7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7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373</v>
      </c>
      <c r="AZ75" s="483">
        <f>WWWW[[#This Row],[HRP1]]/250</f>
        <v>1.492</v>
      </c>
      <c r="BA75" s="476">
        <f>1-WWWW[[#This Row],[% Equitable and continuous access to sufficient quantity of domestic water]]</f>
        <v>0</v>
      </c>
      <c r="BB75" s="483">
        <f>WWWW[[#This Row],[%equitable and continuous access to sufficient quantity of safe drinking and domestic water''s GAP]]*WWWW[[#This Row],[Total PoP ]]</f>
        <v>0</v>
      </c>
      <c r="BC75" s="478">
        <f>IF(WWWW[[#This Row],[Total required water points]]-WWWW[[#This Row],['#Water points coverage]]&lt;0,0,WWWW[[#This Row],[Total required water points]]-WWWW[[#This Row],['#Water points coverage]])</f>
        <v>0</v>
      </c>
      <c r="BD75" s="478">
        <f>ROUND(IF(WWWW[[#This Row],[Total PoP ]]&lt;250,1,WWWW[[#This Row],[Total PoP ]]/250),0)</f>
        <v>1</v>
      </c>
      <c r="BE7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0.70777479892761397</v>
      </c>
      <c r="BF75" s="483">
        <f>WWWW[[#This Row],[% people access to functioning Latrine]]*WWWW[[#This Row],[Total PoP ]]</f>
        <v>264</v>
      </c>
      <c r="BG75" s="478">
        <f>WWWW[[#This Row],['#_of_Functioning_latrines_in_school]]*50</f>
        <v>0</v>
      </c>
      <c r="BH75" s="478">
        <f>ROUND((WWWW[[#This Row],[Total PoP ]]/6),0)</f>
        <v>62</v>
      </c>
      <c r="BI75" s="478">
        <f>IF(WWWW[[#This Row],[Total required Latrines]]-(WWWW[[#This Row],['#_of_sanitary_fly-proof_HH_latrines]])&lt;0,0,WWWW[[#This Row],[Total required Latrines]]-(WWWW[[#This Row],['#_of_sanitary_fly-proof_HH_latrines]]))</f>
        <v>18</v>
      </c>
      <c r="BJ75" s="479">
        <f>1-WWWW[[#This Row],[% people access to functioning Latrine]]</f>
        <v>0.29222520107238603</v>
      </c>
      <c r="BK7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311</v>
      </c>
      <c r="BL75" s="483">
        <f>IF(WWWW[[#This Row],['#_of_functional_handwashing_facilities_at_HH_level]]*6&gt;WWWW[[#This Row],[Total PoP ]],WWWW[[#This Row],[Total PoP ]],WWWW[[#This Row],['#_of_functional_handwashing_facilities_at_HH_level]]*6)</f>
        <v>0</v>
      </c>
      <c r="BM75" s="478">
        <f>IF(WWWW[[#This Row],['# people reached by regular dedicated hygiene promotion]]&gt;WWWW[[#This Row],['# People received regular supply of hygiene items]],WWWW[[#This Row],['# people reached by regular dedicated hygiene promotion]],WWWW[[#This Row],['# People received regular supply of hygiene items]])</f>
        <v>311</v>
      </c>
      <c r="BN75" s="476">
        <f>IF(WWWW[[#This Row],[HRP3]]/WWWW[[#This Row],[Total PoP ]]&gt;100%,100%,WWWW[[#This Row],[HRP3]]/WWWW[[#This Row],[Total PoP ]])</f>
        <v>0.83378016085790885</v>
      </c>
      <c r="BO75" s="479">
        <f>1-WWWW[[#This Row],[Hygiene Coverage%]]</f>
        <v>0.16621983914209115</v>
      </c>
      <c r="BP75" s="477">
        <f>WWWW[[#This Row],['# people reached by regular dedicated hygiene promotion]]/WWWW[[#This Row],[Total PoP ]]</f>
        <v>0.83378016085790885</v>
      </c>
      <c r="BQ7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75" s="478">
        <f>WWWW[[#This Row],['#_of_affected_women_and_girls_receiving_a_sufficient_quantity_of_sanitary_pads]]</f>
        <v>0</v>
      </c>
      <c r="BS75" s="524">
        <f>IF(WWWW[[#This Row],['# People with access to soap]]&gt;WWWW[[#This Row],['# People with access to Sanity Pads]],WWWW[[#This Row],['# People with access to soap]],WWWW[[#This Row],['# People with access to Sanity Pads]])</f>
        <v>0</v>
      </c>
      <c r="BT75" s="483" t="str">
        <f>IF(OR(WWWW[[#This Row],['#of students in school]]="",WWWW[[#This Row],['#of students in school]]=0),"No","Yes")</f>
        <v>No</v>
      </c>
      <c r="BU75" s="480" t="str">
        <f>VLOOKUP(WWWW[[#This Row],[Village  Name]],SiteDB6[[Site Name]:[Location Type 1]],9,FALSE)</f>
        <v>Village</v>
      </c>
      <c r="BV75" s="480" t="str">
        <f>VLOOKUP(WWWW[[#This Row],[Village  Name]],SiteDB6[[Site Name]:[Type of Accommodation]],10,FALSE)</f>
        <v>Village</v>
      </c>
      <c r="BW75" s="480">
        <f>VLOOKUP(WWWW[[#This Row],[Village  Name]],SiteDB6[[Site Name]:[Ethnic or GCA/NGCA]],11,FALSE)</f>
        <v>0</v>
      </c>
      <c r="BX75" s="480">
        <f>VLOOKUP(WWWW[[#This Row],[Village  Name]],SiteDB6[[Site Name]:[Lat]],12,FALSE)</f>
        <v>20.191799163818398</v>
      </c>
      <c r="BY75" s="480">
        <f>VLOOKUP(WWWW[[#This Row],[Village  Name]],SiteDB6[[Site Name]:[Long]],13,FALSE)</f>
        <v>92.9066162109375</v>
      </c>
      <c r="BZ75" s="480">
        <f>VLOOKUP(WWWW[[#This Row],[Village  Name]],SiteDB6[[Site Name]:[Pcode]],3,FALSE)</f>
        <v>196135</v>
      </c>
      <c r="CA75" s="480" t="str">
        <f t="shared" si="4"/>
        <v>Covered</v>
      </c>
      <c r="CB75" s="505"/>
    </row>
    <row r="76" spans="1:80">
      <c r="A76" s="774" t="s">
        <v>3150</v>
      </c>
      <c r="B76" s="774" t="s">
        <v>314</v>
      </c>
      <c r="C76" s="415" t="s">
        <v>314</v>
      </c>
      <c r="D76" s="415" t="s">
        <v>327</v>
      </c>
      <c r="E76" s="415" t="s">
        <v>2648</v>
      </c>
      <c r="F76" s="415" t="s">
        <v>295</v>
      </c>
      <c r="G76" s="644" t="str">
        <f>VLOOKUP(WWWW[[#This Row],[Village  Name]],SiteDB6[[Site Name]:[Location Type]],8,FALSE)</f>
        <v>Village</v>
      </c>
      <c r="H76" s="415" t="s">
        <v>2579</v>
      </c>
      <c r="I76" s="524">
        <v>86</v>
      </c>
      <c r="J76" s="524">
        <v>481</v>
      </c>
      <c r="K76" s="418">
        <v>42736</v>
      </c>
      <c r="L76" s="55">
        <v>44551</v>
      </c>
      <c r="M76" s="524"/>
      <c r="N76" s="524"/>
      <c r="O76" s="524">
        <v>8</v>
      </c>
      <c r="P76" s="524">
        <v>34</v>
      </c>
      <c r="Q76" s="524">
        <v>2</v>
      </c>
      <c r="R76" s="524"/>
      <c r="S76" s="524"/>
      <c r="T76" s="524"/>
      <c r="U76" s="551"/>
      <c r="V76" s="524">
        <v>67</v>
      </c>
      <c r="W76" s="524" t="s">
        <v>130</v>
      </c>
      <c r="X76" s="524"/>
      <c r="Y76" s="524"/>
      <c r="Z76" s="524"/>
      <c r="AA76" s="524"/>
      <c r="AB76" s="524"/>
      <c r="AC76" s="551"/>
      <c r="AD76" s="524">
        <v>96</v>
      </c>
      <c r="AE76" s="524">
        <v>192</v>
      </c>
      <c r="AF76" s="524">
        <v>29</v>
      </c>
      <c r="AG76" s="524">
        <v>34</v>
      </c>
      <c r="AH76" s="524"/>
      <c r="AI76" s="524"/>
      <c r="AJ76" s="524"/>
      <c r="AK76" s="524"/>
      <c r="AL76" s="524"/>
      <c r="AM76" s="524"/>
      <c r="AN76" s="551"/>
      <c r="AO76" s="477"/>
      <c r="AP76" s="477"/>
      <c r="AQ76" s="524"/>
      <c r="AR76" s="524"/>
      <c r="AS76" s="524"/>
      <c r="AT7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76" s="483">
        <f>WWWW[[#This Row],[%Equitable and continuous access to sufficient quantity of safe drinking water]]*WWWW[[#This Row],[Total PoP ]]</f>
        <v>481</v>
      </c>
      <c r="AV7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76" s="483">
        <f>WWWW[[#This Row],[% Access to unimproved water points]]*WWWW[[#This Row],[Total PoP ]]</f>
        <v>481</v>
      </c>
      <c r="AX7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7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481</v>
      </c>
      <c r="AZ76" s="483">
        <f>WWWW[[#This Row],[HRP1]]/250</f>
        <v>1.9239999999999999</v>
      </c>
      <c r="BA76" s="476">
        <f>1-WWWW[[#This Row],[% Equitable and continuous access to sufficient quantity of domestic water]]</f>
        <v>0</v>
      </c>
      <c r="BB76" s="483">
        <f>WWWW[[#This Row],[%equitable and continuous access to sufficient quantity of safe drinking and domestic water''s GAP]]*WWWW[[#This Row],[Total PoP ]]</f>
        <v>0</v>
      </c>
      <c r="BC76" s="478">
        <f>IF(WWWW[[#This Row],[Total required water points]]-WWWW[[#This Row],['#Water points coverage]]&lt;0,0,WWWW[[#This Row],[Total required water points]]-WWWW[[#This Row],['#Water points coverage]])</f>
        <v>7.6000000000000068E-2</v>
      </c>
      <c r="BD76" s="478">
        <f>ROUND(IF(WWWW[[#This Row],[Total PoP ]]&lt;250,1,WWWW[[#This Row],[Total PoP ]]/250),0)</f>
        <v>2</v>
      </c>
      <c r="BE7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0.83575883575883581</v>
      </c>
      <c r="BF76" s="483">
        <f>WWWW[[#This Row],[% people access to functioning Latrine]]*WWWW[[#This Row],[Total PoP ]]</f>
        <v>402</v>
      </c>
      <c r="BG76" s="478">
        <f>WWWW[[#This Row],['#_of_Functioning_latrines_in_school]]*50</f>
        <v>0</v>
      </c>
      <c r="BH76" s="478">
        <f>ROUND((WWWW[[#This Row],[Total PoP ]]/6),0)</f>
        <v>80</v>
      </c>
      <c r="BI76" s="478">
        <f>IF(WWWW[[#This Row],[Total required Latrines]]-(WWWW[[#This Row],['#_of_sanitary_fly-proof_HH_latrines]])&lt;0,0,WWWW[[#This Row],[Total required Latrines]]-(WWWW[[#This Row],['#_of_sanitary_fly-proof_HH_latrines]]))</f>
        <v>13</v>
      </c>
      <c r="BJ76" s="479">
        <f>1-WWWW[[#This Row],[% people access to functioning Latrine]]</f>
        <v>0.16424116424116419</v>
      </c>
      <c r="BK7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351</v>
      </c>
      <c r="BL76" s="483">
        <f>IF(WWWW[[#This Row],['#_of_functional_handwashing_facilities_at_HH_level]]*6&gt;WWWW[[#This Row],[Total PoP ]],WWWW[[#This Row],[Total PoP ]],WWWW[[#This Row],['#_of_functional_handwashing_facilities_at_HH_level]]*6)</f>
        <v>0</v>
      </c>
      <c r="BM76" s="478">
        <f>IF(WWWW[[#This Row],['# people reached by regular dedicated hygiene promotion]]&gt;WWWW[[#This Row],['# People received regular supply of hygiene items]],WWWW[[#This Row],['# people reached by regular dedicated hygiene promotion]],WWWW[[#This Row],['# People received regular supply of hygiene items]])</f>
        <v>351</v>
      </c>
      <c r="BN76" s="476">
        <f>IF(WWWW[[#This Row],[HRP3]]/WWWW[[#This Row],[Total PoP ]]&gt;100%,100%,WWWW[[#This Row],[HRP3]]/WWWW[[#This Row],[Total PoP ]])</f>
        <v>0.72972972972972971</v>
      </c>
      <c r="BO76" s="479">
        <f>1-WWWW[[#This Row],[Hygiene Coverage%]]</f>
        <v>0.27027027027027029</v>
      </c>
      <c r="BP76" s="477">
        <f>WWWW[[#This Row],['# people reached by regular dedicated hygiene promotion]]/WWWW[[#This Row],[Total PoP ]]</f>
        <v>0.72972972972972971</v>
      </c>
      <c r="BQ7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76" s="478">
        <f>WWWW[[#This Row],['#_of_affected_women_and_girls_receiving_a_sufficient_quantity_of_sanitary_pads]]</f>
        <v>0</v>
      </c>
      <c r="BS76" s="524">
        <f>IF(WWWW[[#This Row],['# People with access to soap]]&gt;WWWW[[#This Row],['# People with access to Sanity Pads]],WWWW[[#This Row],['# People with access to soap]],WWWW[[#This Row],['# People with access to Sanity Pads]])</f>
        <v>0</v>
      </c>
      <c r="BT76" s="483" t="str">
        <f>IF(OR(WWWW[[#This Row],['#of students in school]]="",WWWW[[#This Row],['#of students in school]]=0),"No","Yes")</f>
        <v>No</v>
      </c>
      <c r="BU76" s="480" t="str">
        <f>VLOOKUP(WWWW[[#This Row],[Village  Name]],SiteDB6[[Site Name]:[Location Type 1]],9,FALSE)</f>
        <v>Village</v>
      </c>
      <c r="BV76" s="480" t="str">
        <f>VLOOKUP(WWWW[[#This Row],[Village  Name]],SiteDB6[[Site Name]:[Type of Accommodation]],10,FALSE)</f>
        <v>Village</v>
      </c>
      <c r="BW76" s="480">
        <f>VLOOKUP(WWWW[[#This Row],[Village  Name]],SiteDB6[[Site Name]:[Ethnic or GCA/NGCA]],11,FALSE)</f>
        <v>0</v>
      </c>
      <c r="BX76" s="480">
        <f>VLOOKUP(WWWW[[#This Row],[Village  Name]],SiteDB6[[Site Name]:[Lat]],12,FALSE)</f>
        <v>20.187860488891602</v>
      </c>
      <c r="BY76" s="480">
        <f>VLOOKUP(WWWW[[#This Row],[Village  Name]],SiteDB6[[Site Name]:[Long]],13,FALSE)</f>
        <v>92.903419494628906</v>
      </c>
      <c r="BZ76" s="480">
        <f>VLOOKUP(WWWW[[#This Row],[Village  Name]],SiteDB6[[Site Name]:[Pcode]],3,FALSE)</f>
        <v>196134</v>
      </c>
      <c r="CA76" s="480" t="str">
        <f t="shared" si="4"/>
        <v>Covered</v>
      </c>
      <c r="CB76" s="505"/>
    </row>
    <row r="77" spans="1:80">
      <c r="A77" s="774" t="s">
        <v>3150</v>
      </c>
      <c r="B77" s="774" t="s">
        <v>314</v>
      </c>
      <c r="C77" s="415" t="s">
        <v>314</v>
      </c>
      <c r="D77" s="415" t="s">
        <v>327</v>
      </c>
      <c r="E77" s="415" t="s">
        <v>2648</v>
      </c>
      <c r="F77" s="415" t="s">
        <v>295</v>
      </c>
      <c r="G77" s="644" t="str">
        <f>VLOOKUP(WWWW[[#This Row],[Village  Name]],SiteDB6[[Site Name]:[Location Type]],8,FALSE)</f>
        <v>Village</v>
      </c>
      <c r="H77" s="415" t="s">
        <v>2580</v>
      </c>
      <c r="I77" s="524">
        <v>88</v>
      </c>
      <c r="J77" s="524">
        <v>454</v>
      </c>
      <c r="K77" s="418">
        <v>42736</v>
      </c>
      <c r="L77" s="55">
        <v>44551</v>
      </c>
      <c r="M77" s="524"/>
      <c r="N77" s="524"/>
      <c r="O77" s="524">
        <v>6</v>
      </c>
      <c r="P77" s="524">
        <v>41</v>
      </c>
      <c r="Q77" s="524">
        <v>1</v>
      </c>
      <c r="R77" s="524"/>
      <c r="S77" s="524"/>
      <c r="T77" s="524"/>
      <c r="U77" s="551"/>
      <c r="V77" s="524">
        <v>76</v>
      </c>
      <c r="W77" s="524" t="s">
        <v>130</v>
      </c>
      <c r="X77" s="524"/>
      <c r="Y77" s="524"/>
      <c r="Z77" s="524"/>
      <c r="AA77" s="524"/>
      <c r="AB77" s="524"/>
      <c r="AC77" s="551"/>
      <c r="AD77" s="524">
        <v>58</v>
      </c>
      <c r="AE77" s="524">
        <v>292</v>
      </c>
      <c r="AF77" s="524">
        <v>27</v>
      </c>
      <c r="AG77" s="524">
        <v>22</v>
      </c>
      <c r="AH77" s="524"/>
      <c r="AI77" s="524"/>
      <c r="AJ77" s="524"/>
      <c r="AK77" s="524"/>
      <c r="AL77" s="524"/>
      <c r="AM77" s="524"/>
      <c r="AN77" s="551"/>
      <c r="AO77" s="477"/>
      <c r="AP77" s="477"/>
      <c r="AQ77" s="524"/>
      <c r="AR77" s="524"/>
      <c r="AS77" s="524"/>
      <c r="AT7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77" s="483">
        <f>WWWW[[#This Row],[%Equitable and continuous access to sufficient quantity of safe drinking water]]*WWWW[[#This Row],[Total PoP ]]</f>
        <v>454</v>
      </c>
      <c r="AV7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77" s="483">
        <f>WWWW[[#This Row],[% Access to unimproved water points]]*WWWW[[#This Row],[Total PoP ]]</f>
        <v>454</v>
      </c>
      <c r="AX7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7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454</v>
      </c>
      <c r="AZ77" s="483">
        <f>WWWW[[#This Row],[HRP1]]/250</f>
        <v>1.8160000000000001</v>
      </c>
      <c r="BA77" s="476">
        <f>1-WWWW[[#This Row],[% Equitable and continuous access to sufficient quantity of domestic water]]</f>
        <v>0</v>
      </c>
      <c r="BB77" s="483">
        <f>WWWW[[#This Row],[%equitable and continuous access to sufficient quantity of safe drinking and domestic water''s GAP]]*WWWW[[#This Row],[Total PoP ]]</f>
        <v>0</v>
      </c>
      <c r="BC77" s="478">
        <f>IF(WWWW[[#This Row],[Total required water points]]-WWWW[[#This Row],['#Water points coverage]]&lt;0,0,WWWW[[#This Row],[Total required water points]]-WWWW[[#This Row],['#Water points coverage]])</f>
        <v>0.18399999999999994</v>
      </c>
      <c r="BD77" s="478">
        <f>ROUND(IF(WWWW[[#This Row],[Total PoP ]]&lt;250,1,WWWW[[#This Row],[Total PoP ]]/250),0)</f>
        <v>2</v>
      </c>
      <c r="BE7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77" s="483">
        <f>WWWW[[#This Row],[% people access to functioning Latrine]]*WWWW[[#This Row],[Total PoP ]]</f>
        <v>454</v>
      </c>
      <c r="BG77" s="478">
        <f>WWWW[[#This Row],['#_of_Functioning_latrines_in_school]]*50</f>
        <v>0</v>
      </c>
      <c r="BH77" s="478">
        <f>ROUND((WWWW[[#This Row],[Total PoP ]]/6),0)</f>
        <v>76</v>
      </c>
      <c r="BI77" s="478">
        <f>IF(WWWW[[#This Row],[Total required Latrines]]-(WWWW[[#This Row],['#_of_sanitary_fly-proof_HH_latrines]])&lt;0,0,WWWW[[#This Row],[Total required Latrines]]-(WWWW[[#This Row],['#_of_sanitary_fly-proof_HH_latrines]]))</f>
        <v>0</v>
      </c>
      <c r="BJ77" s="479">
        <f>1-WWWW[[#This Row],[% people access to functioning Latrine]]</f>
        <v>0</v>
      </c>
      <c r="BK7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399</v>
      </c>
      <c r="BL77" s="483">
        <f>IF(WWWW[[#This Row],['#_of_functional_handwashing_facilities_at_HH_level]]*6&gt;WWWW[[#This Row],[Total PoP ]],WWWW[[#This Row],[Total PoP ]],WWWW[[#This Row],['#_of_functional_handwashing_facilities_at_HH_level]]*6)</f>
        <v>0</v>
      </c>
      <c r="BM77" s="478">
        <f>IF(WWWW[[#This Row],['# people reached by regular dedicated hygiene promotion]]&gt;WWWW[[#This Row],['# People received regular supply of hygiene items]],WWWW[[#This Row],['# people reached by regular dedicated hygiene promotion]],WWWW[[#This Row],['# People received regular supply of hygiene items]])</f>
        <v>399</v>
      </c>
      <c r="BN77" s="476">
        <f>IF(WWWW[[#This Row],[HRP3]]/WWWW[[#This Row],[Total PoP ]]&gt;100%,100%,WWWW[[#This Row],[HRP3]]/WWWW[[#This Row],[Total PoP ]])</f>
        <v>0.87885462555066074</v>
      </c>
      <c r="BO77" s="479">
        <f>1-WWWW[[#This Row],[Hygiene Coverage%]]</f>
        <v>0.12114537444933926</v>
      </c>
      <c r="BP77" s="477">
        <f>WWWW[[#This Row],['# people reached by regular dedicated hygiene promotion]]/WWWW[[#This Row],[Total PoP ]]</f>
        <v>0.87885462555066074</v>
      </c>
      <c r="BQ7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77" s="478">
        <f>WWWW[[#This Row],['#_of_affected_women_and_girls_receiving_a_sufficient_quantity_of_sanitary_pads]]</f>
        <v>0</v>
      </c>
      <c r="BS77" s="524">
        <f>IF(WWWW[[#This Row],['# People with access to soap]]&gt;WWWW[[#This Row],['# People with access to Sanity Pads]],WWWW[[#This Row],['# People with access to soap]],WWWW[[#This Row],['# People with access to Sanity Pads]])</f>
        <v>0</v>
      </c>
      <c r="BT77" s="483" t="str">
        <f>IF(OR(WWWW[[#This Row],['#of students in school]]="",WWWW[[#This Row],['#of students in school]]=0),"No","Yes")</f>
        <v>No</v>
      </c>
      <c r="BU77" s="480" t="str">
        <f>VLOOKUP(WWWW[[#This Row],[Village  Name]],SiteDB6[[Site Name]:[Location Type 1]],9,FALSE)</f>
        <v>Village</v>
      </c>
      <c r="BV77" s="480" t="str">
        <f>VLOOKUP(WWWW[[#This Row],[Village  Name]],SiteDB6[[Site Name]:[Type of Accommodation]],10,FALSE)</f>
        <v>Village</v>
      </c>
      <c r="BW77" s="480">
        <f>VLOOKUP(WWWW[[#This Row],[Village  Name]],SiteDB6[[Site Name]:[Ethnic or GCA/NGCA]],11,FALSE)</f>
        <v>0</v>
      </c>
      <c r="BX77" s="480">
        <f>VLOOKUP(WWWW[[#This Row],[Village  Name]],SiteDB6[[Site Name]:[Lat]],12,FALSE)</f>
        <v>20.1899604797363</v>
      </c>
      <c r="BY77" s="480">
        <f>VLOOKUP(WWWW[[#This Row],[Village  Name]],SiteDB6[[Site Name]:[Long]],13,FALSE)</f>
        <v>92.895767211914105</v>
      </c>
      <c r="BZ77" s="480">
        <f>VLOOKUP(WWWW[[#This Row],[Village  Name]],SiteDB6[[Site Name]:[Pcode]],3,FALSE)</f>
        <v>196136</v>
      </c>
      <c r="CA77" s="480" t="str">
        <f t="shared" si="4"/>
        <v>Covered</v>
      </c>
      <c r="CB77" s="505"/>
    </row>
    <row r="78" spans="1:80">
      <c r="A78" s="774" t="s">
        <v>3150</v>
      </c>
      <c r="B78" s="774" t="s">
        <v>314</v>
      </c>
      <c r="C78" s="415" t="s">
        <v>314</v>
      </c>
      <c r="D78" s="415" t="s">
        <v>307</v>
      </c>
      <c r="E78" s="415" t="s">
        <v>2648</v>
      </c>
      <c r="F78" s="415" t="s">
        <v>295</v>
      </c>
      <c r="G78" s="644" t="str">
        <f>VLOOKUP(WWWW[[#This Row],[Village  Name]],SiteDB6[[Site Name]:[Location Type]],8,FALSE)</f>
        <v>Village</v>
      </c>
      <c r="H78" s="415" t="s">
        <v>2581</v>
      </c>
      <c r="I78" s="524">
        <v>218</v>
      </c>
      <c r="J78" s="524">
        <v>978</v>
      </c>
      <c r="K78" s="418">
        <v>42736</v>
      </c>
      <c r="L78" s="55">
        <v>44551</v>
      </c>
      <c r="M78" s="524"/>
      <c r="N78" s="524"/>
      <c r="O78" s="524">
        <v>9</v>
      </c>
      <c r="P78" s="524">
        <v>76</v>
      </c>
      <c r="Q78" s="524">
        <v>3</v>
      </c>
      <c r="R78" s="524"/>
      <c r="S78" s="524"/>
      <c r="T78" s="524"/>
      <c r="U78" s="551"/>
      <c r="V78" s="524">
        <v>118</v>
      </c>
      <c r="W78" s="524" t="s">
        <v>130</v>
      </c>
      <c r="X78" s="524"/>
      <c r="Y78" s="524"/>
      <c r="Z78" s="524"/>
      <c r="AA78" s="524"/>
      <c r="AB78" s="524"/>
      <c r="AC78" s="551"/>
      <c r="AD78" s="524">
        <v>122</v>
      </c>
      <c r="AE78" s="524">
        <v>518</v>
      </c>
      <c r="AF78" s="524">
        <v>51</v>
      </c>
      <c r="AG78" s="524">
        <v>78</v>
      </c>
      <c r="AH78" s="524"/>
      <c r="AI78" s="524"/>
      <c r="AJ78" s="524"/>
      <c r="AK78" s="524"/>
      <c r="AL78" s="524"/>
      <c r="AM78" s="524"/>
      <c r="AN78" s="551"/>
      <c r="AO78" s="477"/>
      <c r="AP78" s="477"/>
      <c r="AQ78" s="524"/>
      <c r="AR78" s="524"/>
      <c r="AS78" s="524"/>
      <c r="AT7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78" s="483">
        <f>WWWW[[#This Row],[%Equitable and continuous access to sufficient quantity of safe drinking water]]*WWWW[[#This Row],[Total PoP ]]</f>
        <v>978</v>
      </c>
      <c r="AV7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78" s="483">
        <f>WWWW[[#This Row],[% Access to unimproved water points]]*WWWW[[#This Row],[Total PoP ]]</f>
        <v>978</v>
      </c>
      <c r="AX7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7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978</v>
      </c>
      <c r="AZ78" s="483">
        <f>WWWW[[#This Row],[HRP1]]/250</f>
        <v>3.9119999999999999</v>
      </c>
      <c r="BA78" s="476">
        <f>1-WWWW[[#This Row],[% Equitable and continuous access to sufficient quantity of domestic water]]</f>
        <v>0</v>
      </c>
      <c r="BB78" s="483">
        <f>WWWW[[#This Row],[%equitable and continuous access to sufficient quantity of safe drinking and domestic water''s GAP]]*WWWW[[#This Row],[Total PoP ]]</f>
        <v>0</v>
      </c>
      <c r="BC78" s="478">
        <f>IF(WWWW[[#This Row],[Total required water points]]-WWWW[[#This Row],['#Water points coverage]]&lt;0,0,WWWW[[#This Row],[Total required water points]]-WWWW[[#This Row],['#Water points coverage]])</f>
        <v>8.8000000000000078E-2</v>
      </c>
      <c r="BD78" s="478">
        <f>ROUND(IF(WWWW[[#This Row],[Total PoP ]]&lt;250,1,WWWW[[#This Row],[Total PoP ]]/250),0)</f>
        <v>4</v>
      </c>
      <c r="BE7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0.7239263803680982</v>
      </c>
      <c r="BF78" s="483">
        <f>WWWW[[#This Row],[% people access to functioning Latrine]]*WWWW[[#This Row],[Total PoP ]]</f>
        <v>708</v>
      </c>
      <c r="BG78" s="478">
        <f>WWWW[[#This Row],['#_of_Functioning_latrines_in_school]]*50</f>
        <v>0</v>
      </c>
      <c r="BH78" s="478">
        <f>ROUND((WWWW[[#This Row],[Total PoP ]]/6),0)</f>
        <v>163</v>
      </c>
      <c r="BI78" s="478">
        <f>IF(WWWW[[#This Row],[Total required Latrines]]-(WWWW[[#This Row],['#_of_sanitary_fly-proof_HH_latrines]])&lt;0,0,WWWW[[#This Row],[Total required Latrines]]-(WWWW[[#This Row],['#_of_sanitary_fly-proof_HH_latrines]]))</f>
        <v>45</v>
      </c>
      <c r="BJ78" s="479">
        <f>1-WWWW[[#This Row],[% people access to functioning Latrine]]</f>
        <v>0.2760736196319018</v>
      </c>
      <c r="BK7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769</v>
      </c>
      <c r="BL78" s="483">
        <f>IF(WWWW[[#This Row],['#_of_functional_handwashing_facilities_at_HH_level]]*6&gt;WWWW[[#This Row],[Total PoP ]],WWWW[[#This Row],[Total PoP ]],WWWW[[#This Row],['#_of_functional_handwashing_facilities_at_HH_level]]*6)</f>
        <v>0</v>
      </c>
      <c r="BM78" s="478">
        <f>IF(WWWW[[#This Row],['# people reached by regular dedicated hygiene promotion]]&gt;WWWW[[#This Row],['# People received regular supply of hygiene items]],WWWW[[#This Row],['# people reached by regular dedicated hygiene promotion]],WWWW[[#This Row],['# People received regular supply of hygiene items]])</f>
        <v>769</v>
      </c>
      <c r="BN78" s="476">
        <f>IF(WWWW[[#This Row],[HRP3]]/WWWW[[#This Row],[Total PoP ]]&gt;100%,100%,WWWW[[#This Row],[HRP3]]/WWWW[[#This Row],[Total PoP ]])</f>
        <v>0.78629856850715751</v>
      </c>
      <c r="BO78" s="479">
        <f>1-WWWW[[#This Row],[Hygiene Coverage%]]</f>
        <v>0.21370143149284249</v>
      </c>
      <c r="BP78" s="477">
        <f>WWWW[[#This Row],['# people reached by regular dedicated hygiene promotion]]/WWWW[[#This Row],[Total PoP ]]</f>
        <v>0.78629856850715751</v>
      </c>
      <c r="BQ7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78" s="478">
        <f>WWWW[[#This Row],['#_of_affected_women_and_girls_receiving_a_sufficient_quantity_of_sanitary_pads]]</f>
        <v>0</v>
      </c>
      <c r="BS78" s="524">
        <f>IF(WWWW[[#This Row],['# People with access to soap]]&gt;WWWW[[#This Row],['# People with access to Sanity Pads]],WWWW[[#This Row],['# People with access to soap]],WWWW[[#This Row],['# People with access to Sanity Pads]])</f>
        <v>0</v>
      </c>
      <c r="BT78" s="483" t="str">
        <f>IF(OR(WWWW[[#This Row],['#of students in school]]="",WWWW[[#This Row],['#of students in school]]=0),"No","Yes")</f>
        <v>No</v>
      </c>
      <c r="BU78" s="480" t="str">
        <f>VLOOKUP(WWWW[[#This Row],[Village  Name]],SiteDB6[[Site Name]:[Location Type 1]],9,FALSE)</f>
        <v>Village</v>
      </c>
      <c r="BV78" s="480" t="str">
        <f>VLOOKUP(WWWW[[#This Row],[Village  Name]],SiteDB6[[Site Name]:[Type of Accommodation]],10,FALSE)</f>
        <v>Village</v>
      </c>
      <c r="BW78" s="480">
        <f>VLOOKUP(WWWW[[#This Row],[Village  Name]],SiteDB6[[Site Name]:[Ethnic or GCA/NGCA]],11,FALSE)</f>
        <v>0</v>
      </c>
      <c r="BX78" s="480">
        <f>VLOOKUP(WWWW[[#This Row],[Village  Name]],SiteDB6[[Site Name]:[Lat]],12,FALSE)</f>
        <v>20.2630290985107</v>
      </c>
      <c r="BY78" s="480">
        <f>VLOOKUP(WWWW[[#This Row],[Village  Name]],SiteDB6[[Site Name]:[Long]],13,FALSE)</f>
        <v>92.858856201171903</v>
      </c>
      <c r="BZ78" s="480">
        <f>VLOOKUP(WWWW[[#This Row],[Village  Name]],SiteDB6[[Site Name]:[Pcode]],3,FALSE)</f>
        <v>196166</v>
      </c>
      <c r="CA78" s="480" t="str">
        <f t="shared" si="4"/>
        <v>Covered</v>
      </c>
      <c r="CB78" s="505"/>
    </row>
    <row r="79" spans="1:80">
      <c r="A79" s="774" t="s">
        <v>3150</v>
      </c>
      <c r="B79" s="774" t="s">
        <v>314</v>
      </c>
      <c r="C79" s="415" t="s">
        <v>314</v>
      </c>
      <c r="D79" s="415" t="s">
        <v>307</v>
      </c>
      <c r="E79" s="415" t="s">
        <v>2648</v>
      </c>
      <c r="F79" s="415" t="s">
        <v>295</v>
      </c>
      <c r="G79" s="644" t="str">
        <f>VLOOKUP(WWWW[[#This Row],[Village  Name]],SiteDB6[[Site Name]:[Location Type]],8,FALSE)</f>
        <v>Village</v>
      </c>
      <c r="H79" s="415" t="s">
        <v>2582</v>
      </c>
      <c r="I79" s="524">
        <v>147</v>
      </c>
      <c r="J79" s="524">
        <v>741</v>
      </c>
      <c r="K79" s="418">
        <v>42736</v>
      </c>
      <c r="L79" s="55">
        <v>44551</v>
      </c>
      <c r="M79" s="524"/>
      <c r="N79" s="524"/>
      <c r="O79" s="524">
        <v>4</v>
      </c>
      <c r="P79" s="524">
        <v>42</v>
      </c>
      <c r="Q79" s="524">
        <v>2</v>
      </c>
      <c r="R79" s="524"/>
      <c r="S79" s="524"/>
      <c r="T79" s="524"/>
      <c r="U79" s="551"/>
      <c r="V79" s="524">
        <v>123</v>
      </c>
      <c r="W79" s="524" t="s">
        <v>130</v>
      </c>
      <c r="X79" s="524"/>
      <c r="Y79" s="524"/>
      <c r="Z79" s="524"/>
      <c r="AA79" s="524"/>
      <c r="AB79" s="524"/>
      <c r="AC79" s="551"/>
      <c r="AD79" s="524">
        <v>79</v>
      </c>
      <c r="AE79" s="524">
        <v>413</v>
      </c>
      <c r="AF79" s="524">
        <v>63</v>
      </c>
      <c r="AG79" s="524">
        <v>44</v>
      </c>
      <c r="AH79" s="524"/>
      <c r="AI79" s="524"/>
      <c r="AJ79" s="524"/>
      <c r="AK79" s="524"/>
      <c r="AL79" s="524"/>
      <c r="AM79" s="524"/>
      <c r="AN79" s="551"/>
      <c r="AO79" s="477"/>
      <c r="AP79" s="477"/>
      <c r="AQ79" s="524"/>
      <c r="AR79" s="524"/>
      <c r="AS79" s="524"/>
      <c r="AT7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79" s="483">
        <f>WWWW[[#This Row],[%Equitable and continuous access to sufficient quantity of safe drinking water]]*WWWW[[#This Row],[Total PoP ]]</f>
        <v>741</v>
      </c>
      <c r="AV7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79" s="483">
        <f>WWWW[[#This Row],[% Access to unimproved water points]]*WWWW[[#This Row],[Total PoP ]]</f>
        <v>741</v>
      </c>
      <c r="AX7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7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741</v>
      </c>
      <c r="AZ79" s="483">
        <f>WWWW[[#This Row],[HRP1]]/250</f>
        <v>2.964</v>
      </c>
      <c r="BA79" s="476">
        <f>1-WWWW[[#This Row],[% Equitable and continuous access to sufficient quantity of domestic water]]</f>
        <v>0</v>
      </c>
      <c r="BB79" s="483">
        <f>WWWW[[#This Row],[%equitable and continuous access to sufficient quantity of safe drinking and domestic water''s GAP]]*WWWW[[#This Row],[Total PoP ]]</f>
        <v>0</v>
      </c>
      <c r="BC79" s="478">
        <f>IF(WWWW[[#This Row],[Total required water points]]-WWWW[[#This Row],['#Water points coverage]]&lt;0,0,WWWW[[#This Row],[Total required water points]]-WWWW[[#This Row],['#Water points coverage]])</f>
        <v>3.6000000000000032E-2</v>
      </c>
      <c r="BD79" s="478">
        <f>ROUND(IF(WWWW[[#This Row],[Total PoP ]]&lt;250,1,WWWW[[#This Row],[Total PoP ]]/250),0)</f>
        <v>3</v>
      </c>
      <c r="BE7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0.99595141700404854</v>
      </c>
      <c r="BF79" s="483">
        <f>WWWW[[#This Row],[% people access to functioning Latrine]]*WWWW[[#This Row],[Total PoP ]]</f>
        <v>738</v>
      </c>
      <c r="BG79" s="478">
        <f>WWWW[[#This Row],['#_of_Functioning_latrines_in_school]]*50</f>
        <v>0</v>
      </c>
      <c r="BH79" s="478">
        <f>ROUND((WWWW[[#This Row],[Total PoP ]]/6),0)</f>
        <v>124</v>
      </c>
      <c r="BI79" s="478">
        <f>IF(WWWW[[#This Row],[Total required Latrines]]-(WWWW[[#This Row],['#_of_sanitary_fly-proof_HH_latrines]])&lt;0,0,WWWW[[#This Row],[Total required Latrines]]-(WWWW[[#This Row],['#_of_sanitary_fly-proof_HH_latrines]]))</f>
        <v>1</v>
      </c>
      <c r="BJ79" s="479">
        <f>1-WWWW[[#This Row],[% people access to functioning Latrine]]</f>
        <v>4.0485829959514552E-3</v>
      </c>
      <c r="BK7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599</v>
      </c>
      <c r="BL79" s="483">
        <f>IF(WWWW[[#This Row],['#_of_functional_handwashing_facilities_at_HH_level]]*6&gt;WWWW[[#This Row],[Total PoP ]],WWWW[[#This Row],[Total PoP ]],WWWW[[#This Row],['#_of_functional_handwashing_facilities_at_HH_level]]*6)</f>
        <v>0</v>
      </c>
      <c r="BM79" s="478">
        <f>IF(WWWW[[#This Row],['# people reached by regular dedicated hygiene promotion]]&gt;WWWW[[#This Row],['# People received regular supply of hygiene items]],WWWW[[#This Row],['# people reached by regular dedicated hygiene promotion]],WWWW[[#This Row],['# People received regular supply of hygiene items]])</f>
        <v>599</v>
      </c>
      <c r="BN79" s="476">
        <f>IF(WWWW[[#This Row],[HRP3]]/WWWW[[#This Row],[Total PoP ]]&gt;100%,100%,WWWW[[#This Row],[HRP3]]/WWWW[[#This Row],[Total PoP ]])</f>
        <v>0.80836707152496623</v>
      </c>
      <c r="BO79" s="479">
        <f>1-WWWW[[#This Row],[Hygiene Coverage%]]</f>
        <v>0.19163292847503377</v>
      </c>
      <c r="BP79" s="477">
        <f>WWWW[[#This Row],['# people reached by regular dedicated hygiene promotion]]/WWWW[[#This Row],[Total PoP ]]</f>
        <v>0.80836707152496623</v>
      </c>
      <c r="BQ7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79" s="478">
        <f>WWWW[[#This Row],['#_of_affected_women_and_girls_receiving_a_sufficient_quantity_of_sanitary_pads]]</f>
        <v>0</v>
      </c>
      <c r="BS79" s="524">
        <f>IF(WWWW[[#This Row],['# People with access to soap]]&gt;WWWW[[#This Row],['# People with access to Sanity Pads]],WWWW[[#This Row],['# People with access to soap]],WWWW[[#This Row],['# People with access to Sanity Pads]])</f>
        <v>0</v>
      </c>
      <c r="BT79" s="483" t="str">
        <f>IF(OR(WWWW[[#This Row],['#of students in school]]="",WWWW[[#This Row],['#of students in school]]=0),"No","Yes")</f>
        <v>No</v>
      </c>
      <c r="BU79" s="480" t="str">
        <f>VLOOKUP(WWWW[[#This Row],[Village  Name]],SiteDB6[[Site Name]:[Location Type 1]],9,FALSE)</f>
        <v>Village</v>
      </c>
      <c r="BV79" s="480" t="str">
        <f>VLOOKUP(WWWW[[#This Row],[Village  Name]],SiteDB6[[Site Name]:[Type of Accommodation]],10,FALSE)</f>
        <v>Village</v>
      </c>
      <c r="BW79" s="480">
        <f>VLOOKUP(WWWW[[#This Row],[Village  Name]],SiteDB6[[Site Name]:[Ethnic or GCA/NGCA]],11,FALSE)</f>
        <v>0</v>
      </c>
      <c r="BX79" s="480">
        <f>VLOOKUP(WWWW[[#This Row],[Village  Name]],SiteDB6[[Site Name]:[Lat]],12,FALSE)</f>
        <v>20.248519897460898</v>
      </c>
      <c r="BY79" s="480">
        <f>VLOOKUP(WWWW[[#This Row],[Village  Name]],SiteDB6[[Site Name]:[Long]],13,FALSE)</f>
        <v>92.8621826171875</v>
      </c>
      <c r="BZ79" s="480">
        <f>VLOOKUP(WWWW[[#This Row],[Village  Name]],SiteDB6[[Site Name]:[Pcode]],3,FALSE)</f>
        <v>196170</v>
      </c>
      <c r="CA79" s="480" t="str">
        <f t="shared" si="4"/>
        <v>Covered</v>
      </c>
      <c r="CB79" s="505"/>
    </row>
    <row r="80" spans="1:80">
      <c r="A80" s="774" t="s">
        <v>3150</v>
      </c>
      <c r="B80" s="774" t="s">
        <v>314</v>
      </c>
      <c r="C80" s="415" t="s">
        <v>314</v>
      </c>
      <c r="D80" s="415" t="s">
        <v>307</v>
      </c>
      <c r="E80" s="415" t="s">
        <v>2648</v>
      </c>
      <c r="F80" s="415" t="s">
        <v>295</v>
      </c>
      <c r="G80" s="644" t="str">
        <f>VLOOKUP(WWWW[[#This Row],[Village  Name]],SiteDB6[[Site Name]:[Location Type]],8,FALSE)</f>
        <v>Village</v>
      </c>
      <c r="H80" s="415" t="s">
        <v>2583</v>
      </c>
      <c r="I80" s="524">
        <v>235</v>
      </c>
      <c r="J80" s="524">
        <v>1117</v>
      </c>
      <c r="K80" s="418">
        <v>42736</v>
      </c>
      <c r="L80" s="55">
        <v>44551</v>
      </c>
      <c r="M80" s="524"/>
      <c r="N80" s="524"/>
      <c r="O80" s="524">
        <v>2</v>
      </c>
      <c r="P80" s="524">
        <v>132</v>
      </c>
      <c r="Q80" s="524">
        <v>3</v>
      </c>
      <c r="R80" s="524"/>
      <c r="S80" s="524"/>
      <c r="T80" s="524"/>
      <c r="U80" s="551"/>
      <c r="V80" s="524">
        <v>216</v>
      </c>
      <c r="W80" s="524" t="s">
        <v>130</v>
      </c>
      <c r="X80" s="524"/>
      <c r="Y80" s="524"/>
      <c r="Z80" s="524"/>
      <c r="AA80" s="524"/>
      <c r="AB80" s="524"/>
      <c r="AC80" s="551"/>
      <c r="AD80" s="524">
        <v>136</v>
      </c>
      <c r="AE80" s="524">
        <v>609</v>
      </c>
      <c r="AF80" s="524">
        <v>57</v>
      </c>
      <c r="AG80" s="524">
        <v>59</v>
      </c>
      <c r="AH80" s="524"/>
      <c r="AI80" s="524"/>
      <c r="AJ80" s="524"/>
      <c r="AK80" s="524"/>
      <c r="AL80" s="524"/>
      <c r="AM80" s="524"/>
      <c r="AN80" s="551"/>
      <c r="AO80" s="477"/>
      <c r="AP80" s="477"/>
      <c r="AQ80" s="524"/>
      <c r="AR80" s="524"/>
      <c r="AS80" s="524"/>
      <c r="AT8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80" s="483">
        <f>WWWW[[#This Row],[%Equitable and continuous access to sufficient quantity of safe drinking water]]*WWWW[[#This Row],[Total PoP ]]</f>
        <v>1117</v>
      </c>
      <c r="AV8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80" s="483">
        <f>WWWW[[#This Row],[% Access to unimproved water points]]*WWWW[[#This Row],[Total PoP ]]</f>
        <v>1117</v>
      </c>
      <c r="AX8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8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1117</v>
      </c>
      <c r="AZ80" s="483">
        <f>WWWW[[#This Row],[HRP1]]/250</f>
        <v>4.468</v>
      </c>
      <c r="BA80" s="476">
        <f>1-WWWW[[#This Row],[% Equitable and continuous access to sufficient quantity of domestic water]]</f>
        <v>0</v>
      </c>
      <c r="BB80" s="483">
        <f>WWWW[[#This Row],[%equitable and continuous access to sufficient quantity of safe drinking and domestic water''s GAP]]*WWWW[[#This Row],[Total PoP ]]</f>
        <v>0</v>
      </c>
      <c r="BC80" s="478">
        <f>IF(WWWW[[#This Row],[Total required water points]]-WWWW[[#This Row],['#Water points coverage]]&lt;0,0,WWWW[[#This Row],[Total required water points]]-WWWW[[#This Row],['#Water points coverage]])</f>
        <v>0</v>
      </c>
      <c r="BD80" s="478">
        <f>ROUND(IF(WWWW[[#This Row],[Total PoP ]]&lt;250,1,WWWW[[#This Row],[Total PoP ]]/250),0)</f>
        <v>4</v>
      </c>
      <c r="BE8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80" s="483">
        <f>WWWW[[#This Row],[% people access to functioning Latrine]]*WWWW[[#This Row],[Total PoP ]]</f>
        <v>1117</v>
      </c>
      <c r="BG80" s="478">
        <f>WWWW[[#This Row],['#_of_Functioning_latrines_in_school]]*50</f>
        <v>0</v>
      </c>
      <c r="BH80" s="478">
        <f>ROUND((WWWW[[#This Row],[Total PoP ]]/6),0)</f>
        <v>186</v>
      </c>
      <c r="BI80" s="478">
        <f>IF(WWWW[[#This Row],[Total required Latrines]]-(WWWW[[#This Row],['#_of_sanitary_fly-proof_HH_latrines]])&lt;0,0,WWWW[[#This Row],[Total required Latrines]]-(WWWW[[#This Row],['#_of_sanitary_fly-proof_HH_latrines]]))</f>
        <v>0</v>
      </c>
      <c r="BJ80" s="479">
        <f>1-WWWW[[#This Row],[% people access to functioning Latrine]]</f>
        <v>0</v>
      </c>
      <c r="BK8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861</v>
      </c>
      <c r="BL80" s="483">
        <f>IF(WWWW[[#This Row],['#_of_functional_handwashing_facilities_at_HH_level]]*6&gt;WWWW[[#This Row],[Total PoP ]],WWWW[[#This Row],[Total PoP ]],WWWW[[#This Row],['#_of_functional_handwashing_facilities_at_HH_level]]*6)</f>
        <v>0</v>
      </c>
      <c r="BM80" s="478">
        <f>IF(WWWW[[#This Row],['# people reached by regular dedicated hygiene promotion]]&gt;WWWW[[#This Row],['# People received regular supply of hygiene items]],WWWW[[#This Row],['# people reached by regular dedicated hygiene promotion]],WWWW[[#This Row],['# People received regular supply of hygiene items]])</f>
        <v>861</v>
      </c>
      <c r="BN80" s="476">
        <f>IF(WWWW[[#This Row],[HRP3]]/WWWW[[#This Row],[Total PoP ]]&gt;100%,100%,WWWW[[#This Row],[HRP3]]/WWWW[[#This Row],[Total PoP ]])</f>
        <v>0.77081468218442251</v>
      </c>
      <c r="BO80" s="479">
        <f>1-WWWW[[#This Row],[Hygiene Coverage%]]</f>
        <v>0.22918531781557749</v>
      </c>
      <c r="BP80" s="477">
        <f>WWWW[[#This Row],['# people reached by regular dedicated hygiene promotion]]/WWWW[[#This Row],[Total PoP ]]</f>
        <v>0.77081468218442251</v>
      </c>
      <c r="BQ8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80" s="478">
        <f>WWWW[[#This Row],['#_of_affected_women_and_girls_receiving_a_sufficient_quantity_of_sanitary_pads]]</f>
        <v>0</v>
      </c>
      <c r="BS80" s="524">
        <f>IF(WWWW[[#This Row],['# People with access to soap]]&gt;WWWW[[#This Row],['# People with access to Sanity Pads]],WWWW[[#This Row],['# People with access to soap]],WWWW[[#This Row],['# People with access to Sanity Pads]])</f>
        <v>0</v>
      </c>
      <c r="BT80" s="483" t="str">
        <f>IF(OR(WWWW[[#This Row],['#of students in school]]="",WWWW[[#This Row],['#of students in school]]=0),"No","Yes")</f>
        <v>No</v>
      </c>
      <c r="BU80" s="480" t="str">
        <f>VLOOKUP(WWWW[[#This Row],[Village  Name]],SiteDB6[[Site Name]:[Location Type 1]],9,FALSE)</f>
        <v>Village</v>
      </c>
      <c r="BV80" s="480" t="str">
        <f>VLOOKUP(WWWW[[#This Row],[Village  Name]],SiteDB6[[Site Name]:[Type of Accommodation]],10,FALSE)</f>
        <v>Village</v>
      </c>
      <c r="BW80" s="480">
        <f>VLOOKUP(WWWW[[#This Row],[Village  Name]],SiteDB6[[Site Name]:[Ethnic or GCA/NGCA]],11,FALSE)</f>
        <v>0</v>
      </c>
      <c r="BX80" s="480">
        <f>VLOOKUP(WWWW[[#This Row],[Village  Name]],SiteDB6[[Site Name]:[Lat]],12,FALSE)</f>
        <v>20.2375602722168</v>
      </c>
      <c r="BY80" s="480">
        <f>VLOOKUP(WWWW[[#This Row],[Village  Name]],SiteDB6[[Site Name]:[Long]],13,FALSE)</f>
        <v>92.861152648925795</v>
      </c>
      <c r="BZ80" s="480">
        <f>VLOOKUP(WWWW[[#This Row],[Village  Name]],SiteDB6[[Site Name]:[Pcode]],3,FALSE)</f>
        <v>196169</v>
      </c>
      <c r="CA80" s="480" t="str">
        <f t="shared" si="4"/>
        <v>Covered</v>
      </c>
      <c r="CB80" s="505"/>
    </row>
    <row r="81" spans="1:80">
      <c r="A81" s="774" t="s">
        <v>3150</v>
      </c>
      <c r="B81" s="774" t="s">
        <v>314</v>
      </c>
      <c r="C81" s="415" t="s">
        <v>314</v>
      </c>
      <c r="D81" s="415" t="s">
        <v>307</v>
      </c>
      <c r="E81" s="415" t="s">
        <v>2648</v>
      </c>
      <c r="F81" s="415" t="s">
        <v>295</v>
      </c>
      <c r="G81" s="644" t="str">
        <f>VLOOKUP(WWWW[[#This Row],[Village  Name]],SiteDB6[[Site Name]:[Location Type]],8,FALSE)</f>
        <v>Village</v>
      </c>
      <c r="H81" s="415" t="s">
        <v>446</v>
      </c>
      <c r="I81" s="524">
        <v>156</v>
      </c>
      <c r="J81" s="524">
        <v>658</v>
      </c>
      <c r="K81" s="418">
        <v>42736</v>
      </c>
      <c r="L81" s="55">
        <v>44551</v>
      </c>
      <c r="M81" s="524"/>
      <c r="N81" s="524"/>
      <c r="O81" s="524"/>
      <c r="P81" s="524">
        <v>88</v>
      </c>
      <c r="Q81" s="524">
        <v>2</v>
      </c>
      <c r="R81" s="524"/>
      <c r="S81" s="524"/>
      <c r="T81" s="524"/>
      <c r="U81" s="551"/>
      <c r="V81" s="524">
        <v>98</v>
      </c>
      <c r="W81" s="524" t="s">
        <v>130</v>
      </c>
      <c r="X81" s="524"/>
      <c r="Y81" s="524"/>
      <c r="Z81" s="524"/>
      <c r="AA81" s="524"/>
      <c r="AB81" s="524"/>
      <c r="AC81" s="551"/>
      <c r="AD81" s="524">
        <v>117</v>
      </c>
      <c r="AE81" s="524">
        <v>235</v>
      </c>
      <c r="AF81" s="524">
        <v>26</v>
      </c>
      <c r="AG81" s="524">
        <v>75</v>
      </c>
      <c r="AH81" s="524"/>
      <c r="AI81" s="524"/>
      <c r="AJ81" s="524"/>
      <c r="AK81" s="524"/>
      <c r="AL81" s="524"/>
      <c r="AM81" s="524"/>
      <c r="AN81" s="551"/>
      <c r="AO81" s="477"/>
      <c r="AP81" s="477"/>
      <c r="AQ81" s="524"/>
      <c r="AR81" s="524"/>
      <c r="AS81" s="524"/>
      <c r="AT81"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81" s="483">
        <f>WWWW[[#This Row],[%Equitable and continuous access to sufficient quantity of safe drinking water]]*WWWW[[#This Row],[Total PoP ]]</f>
        <v>658</v>
      </c>
      <c r="AV81"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81" s="483">
        <f>WWWW[[#This Row],[% Access to unimproved water points]]*WWWW[[#This Row],[Total PoP ]]</f>
        <v>658</v>
      </c>
      <c r="AX81"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81"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658</v>
      </c>
      <c r="AZ81" s="483">
        <f>WWWW[[#This Row],[HRP1]]/250</f>
        <v>2.6320000000000001</v>
      </c>
      <c r="BA81" s="476">
        <f>1-WWWW[[#This Row],[% Equitable and continuous access to sufficient quantity of domestic water]]</f>
        <v>0</v>
      </c>
      <c r="BB81" s="483">
        <f>WWWW[[#This Row],[%equitable and continuous access to sufficient quantity of safe drinking and domestic water''s GAP]]*WWWW[[#This Row],[Total PoP ]]</f>
        <v>0</v>
      </c>
      <c r="BC81" s="478">
        <f>IF(WWWW[[#This Row],[Total required water points]]-WWWW[[#This Row],['#Water points coverage]]&lt;0,0,WWWW[[#This Row],[Total required water points]]-WWWW[[#This Row],['#Water points coverage]])</f>
        <v>0.36799999999999988</v>
      </c>
      <c r="BD81" s="478">
        <f>ROUND(IF(WWWW[[#This Row],[Total PoP ]]&lt;250,1,WWWW[[#This Row],[Total PoP ]]/250),0)</f>
        <v>3</v>
      </c>
      <c r="BE8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0.8936170212765957</v>
      </c>
      <c r="BF81" s="483">
        <f>WWWW[[#This Row],[% people access to functioning Latrine]]*WWWW[[#This Row],[Total PoP ]]</f>
        <v>588</v>
      </c>
      <c r="BG81" s="478">
        <f>WWWW[[#This Row],['#_of_Functioning_latrines_in_school]]*50</f>
        <v>0</v>
      </c>
      <c r="BH81" s="478">
        <f>ROUND((WWWW[[#This Row],[Total PoP ]]/6),0)</f>
        <v>110</v>
      </c>
      <c r="BI81" s="478">
        <f>IF(WWWW[[#This Row],[Total required Latrines]]-(WWWW[[#This Row],['#_of_sanitary_fly-proof_HH_latrines]])&lt;0,0,WWWW[[#This Row],[Total required Latrines]]-(WWWW[[#This Row],['#_of_sanitary_fly-proof_HH_latrines]]))</f>
        <v>12</v>
      </c>
      <c r="BJ81" s="479">
        <f>1-WWWW[[#This Row],[% people access to functioning Latrine]]</f>
        <v>0.1063829787234043</v>
      </c>
      <c r="BK81"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453</v>
      </c>
      <c r="BL81" s="483">
        <f>IF(WWWW[[#This Row],['#_of_functional_handwashing_facilities_at_HH_level]]*6&gt;WWWW[[#This Row],[Total PoP ]],WWWW[[#This Row],[Total PoP ]],WWWW[[#This Row],['#_of_functional_handwashing_facilities_at_HH_level]]*6)</f>
        <v>0</v>
      </c>
      <c r="BM81" s="478">
        <f>IF(WWWW[[#This Row],['# people reached by regular dedicated hygiene promotion]]&gt;WWWW[[#This Row],['# People received regular supply of hygiene items]],WWWW[[#This Row],['# people reached by regular dedicated hygiene promotion]],WWWW[[#This Row],['# People received regular supply of hygiene items]])</f>
        <v>453</v>
      </c>
      <c r="BN81" s="476">
        <f>IF(WWWW[[#This Row],[HRP3]]/WWWW[[#This Row],[Total PoP ]]&gt;100%,100%,WWWW[[#This Row],[HRP3]]/WWWW[[#This Row],[Total PoP ]])</f>
        <v>0.68844984802431608</v>
      </c>
      <c r="BO81" s="479">
        <f>1-WWWW[[#This Row],[Hygiene Coverage%]]</f>
        <v>0.31155015197568392</v>
      </c>
      <c r="BP81" s="477">
        <f>WWWW[[#This Row],['# people reached by regular dedicated hygiene promotion]]/WWWW[[#This Row],[Total PoP ]]</f>
        <v>0.68844984802431608</v>
      </c>
      <c r="BQ8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81" s="478">
        <f>WWWW[[#This Row],['#_of_affected_women_and_girls_receiving_a_sufficient_quantity_of_sanitary_pads]]</f>
        <v>0</v>
      </c>
      <c r="BS81" s="524">
        <f>IF(WWWW[[#This Row],['# People with access to soap]]&gt;WWWW[[#This Row],['# People with access to Sanity Pads]],WWWW[[#This Row],['# People with access to soap]],WWWW[[#This Row],['# People with access to Sanity Pads]])</f>
        <v>0</v>
      </c>
      <c r="BT81" s="483" t="str">
        <f>IF(OR(WWWW[[#This Row],['#of students in school]]="",WWWW[[#This Row],['#of students in school]]=0),"No","Yes")</f>
        <v>No</v>
      </c>
      <c r="BU81" s="480" t="str">
        <f>VLOOKUP(WWWW[[#This Row],[Village  Name]],SiteDB6[[Site Name]:[Location Type 1]],9,FALSE)</f>
        <v>Village</v>
      </c>
      <c r="BV81" s="480" t="str">
        <f>VLOOKUP(WWWW[[#This Row],[Village  Name]],SiteDB6[[Site Name]:[Type of Accommodation]],10,FALSE)</f>
        <v>Village</v>
      </c>
      <c r="BW81" s="480" t="str">
        <f>VLOOKUP(WWWW[[#This Row],[Village  Name]],SiteDB6[[Site Name]:[Ethnic or GCA/NGCA]],11,FALSE)</f>
        <v>Rakhine</v>
      </c>
      <c r="BX81" s="480">
        <f>VLOOKUP(WWWW[[#This Row],[Village  Name]],SiteDB6[[Site Name]:[Lat]],12,FALSE)</f>
        <v>20.22929001</v>
      </c>
      <c r="BY81" s="480">
        <f>VLOOKUP(WWWW[[#This Row],[Village  Name]],SiteDB6[[Site Name]:[Long]],13,FALSE)</f>
        <v>92.864669800000001</v>
      </c>
      <c r="BZ81" s="480">
        <f>VLOOKUP(WWWW[[#This Row],[Village  Name]],SiteDB6[[Site Name]:[Pcode]],3,FALSE)</f>
        <v>196167</v>
      </c>
      <c r="CA81" s="480" t="str">
        <f t="shared" si="4"/>
        <v>Covered</v>
      </c>
      <c r="CB81" s="505"/>
    </row>
    <row r="82" spans="1:80">
      <c r="A82" s="774" t="s">
        <v>3150</v>
      </c>
      <c r="B82" s="774" t="s">
        <v>314</v>
      </c>
      <c r="C82" s="415" t="s">
        <v>314</v>
      </c>
      <c r="D82" s="415" t="s">
        <v>307</v>
      </c>
      <c r="E82" s="415" t="s">
        <v>2648</v>
      </c>
      <c r="F82" s="415" t="s">
        <v>295</v>
      </c>
      <c r="G82" s="644" t="str">
        <f>VLOOKUP(WWWW[[#This Row],[Village  Name]],SiteDB6[[Site Name]:[Location Type]],8,FALSE)</f>
        <v>Village</v>
      </c>
      <c r="H82" s="415" t="s">
        <v>2002</v>
      </c>
      <c r="I82" s="524">
        <v>113</v>
      </c>
      <c r="J82" s="524">
        <v>656</v>
      </c>
      <c r="K82" s="418">
        <v>42736</v>
      </c>
      <c r="L82" s="55">
        <v>44551</v>
      </c>
      <c r="M82" s="524"/>
      <c r="N82" s="524"/>
      <c r="O82" s="524">
        <v>9</v>
      </c>
      <c r="P82" s="524">
        <v>41</v>
      </c>
      <c r="Q82" s="524">
        <v>3</v>
      </c>
      <c r="R82" s="524"/>
      <c r="S82" s="524"/>
      <c r="T82" s="524"/>
      <c r="U82" s="551"/>
      <c r="V82" s="524">
        <v>78</v>
      </c>
      <c r="W82" s="524" t="s">
        <v>130</v>
      </c>
      <c r="X82" s="524"/>
      <c r="Y82" s="524"/>
      <c r="Z82" s="524"/>
      <c r="AA82" s="524"/>
      <c r="AB82" s="524"/>
      <c r="AC82" s="551"/>
      <c r="AD82" s="524">
        <v>92</v>
      </c>
      <c r="AE82" s="524">
        <v>278</v>
      </c>
      <c r="AF82" s="524">
        <v>69</v>
      </c>
      <c r="AG82" s="524">
        <v>44</v>
      </c>
      <c r="AH82" s="524"/>
      <c r="AI82" s="524"/>
      <c r="AJ82" s="524"/>
      <c r="AK82" s="524"/>
      <c r="AL82" s="524"/>
      <c r="AM82" s="524"/>
      <c r="AN82" s="551"/>
      <c r="AO82" s="477"/>
      <c r="AP82" s="477"/>
      <c r="AQ82" s="524"/>
      <c r="AR82" s="524"/>
      <c r="AS82" s="524"/>
      <c r="AT8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82" s="483">
        <f>WWWW[[#This Row],[%Equitable and continuous access to sufficient quantity of safe drinking water]]*WWWW[[#This Row],[Total PoP ]]</f>
        <v>656</v>
      </c>
      <c r="AV8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82" s="483">
        <f>WWWW[[#This Row],[% Access to unimproved water points]]*WWWW[[#This Row],[Total PoP ]]</f>
        <v>656</v>
      </c>
      <c r="AX8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8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656</v>
      </c>
      <c r="AZ82" s="483">
        <f>WWWW[[#This Row],[HRP1]]/250</f>
        <v>2.6240000000000001</v>
      </c>
      <c r="BA82" s="476">
        <f>1-WWWW[[#This Row],[% Equitable and continuous access to sufficient quantity of domestic water]]</f>
        <v>0</v>
      </c>
      <c r="BB82" s="483">
        <f>WWWW[[#This Row],[%equitable and continuous access to sufficient quantity of safe drinking and domestic water''s GAP]]*WWWW[[#This Row],[Total PoP ]]</f>
        <v>0</v>
      </c>
      <c r="BC82" s="478">
        <f>IF(WWWW[[#This Row],[Total required water points]]-WWWW[[#This Row],['#Water points coverage]]&lt;0,0,WWWW[[#This Row],[Total required water points]]-WWWW[[#This Row],['#Water points coverage]])</f>
        <v>0.37599999999999989</v>
      </c>
      <c r="BD82" s="478">
        <f>ROUND(IF(WWWW[[#This Row],[Total PoP ]]&lt;250,1,WWWW[[#This Row],[Total PoP ]]/250),0)</f>
        <v>3</v>
      </c>
      <c r="BE8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0.71341463414634143</v>
      </c>
      <c r="BF82" s="483">
        <f>WWWW[[#This Row],[% people access to functioning Latrine]]*WWWW[[#This Row],[Total PoP ]]</f>
        <v>468</v>
      </c>
      <c r="BG82" s="478">
        <f>WWWW[[#This Row],['#_of_Functioning_latrines_in_school]]*50</f>
        <v>0</v>
      </c>
      <c r="BH82" s="478">
        <f>ROUND((WWWW[[#This Row],[Total PoP ]]/6),0)</f>
        <v>109</v>
      </c>
      <c r="BI82" s="478">
        <f>IF(WWWW[[#This Row],[Total required Latrines]]-(WWWW[[#This Row],['#_of_sanitary_fly-proof_HH_latrines]])&lt;0,0,WWWW[[#This Row],[Total required Latrines]]-(WWWW[[#This Row],['#_of_sanitary_fly-proof_HH_latrines]]))</f>
        <v>31</v>
      </c>
      <c r="BJ82" s="479">
        <f>1-WWWW[[#This Row],[% people access to functioning Latrine]]</f>
        <v>0.28658536585365857</v>
      </c>
      <c r="BK8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483</v>
      </c>
      <c r="BL82" s="483">
        <f>IF(WWWW[[#This Row],['#_of_functional_handwashing_facilities_at_HH_level]]*6&gt;WWWW[[#This Row],[Total PoP ]],WWWW[[#This Row],[Total PoP ]],WWWW[[#This Row],['#_of_functional_handwashing_facilities_at_HH_level]]*6)</f>
        <v>0</v>
      </c>
      <c r="BM82" s="478">
        <f>IF(WWWW[[#This Row],['# people reached by regular dedicated hygiene promotion]]&gt;WWWW[[#This Row],['# People received regular supply of hygiene items]],WWWW[[#This Row],['# people reached by regular dedicated hygiene promotion]],WWWW[[#This Row],['# People received regular supply of hygiene items]])</f>
        <v>483</v>
      </c>
      <c r="BN82" s="476">
        <f>IF(WWWW[[#This Row],[HRP3]]/WWWW[[#This Row],[Total PoP ]]&gt;100%,100%,WWWW[[#This Row],[HRP3]]/WWWW[[#This Row],[Total PoP ]])</f>
        <v>0.73628048780487809</v>
      </c>
      <c r="BO82" s="479">
        <f>1-WWWW[[#This Row],[Hygiene Coverage%]]</f>
        <v>0.26371951219512191</v>
      </c>
      <c r="BP82" s="477">
        <f>WWWW[[#This Row],['# people reached by regular dedicated hygiene promotion]]/WWWW[[#This Row],[Total PoP ]]</f>
        <v>0.73628048780487809</v>
      </c>
      <c r="BQ8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82" s="478">
        <f>WWWW[[#This Row],['#_of_affected_women_and_girls_receiving_a_sufficient_quantity_of_sanitary_pads]]</f>
        <v>0</v>
      </c>
      <c r="BS82" s="524">
        <f>IF(WWWW[[#This Row],['# People with access to soap]]&gt;WWWW[[#This Row],['# People with access to Sanity Pads]],WWWW[[#This Row],['# People with access to soap]],WWWW[[#This Row],['# People with access to Sanity Pads]])</f>
        <v>0</v>
      </c>
      <c r="BT82" s="483" t="str">
        <f>IF(OR(WWWW[[#This Row],['#of students in school]]="",WWWW[[#This Row],['#of students in school]]=0),"No","Yes")</f>
        <v>No</v>
      </c>
      <c r="BU82" s="480" t="str">
        <f>VLOOKUP(WWWW[[#This Row],[Village  Name]],SiteDB6[[Site Name]:[Location Type 1]],9,FALSE)</f>
        <v>Village</v>
      </c>
      <c r="BV82" s="480" t="str">
        <f>VLOOKUP(WWWW[[#This Row],[Village  Name]],SiteDB6[[Site Name]:[Type of Accommodation]],10,FALSE)</f>
        <v>Village</v>
      </c>
      <c r="BW82" s="480" t="str">
        <f>VLOOKUP(WWWW[[#This Row],[Village  Name]],SiteDB6[[Site Name]:[Ethnic or GCA/NGCA]],11,FALSE)</f>
        <v>rakhine</v>
      </c>
      <c r="BX82" s="480">
        <f>VLOOKUP(WWWW[[#This Row],[Village  Name]],SiteDB6[[Site Name]:[Lat]],12,FALSE)</f>
        <v>20.2315197</v>
      </c>
      <c r="BY82" s="480">
        <f>VLOOKUP(WWWW[[#This Row],[Village  Name]],SiteDB6[[Site Name]:[Long]],13,FALSE)</f>
        <v>92.876129149999997</v>
      </c>
      <c r="BZ82" s="480">
        <f>VLOOKUP(WWWW[[#This Row],[Village  Name]],SiteDB6[[Site Name]:[Pcode]],3,FALSE)</f>
        <v>196180</v>
      </c>
      <c r="CA82" s="480" t="str">
        <f t="shared" si="4"/>
        <v>Covered</v>
      </c>
      <c r="CB82" s="505"/>
    </row>
    <row r="83" spans="1:80">
      <c r="A83" s="774" t="s">
        <v>3150</v>
      </c>
      <c r="B83" s="774" t="s">
        <v>314</v>
      </c>
      <c r="C83" s="415" t="s">
        <v>314</v>
      </c>
      <c r="D83" s="415" t="s">
        <v>307</v>
      </c>
      <c r="E83" s="415" t="s">
        <v>2648</v>
      </c>
      <c r="F83" s="415" t="s">
        <v>295</v>
      </c>
      <c r="G83" s="644" t="str">
        <f>VLOOKUP(WWWW[[#This Row],[Village  Name]],SiteDB6[[Site Name]:[Location Type]],8,FALSE)</f>
        <v>Village</v>
      </c>
      <c r="H83" s="415" t="s">
        <v>1089</v>
      </c>
      <c r="I83" s="524">
        <v>172</v>
      </c>
      <c r="J83" s="524">
        <v>1435</v>
      </c>
      <c r="K83" s="418">
        <v>42736</v>
      </c>
      <c r="L83" s="55">
        <v>44551</v>
      </c>
      <c r="M83" s="524"/>
      <c r="N83" s="524"/>
      <c r="O83" s="524">
        <v>8</v>
      </c>
      <c r="P83" s="524">
        <v>97</v>
      </c>
      <c r="Q83" s="524">
        <v>3</v>
      </c>
      <c r="R83" s="524"/>
      <c r="S83" s="524"/>
      <c r="T83" s="524"/>
      <c r="U83" s="551"/>
      <c r="V83" s="524">
        <v>132</v>
      </c>
      <c r="W83" s="524" t="s">
        <v>130</v>
      </c>
      <c r="X83" s="524"/>
      <c r="Y83" s="524"/>
      <c r="Z83" s="524"/>
      <c r="AA83" s="524"/>
      <c r="AB83" s="524"/>
      <c r="AC83" s="551"/>
      <c r="AD83" s="524">
        <v>218</v>
      </c>
      <c r="AE83" s="524">
        <v>514</v>
      </c>
      <c r="AF83" s="524">
        <v>16</v>
      </c>
      <c r="AG83" s="524">
        <v>37</v>
      </c>
      <c r="AH83" s="524"/>
      <c r="AI83" s="524"/>
      <c r="AJ83" s="524"/>
      <c r="AK83" s="524"/>
      <c r="AL83" s="524"/>
      <c r="AM83" s="524"/>
      <c r="AN83" s="551"/>
      <c r="AO83" s="477"/>
      <c r="AP83" s="477"/>
      <c r="AQ83" s="524"/>
      <c r="AR83" s="524"/>
      <c r="AS83" s="524"/>
      <c r="AT83"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83" s="483">
        <f>WWWW[[#This Row],[%Equitable and continuous access to sufficient quantity of safe drinking water]]*WWWW[[#This Row],[Total PoP ]]</f>
        <v>1435</v>
      </c>
      <c r="AV83"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83" s="483">
        <f>WWWW[[#This Row],[% Access to unimproved water points]]*WWWW[[#This Row],[Total PoP ]]</f>
        <v>1435</v>
      </c>
      <c r="AX83"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83"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1435</v>
      </c>
      <c r="AZ83" s="483">
        <f>WWWW[[#This Row],[HRP1]]/250</f>
        <v>5.74</v>
      </c>
      <c r="BA83" s="476">
        <f>1-WWWW[[#This Row],[% Equitable and continuous access to sufficient quantity of domestic water]]</f>
        <v>0</v>
      </c>
      <c r="BB83" s="483">
        <f>WWWW[[#This Row],[%equitable and continuous access to sufficient quantity of safe drinking and domestic water''s GAP]]*WWWW[[#This Row],[Total PoP ]]</f>
        <v>0</v>
      </c>
      <c r="BC83" s="478">
        <f>IF(WWWW[[#This Row],[Total required water points]]-WWWW[[#This Row],['#Water points coverage]]&lt;0,0,WWWW[[#This Row],[Total required water points]]-WWWW[[#This Row],['#Water points coverage]])</f>
        <v>0.25999999999999979</v>
      </c>
      <c r="BD83" s="478">
        <f>ROUND(IF(WWWW[[#This Row],[Total PoP ]]&lt;250,1,WWWW[[#This Row],[Total PoP ]]/250),0)</f>
        <v>6</v>
      </c>
      <c r="BE8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0.55191637630662016</v>
      </c>
      <c r="BF83" s="483">
        <f>WWWW[[#This Row],[% people access to functioning Latrine]]*WWWW[[#This Row],[Total PoP ]]</f>
        <v>791.99999999999989</v>
      </c>
      <c r="BG83" s="478">
        <f>WWWW[[#This Row],['#_of_Functioning_latrines_in_school]]*50</f>
        <v>0</v>
      </c>
      <c r="BH83" s="478">
        <f>ROUND((WWWW[[#This Row],[Total PoP ]]/6),0)</f>
        <v>239</v>
      </c>
      <c r="BI83" s="478">
        <f>IF(WWWW[[#This Row],[Total required Latrines]]-(WWWW[[#This Row],['#_of_sanitary_fly-proof_HH_latrines]])&lt;0,0,WWWW[[#This Row],[Total required Latrines]]-(WWWW[[#This Row],['#_of_sanitary_fly-proof_HH_latrines]]))</f>
        <v>107</v>
      </c>
      <c r="BJ83" s="479">
        <f>1-WWWW[[#This Row],[% people access to functioning Latrine]]</f>
        <v>0.44808362369337984</v>
      </c>
      <c r="BK83"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785</v>
      </c>
      <c r="BL83" s="483">
        <f>IF(WWWW[[#This Row],['#_of_functional_handwashing_facilities_at_HH_level]]*6&gt;WWWW[[#This Row],[Total PoP ]],WWWW[[#This Row],[Total PoP ]],WWWW[[#This Row],['#_of_functional_handwashing_facilities_at_HH_level]]*6)</f>
        <v>0</v>
      </c>
      <c r="BM83" s="478">
        <f>IF(WWWW[[#This Row],['# people reached by regular dedicated hygiene promotion]]&gt;WWWW[[#This Row],['# People received regular supply of hygiene items]],WWWW[[#This Row],['# people reached by regular dedicated hygiene promotion]],WWWW[[#This Row],['# People received regular supply of hygiene items]])</f>
        <v>785</v>
      </c>
      <c r="BN83" s="476">
        <f>IF(WWWW[[#This Row],[HRP3]]/WWWW[[#This Row],[Total PoP ]]&gt;100%,100%,WWWW[[#This Row],[HRP3]]/WWWW[[#This Row],[Total PoP ]])</f>
        <v>0.54703832752613235</v>
      </c>
      <c r="BO83" s="479">
        <f>1-WWWW[[#This Row],[Hygiene Coverage%]]</f>
        <v>0.45296167247386765</v>
      </c>
      <c r="BP83" s="477">
        <f>WWWW[[#This Row],['# people reached by regular dedicated hygiene promotion]]/WWWW[[#This Row],[Total PoP ]]</f>
        <v>0.54703832752613235</v>
      </c>
      <c r="BQ8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83" s="478">
        <f>WWWW[[#This Row],['#_of_affected_women_and_girls_receiving_a_sufficient_quantity_of_sanitary_pads]]</f>
        <v>0</v>
      </c>
      <c r="BS83" s="524">
        <f>IF(WWWW[[#This Row],['# People with access to soap]]&gt;WWWW[[#This Row],['# People with access to Sanity Pads]],WWWW[[#This Row],['# People with access to soap]],WWWW[[#This Row],['# People with access to Sanity Pads]])</f>
        <v>0</v>
      </c>
      <c r="BT83" s="483" t="str">
        <f>IF(OR(WWWW[[#This Row],['#of students in school]]="",WWWW[[#This Row],['#of students in school]]=0),"No","Yes")</f>
        <v>No</v>
      </c>
      <c r="BU83" s="480" t="str">
        <f>VLOOKUP(WWWW[[#This Row],[Village  Name]],SiteDB6[[Site Name]:[Location Type 1]],9,FALSE)</f>
        <v>Village</v>
      </c>
      <c r="BV83" s="480" t="str">
        <f>VLOOKUP(WWWW[[#This Row],[Village  Name]],SiteDB6[[Site Name]:[Type of Accommodation]],10,FALSE)</f>
        <v>Village</v>
      </c>
      <c r="BW83" s="480" t="str">
        <f>VLOOKUP(WWWW[[#This Row],[Village  Name]],SiteDB6[[Site Name]:[Ethnic or GCA/NGCA]],11,FALSE)</f>
        <v>Muslim</v>
      </c>
      <c r="BX83" s="480">
        <f>VLOOKUP(WWWW[[#This Row],[Village  Name]],SiteDB6[[Site Name]:[Lat]],12,FALSE)</f>
        <v>0</v>
      </c>
      <c r="BY83" s="480">
        <f>VLOOKUP(WWWW[[#This Row],[Village  Name]],SiteDB6[[Site Name]:[Long]],13,FALSE)</f>
        <v>0</v>
      </c>
      <c r="BZ83" s="480">
        <f>VLOOKUP(WWWW[[#This Row],[Village  Name]],SiteDB6[[Site Name]:[Pcode]],3,FALSE)</f>
        <v>0</v>
      </c>
      <c r="CA83" s="480" t="str">
        <f t="shared" si="4"/>
        <v>Covered</v>
      </c>
      <c r="CB83" s="505"/>
    </row>
    <row r="84" spans="1:80">
      <c r="A84" s="774" t="s">
        <v>3150</v>
      </c>
      <c r="B84" s="774" t="s">
        <v>314</v>
      </c>
      <c r="C84" s="415" t="s">
        <v>314</v>
      </c>
      <c r="D84" s="415" t="s">
        <v>307</v>
      </c>
      <c r="E84" s="415" t="s">
        <v>2648</v>
      </c>
      <c r="F84" s="415" t="s">
        <v>295</v>
      </c>
      <c r="G84" s="644" t="str">
        <f>VLOOKUP(WWWW[[#This Row],[Village  Name]],SiteDB6[[Site Name]:[Location Type]],8,FALSE)</f>
        <v>Village</v>
      </c>
      <c r="H84" s="415" t="s">
        <v>2586</v>
      </c>
      <c r="I84" s="524">
        <v>241</v>
      </c>
      <c r="J84" s="524">
        <v>1027</v>
      </c>
      <c r="K84" s="418">
        <v>42736</v>
      </c>
      <c r="L84" s="55">
        <v>44551</v>
      </c>
      <c r="M84" s="524"/>
      <c r="N84" s="524"/>
      <c r="O84" s="524">
        <v>26</v>
      </c>
      <c r="P84" s="524">
        <v>33</v>
      </c>
      <c r="Q84" s="524">
        <v>2</v>
      </c>
      <c r="R84" s="524"/>
      <c r="S84" s="524"/>
      <c r="T84" s="524"/>
      <c r="U84" s="551"/>
      <c r="V84" s="524">
        <v>66</v>
      </c>
      <c r="W84" s="524" t="s">
        <v>130</v>
      </c>
      <c r="X84" s="524"/>
      <c r="Y84" s="524"/>
      <c r="Z84" s="524"/>
      <c r="AA84" s="524"/>
      <c r="AB84" s="524"/>
      <c r="AC84" s="551"/>
      <c r="AD84" s="524">
        <v>47</v>
      </c>
      <c r="AE84" s="524">
        <v>98</v>
      </c>
      <c r="AF84" s="524">
        <v>28</v>
      </c>
      <c r="AG84" s="524">
        <v>32</v>
      </c>
      <c r="AH84" s="524"/>
      <c r="AI84" s="524"/>
      <c r="AJ84" s="524"/>
      <c r="AK84" s="524"/>
      <c r="AL84" s="524"/>
      <c r="AM84" s="524"/>
      <c r="AN84" s="551"/>
      <c r="AO84" s="477"/>
      <c r="AP84" s="477"/>
      <c r="AQ84" s="524"/>
      <c r="AR84" s="524"/>
      <c r="AS84" s="524"/>
      <c r="AT8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84" s="483">
        <f>WWWW[[#This Row],[%Equitable and continuous access to sufficient quantity of safe drinking water]]*WWWW[[#This Row],[Total PoP ]]</f>
        <v>1027</v>
      </c>
      <c r="AV8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84" s="483">
        <f>WWWW[[#This Row],[% Access to unimproved water points]]*WWWW[[#This Row],[Total PoP ]]</f>
        <v>1027</v>
      </c>
      <c r="AX8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8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1027</v>
      </c>
      <c r="AZ84" s="483">
        <f>WWWW[[#This Row],[HRP1]]/250</f>
        <v>4.1079999999999997</v>
      </c>
      <c r="BA84" s="476">
        <f>1-WWWW[[#This Row],[% Equitable and continuous access to sufficient quantity of domestic water]]</f>
        <v>0</v>
      </c>
      <c r="BB84" s="483">
        <f>WWWW[[#This Row],[%equitable and continuous access to sufficient quantity of safe drinking and domestic water''s GAP]]*WWWW[[#This Row],[Total PoP ]]</f>
        <v>0</v>
      </c>
      <c r="BC84" s="478">
        <f>IF(WWWW[[#This Row],[Total required water points]]-WWWW[[#This Row],['#Water points coverage]]&lt;0,0,WWWW[[#This Row],[Total required water points]]-WWWW[[#This Row],['#Water points coverage]])</f>
        <v>0</v>
      </c>
      <c r="BD84" s="478">
        <f>ROUND(IF(WWWW[[#This Row],[Total PoP ]]&lt;250,1,WWWW[[#This Row],[Total PoP ]]/250),0)</f>
        <v>4</v>
      </c>
      <c r="BE8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0.38558909444985395</v>
      </c>
      <c r="BF84" s="483">
        <f>WWWW[[#This Row],[% people access to functioning Latrine]]*WWWW[[#This Row],[Total PoP ]]</f>
        <v>396</v>
      </c>
      <c r="BG84" s="478">
        <f>WWWW[[#This Row],['#_of_Functioning_latrines_in_school]]*50</f>
        <v>0</v>
      </c>
      <c r="BH84" s="478">
        <f>ROUND((WWWW[[#This Row],[Total PoP ]]/6),0)</f>
        <v>171</v>
      </c>
      <c r="BI84" s="478">
        <f>IF(WWWW[[#This Row],[Total required Latrines]]-(WWWW[[#This Row],['#_of_sanitary_fly-proof_HH_latrines]])&lt;0,0,WWWW[[#This Row],[Total required Latrines]]-(WWWW[[#This Row],['#_of_sanitary_fly-proof_HH_latrines]]))</f>
        <v>105</v>
      </c>
      <c r="BJ84" s="479">
        <f>1-WWWW[[#This Row],[% people access to functioning Latrine]]</f>
        <v>0.6144109055501461</v>
      </c>
      <c r="BK8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205</v>
      </c>
      <c r="BL84" s="483">
        <f>IF(WWWW[[#This Row],['#_of_functional_handwashing_facilities_at_HH_level]]*6&gt;WWWW[[#This Row],[Total PoP ]],WWWW[[#This Row],[Total PoP ]],WWWW[[#This Row],['#_of_functional_handwashing_facilities_at_HH_level]]*6)</f>
        <v>0</v>
      </c>
      <c r="BM84" s="478">
        <f>IF(WWWW[[#This Row],['# people reached by regular dedicated hygiene promotion]]&gt;WWWW[[#This Row],['# People received regular supply of hygiene items]],WWWW[[#This Row],['# people reached by regular dedicated hygiene promotion]],WWWW[[#This Row],['# People received regular supply of hygiene items]])</f>
        <v>205</v>
      </c>
      <c r="BN84" s="476">
        <f>IF(WWWW[[#This Row],[HRP3]]/WWWW[[#This Row],[Total PoP ]]&gt;100%,100%,WWWW[[#This Row],[HRP3]]/WWWW[[#This Row],[Total PoP ]])</f>
        <v>0.19961051606621227</v>
      </c>
      <c r="BO84" s="479">
        <f>1-WWWW[[#This Row],[Hygiene Coverage%]]</f>
        <v>0.80038948393378773</v>
      </c>
      <c r="BP84" s="477">
        <f>WWWW[[#This Row],['# people reached by regular dedicated hygiene promotion]]/WWWW[[#This Row],[Total PoP ]]</f>
        <v>0.19961051606621227</v>
      </c>
      <c r="BQ8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84" s="478">
        <f>WWWW[[#This Row],['#_of_affected_women_and_girls_receiving_a_sufficient_quantity_of_sanitary_pads]]</f>
        <v>0</v>
      </c>
      <c r="BS84" s="524">
        <f>IF(WWWW[[#This Row],['# People with access to soap]]&gt;WWWW[[#This Row],['# People with access to Sanity Pads]],WWWW[[#This Row],['# People with access to soap]],WWWW[[#This Row],['# People with access to Sanity Pads]])</f>
        <v>0</v>
      </c>
      <c r="BT84" s="483" t="str">
        <f>IF(OR(WWWW[[#This Row],['#of students in school]]="",WWWW[[#This Row],['#of students in school]]=0),"No","Yes")</f>
        <v>No</v>
      </c>
      <c r="BU84" s="480" t="str">
        <f>VLOOKUP(WWWW[[#This Row],[Village  Name]],SiteDB6[[Site Name]:[Location Type 1]],9,FALSE)</f>
        <v>Village</v>
      </c>
      <c r="BV84" s="480" t="str">
        <f>VLOOKUP(WWWW[[#This Row],[Village  Name]],SiteDB6[[Site Name]:[Type of Accommodation]],10,FALSE)</f>
        <v>Village</v>
      </c>
      <c r="BW84" s="480">
        <f>VLOOKUP(WWWW[[#This Row],[Village  Name]],SiteDB6[[Site Name]:[Ethnic or GCA/NGCA]],11,FALSE)</f>
        <v>0</v>
      </c>
      <c r="BX84" s="480">
        <f>VLOOKUP(WWWW[[#This Row],[Village  Name]],SiteDB6[[Site Name]:[Lat]],12,FALSE)</f>
        <v>20.2105598449707</v>
      </c>
      <c r="BY84" s="480">
        <f>VLOOKUP(WWWW[[#This Row],[Village  Name]],SiteDB6[[Site Name]:[Long]],13,FALSE)</f>
        <v>92.836456298828097</v>
      </c>
      <c r="BZ84" s="480">
        <f>VLOOKUP(WWWW[[#This Row],[Village  Name]],SiteDB6[[Site Name]:[Pcode]],3,FALSE)</f>
        <v>196125</v>
      </c>
      <c r="CA84" s="480" t="str">
        <f t="shared" si="4"/>
        <v>Covered</v>
      </c>
      <c r="CB84" s="505"/>
    </row>
    <row r="85" spans="1:80">
      <c r="A85" s="774" t="s">
        <v>3150</v>
      </c>
      <c r="B85" s="774" t="s">
        <v>314</v>
      </c>
      <c r="C85" s="415" t="s">
        <v>314</v>
      </c>
      <c r="D85" s="415" t="s">
        <v>307</v>
      </c>
      <c r="E85" s="415" t="s">
        <v>2648</v>
      </c>
      <c r="F85" s="415" t="s">
        <v>295</v>
      </c>
      <c r="G85" s="644" t="str">
        <f>VLOOKUP(WWWW[[#This Row],[Village  Name]],SiteDB6[[Site Name]:[Location Type]],8,FALSE)</f>
        <v>Village</v>
      </c>
      <c r="H85" s="415" t="s">
        <v>2587</v>
      </c>
      <c r="I85" s="524">
        <v>77</v>
      </c>
      <c r="J85" s="524">
        <v>370</v>
      </c>
      <c r="K85" s="418">
        <v>42736</v>
      </c>
      <c r="L85" s="55">
        <v>44551</v>
      </c>
      <c r="M85" s="524"/>
      <c r="N85" s="524"/>
      <c r="O85" s="524">
        <v>14</v>
      </c>
      <c r="P85" s="524">
        <v>208</v>
      </c>
      <c r="Q85" s="524">
        <v>4</v>
      </c>
      <c r="R85" s="524"/>
      <c r="S85" s="524"/>
      <c r="T85" s="524"/>
      <c r="U85" s="551"/>
      <c r="V85" s="524">
        <v>201</v>
      </c>
      <c r="W85" s="524" t="s">
        <v>130</v>
      </c>
      <c r="X85" s="524"/>
      <c r="Y85" s="524"/>
      <c r="Z85" s="524"/>
      <c r="AA85" s="524"/>
      <c r="AB85" s="524"/>
      <c r="AC85" s="551"/>
      <c r="AD85" s="524">
        <v>147</v>
      </c>
      <c r="AE85" s="524">
        <v>279</v>
      </c>
      <c r="AF85" s="524">
        <v>58</v>
      </c>
      <c r="AG85" s="524">
        <v>82</v>
      </c>
      <c r="AH85" s="524"/>
      <c r="AI85" s="524"/>
      <c r="AJ85" s="524"/>
      <c r="AK85" s="524"/>
      <c r="AL85" s="524"/>
      <c r="AM85" s="524"/>
      <c r="AN85" s="551"/>
      <c r="AO85" s="477"/>
      <c r="AP85" s="477"/>
      <c r="AQ85" s="524"/>
      <c r="AR85" s="524"/>
      <c r="AS85" s="524"/>
      <c r="AT8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85" s="483">
        <f>WWWW[[#This Row],[%Equitable and continuous access to sufficient quantity of safe drinking water]]*WWWW[[#This Row],[Total PoP ]]</f>
        <v>370</v>
      </c>
      <c r="AV8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85" s="483">
        <f>WWWW[[#This Row],[% Access to unimproved water points]]*WWWW[[#This Row],[Total PoP ]]</f>
        <v>370</v>
      </c>
      <c r="AX8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8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370</v>
      </c>
      <c r="AZ85" s="483">
        <f>WWWW[[#This Row],[HRP1]]/250</f>
        <v>1.48</v>
      </c>
      <c r="BA85" s="476">
        <f>1-WWWW[[#This Row],[% Equitable and continuous access to sufficient quantity of domestic water]]</f>
        <v>0</v>
      </c>
      <c r="BB85" s="483">
        <f>WWWW[[#This Row],[%equitable and continuous access to sufficient quantity of safe drinking and domestic water''s GAP]]*WWWW[[#This Row],[Total PoP ]]</f>
        <v>0</v>
      </c>
      <c r="BC85" s="478">
        <f>IF(WWWW[[#This Row],[Total required water points]]-WWWW[[#This Row],['#Water points coverage]]&lt;0,0,WWWW[[#This Row],[Total required water points]]-WWWW[[#This Row],['#Water points coverage]])</f>
        <v>0</v>
      </c>
      <c r="BD85" s="478">
        <f>ROUND(IF(WWWW[[#This Row],[Total PoP ]]&lt;250,1,WWWW[[#This Row],[Total PoP ]]/250),0)</f>
        <v>1</v>
      </c>
      <c r="BE8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85" s="483">
        <f>WWWW[[#This Row],[% people access to functioning Latrine]]*WWWW[[#This Row],[Total PoP ]]</f>
        <v>370</v>
      </c>
      <c r="BG85" s="478">
        <f>WWWW[[#This Row],['#_of_Functioning_latrines_in_school]]*50</f>
        <v>0</v>
      </c>
      <c r="BH85" s="478">
        <f>ROUND((WWWW[[#This Row],[Total PoP ]]/6),0)</f>
        <v>62</v>
      </c>
      <c r="BI85" s="478">
        <f>IF(WWWW[[#This Row],[Total required Latrines]]-(WWWW[[#This Row],['#_of_sanitary_fly-proof_HH_latrines]])&lt;0,0,WWWW[[#This Row],[Total required Latrines]]-(WWWW[[#This Row],['#_of_sanitary_fly-proof_HH_latrines]]))</f>
        <v>0</v>
      </c>
      <c r="BJ85" s="479">
        <f>1-WWWW[[#This Row],[% people access to functioning Latrine]]</f>
        <v>0</v>
      </c>
      <c r="BK8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370</v>
      </c>
      <c r="BL85" s="483">
        <f>IF(WWWW[[#This Row],['#_of_functional_handwashing_facilities_at_HH_level]]*6&gt;WWWW[[#This Row],[Total PoP ]],WWWW[[#This Row],[Total PoP ]],WWWW[[#This Row],['#_of_functional_handwashing_facilities_at_HH_level]]*6)</f>
        <v>0</v>
      </c>
      <c r="BM85" s="478">
        <f>IF(WWWW[[#This Row],['# people reached by regular dedicated hygiene promotion]]&gt;WWWW[[#This Row],['# People received regular supply of hygiene items]],WWWW[[#This Row],['# people reached by regular dedicated hygiene promotion]],WWWW[[#This Row],['# People received regular supply of hygiene items]])</f>
        <v>370</v>
      </c>
      <c r="BN85" s="476">
        <f>IF(WWWW[[#This Row],[HRP3]]/WWWW[[#This Row],[Total PoP ]]&gt;100%,100%,WWWW[[#This Row],[HRP3]]/WWWW[[#This Row],[Total PoP ]])</f>
        <v>1</v>
      </c>
      <c r="BO85" s="479">
        <f>1-WWWW[[#This Row],[Hygiene Coverage%]]</f>
        <v>0</v>
      </c>
      <c r="BP85" s="477">
        <f>WWWW[[#This Row],['# people reached by regular dedicated hygiene promotion]]/WWWW[[#This Row],[Total PoP ]]</f>
        <v>1</v>
      </c>
      <c r="BQ8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85" s="478">
        <f>WWWW[[#This Row],['#_of_affected_women_and_girls_receiving_a_sufficient_quantity_of_sanitary_pads]]</f>
        <v>0</v>
      </c>
      <c r="BS85" s="524">
        <f>IF(WWWW[[#This Row],['# People with access to soap]]&gt;WWWW[[#This Row],['# People with access to Sanity Pads]],WWWW[[#This Row],['# People with access to soap]],WWWW[[#This Row],['# People with access to Sanity Pads]])</f>
        <v>0</v>
      </c>
      <c r="BT85" s="483" t="str">
        <f>IF(OR(WWWW[[#This Row],['#of students in school]]="",WWWW[[#This Row],['#of students in school]]=0),"No","Yes")</f>
        <v>No</v>
      </c>
      <c r="BU85" s="480" t="str">
        <f>VLOOKUP(WWWW[[#This Row],[Village  Name]],SiteDB6[[Site Name]:[Location Type 1]],9,FALSE)</f>
        <v>Village</v>
      </c>
      <c r="BV85" s="480" t="str">
        <f>VLOOKUP(WWWW[[#This Row],[Village  Name]],SiteDB6[[Site Name]:[Type of Accommodation]],10,FALSE)</f>
        <v>Village</v>
      </c>
      <c r="BW85" s="480" t="str">
        <f>VLOOKUP(WWWW[[#This Row],[Village  Name]],SiteDB6[[Site Name]:[Ethnic or GCA/NGCA]],11,FALSE)</f>
        <v>Rakhine</v>
      </c>
      <c r="BX85" s="480">
        <f>VLOOKUP(WWWW[[#This Row],[Village  Name]],SiteDB6[[Site Name]:[Lat]],12,FALSE)</f>
        <v>20.236940383911101</v>
      </c>
      <c r="BY85" s="480">
        <f>VLOOKUP(WWWW[[#This Row],[Village  Name]],SiteDB6[[Site Name]:[Long]],13,FALSE)</f>
        <v>92.833259582519503</v>
      </c>
      <c r="BZ85" s="480">
        <f>VLOOKUP(WWWW[[#This Row],[Village  Name]],SiteDB6[[Site Name]:[Pcode]],3,FALSE)</f>
        <v>196130</v>
      </c>
      <c r="CA85" s="480" t="str">
        <f t="shared" si="4"/>
        <v>Covered</v>
      </c>
      <c r="CB85" s="505"/>
    </row>
    <row r="86" spans="1:80">
      <c r="A86" s="774" t="s">
        <v>3150</v>
      </c>
      <c r="B86" s="774" t="s">
        <v>314</v>
      </c>
      <c r="C86" s="415" t="s">
        <v>314</v>
      </c>
      <c r="D86" s="415" t="s">
        <v>307</v>
      </c>
      <c r="E86" s="415" t="s">
        <v>2648</v>
      </c>
      <c r="F86" s="415" t="s">
        <v>295</v>
      </c>
      <c r="G86" s="644" t="str">
        <f>VLOOKUP(WWWW[[#This Row],[Village  Name]],SiteDB6[[Site Name]:[Location Type]],8,FALSE)</f>
        <v>village</v>
      </c>
      <c r="H86" s="415" t="s">
        <v>874</v>
      </c>
      <c r="I86" s="524">
        <v>509</v>
      </c>
      <c r="J86" s="524">
        <v>1574</v>
      </c>
      <c r="K86" s="418">
        <v>42736</v>
      </c>
      <c r="L86" s="55">
        <v>44551</v>
      </c>
      <c r="M86" s="524"/>
      <c r="N86" s="524"/>
      <c r="O86" s="524">
        <v>9</v>
      </c>
      <c r="P86" s="524">
        <v>94</v>
      </c>
      <c r="Q86" s="524">
        <v>2</v>
      </c>
      <c r="R86" s="524"/>
      <c r="S86" s="524"/>
      <c r="T86" s="524"/>
      <c r="U86" s="551"/>
      <c r="V86" s="524">
        <v>136</v>
      </c>
      <c r="W86" s="524" t="s">
        <v>130</v>
      </c>
      <c r="X86" s="524"/>
      <c r="Y86" s="524"/>
      <c r="Z86" s="524"/>
      <c r="AA86" s="524"/>
      <c r="AB86" s="524"/>
      <c r="AC86" s="551"/>
      <c r="AD86" s="524">
        <v>99</v>
      </c>
      <c r="AE86" s="524">
        <v>315</v>
      </c>
      <c r="AF86" s="524">
        <v>66</v>
      </c>
      <c r="AG86" s="524">
        <v>47</v>
      </c>
      <c r="AH86" s="524"/>
      <c r="AI86" s="524"/>
      <c r="AJ86" s="524"/>
      <c r="AK86" s="524"/>
      <c r="AL86" s="524"/>
      <c r="AM86" s="524"/>
      <c r="AN86" s="551"/>
      <c r="AO86" s="477"/>
      <c r="AP86" s="477"/>
      <c r="AQ86" s="524"/>
      <c r="AR86" s="524"/>
      <c r="AS86" s="524"/>
      <c r="AT8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86" s="483">
        <f>WWWW[[#This Row],[%Equitable and continuous access to sufficient quantity of safe drinking water]]*WWWW[[#This Row],[Total PoP ]]</f>
        <v>1574</v>
      </c>
      <c r="AV8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86" s="483">
        <f>WWWW[[#This Row],[% Access to unimproved water points]]*WWWW[[#This Row],[Total PoP ]]</f>
        <v>1574</v>
      </c>
      <c r="AX8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8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1574</v>
      </c>
      <c r="AZ86" s="483">
        <f>WWWW[[#This Row],[HRP1]]/250</f>
        <v>6.2960000000000003</v>
      </c>
      <c r="BA86" s="476">
        <f>1-WWWW[[#This Row],[% Equitable and continuous access to sufficient quantity of domestic water]]</f>
        <v>0</v>
      </c>
      <c r="BB86" s="483">
        <f>WWWW[[#This Row],[%equitable and continuous access to sufficient quantity of safe drinking and domestic water''s GAP]]*WWWW[[#This Row],[Total PoP ]]</f>
        <v>0</v>
      </c>
      <c r="BC86" s="478">
        <f>IF(WWWW[[#This Row],[Total required water points]]-WWWW[[#This Row],['#Water points coverage]]&lt;0,0,WWWW[[#This Row],[Total required water points]]-WWWW[[#This Row],['#Water points coverage]])</f>
        <v>0</v>
      </c>
      <c r="BD86" s="478">
        <f>ROUND(IF(WWWW[[#This Row],[Total PoP ]]&lt;250,1,WWWW[[#This Row],[Total PoP ]]/250),0)</f>
        <v>6</v>
      </c>
      <c r="BE8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0.51842439644218552</v>
      </c>
      <c r="BF86" s="483">
        <f>WWWW[[#This Row],[% people access to functioning Latrine]]*WWWW[[#This Row],[Total PoP ]]</f>
        <v>816</v>
      </c>
      <c r="BG86" s="478">
        <f>WWWW[[#This Row],['#_of_Functioning_latrines_in_school]]*50</f>
        <v>0</v>
      </c>
      <c r="BH86" s="478">
        <f>ROUND((WWWW[[#This Row],[Total PoP ]]/6),0)</f>
        <v>262</v>
      </c>
      <c r="BI86" s="478">
        <f>IF(WWWW[[#This Row],[Total required Latrines]]-(WWWW[[#This Row],['#_of_sanitary_fly-proof_HH_latrines]])&lt;0,0,WWWW[[#This Row],[Total required Latrines]]-(WWWW[[#This Row],['#_of_sanitary_fly-proof_HH_latrines]]))</f>
        <v>126</v>
      </c>
      <c r="BJ86" s="479">
        <f>1-WWWW[[#This Row],[% people access to functioning Latrine]]</f>
        <v>0.48157560355781448</v>
      </c>
      <c r="BK8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527</v>
      </c>
      <c r="BL86" s="483">
        <f>IF(WWWW[[#This Row],['#_of_functional_handwashing_facilities_at_HH_level]]*6&gt;WWWW[[#This Row],[Total PoP ]],WWWW[[#This Row],[Total PoP ]],WWWW[[#This Row],['#_of_functional_handwashing_facilities_at_HH_level]]*6)</f>
        <v>0</v>
      </c>
      <c r="BM86" s="478">
        <f>IF(WWWW[[#This Row],['# people reached by regular dedicated hygiene promotion]]&gt;WWWW[[#This Row],['# People received regular supply of hygiene items]],WWWW[[#This Row],['# people reached by regular dedicated hygiene promotion]],WWWW[[#This Row],['# People received regular supply of hygiene items]])</f>
        <v>527</v>
      </c>
      <c r="BN86" s="476">
        <f>IF(WWWW[[#This Row],[HRP3]]/WWWW[[#This Row],[Total PoP ]]&gt;100%,100%,WWWW[[#This Row],[HRP3]]/WWWW[[#This Row],[Total PoP ]])</f>
        <v>0.33481575603557817</v>
      </c>
      <c r="BO86" s="479">
        <f>1-WWWW[[#This Row],[Hygiene Coverage%]]</f>
        <v>0.66518424396442177</v>
      </c>
      <c r="BP86" s="477">
        <f>WWWW[[#This Row],['# people reached by regular dedicated hygiene promotion]]/WWWW[[#This Row],[Total PoP ]]</f>
        <v>0.33481575603557817</v>
      </c>
      <c r="BQ8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86" s="478">
        <f>WWWW[[#This Row],['#_of_affected_women_and_girls_receiving_a_sufficient_quantity_of_sanitary_pads]]</f>
        <v>0</v>
      </c>
      <c r="BS86" s="524">
        <f>IF(WWWW[[#This Row],['# People with access to soap]]&gt;WWWW[[#This Row],['# People with access to Sanity Pads]],WWWW[[#This Row],['# People with access to soap]],WWWW[[#This Row],['# People with access to Sanity Pads]])</f>
        <v>0</v>
      </c>
      <c r="BT86" s="483" t="str">
        <f>IF(OR(WWWW[[#This Row],['#of students in school]]="",WWWW[[#This Row],['#of students in school]]=0),"No","Yes")</f>
        <v>No</v>
      </c>
      <c r="BU86" s="480" t="str">
        <f>VLOOKUP(WWWW[[#This Row],[Village  Name]],SiteDB6[[Site Name]:[Location Type 1]],9,FALSE)</f>
        <v>Village</v>
      </c>
      <c r="BV86" s="480" t="str">
        <f>VLOOKUP(WWWW[[#This Row],[Village  Name]],SiteDB6[[Site Name]:[Type of Accommodation]],10,FALSE)</f>
        <v>village</v>
      </c>
      <c r="BW86" s="480" t="str">
        <f>VLOOKUP(WWWW[[#This Row],[Village  Name]],SiteDB6[[Site Name]:[Ethnic or GCA/NGCA]],11,FALSE)</f>
        <v>Rakhine</v>
      </c>
      <c r="BX86" s="480">
        <f>VLOOKUP(WWWW[[#This Row],[Village  Name]],SiteDB6[[Site Name]:[Lat]],12,FALSE)</f>
        <v>20.226730346679702</v>
      </c>
      <c r="BY86" s="480">
        <f>VLOOKUP(WWWW[[#This Row],[Village  Name]],SiteDB6[[Site Name]:[Long]],13,FALSE)</f>
        <v>92.836929321289105</v>
      </c>
      <c r="BZ86" s="480">
        <f>VLOOKUP(WWWW[[#This Row],[Village  Name]],SiteDB6[[Site Name]:[Pcode]],3,FALSE)</f>
        <v>196129</v>
      </c>
      <c r="CA86" s="480" t="str">
        <f t="shared" si="4"/>
        <v>Covered</v>
      </c>
      <c r="CB86" s="505"/>
    </row>
    <row r="87" spans="1:80">
      <c r="A87" s="774" t="s">
        <v>3150</v>
      </c>
      <c r="B87" s="774" t="s">
        <v>314</v>
      </c>
      <c r="C87" s="415" t="s">
        <v>314</v>
      </c>
      <c r="D87" s="415" t="s">
        <v>307</v>
      </c>
      <c r="E87" s="415" t="s">
        <v>2648</v>
      </c>
      <c r="F87" s="415" t="s">
        <v>295</v>
      </c>
      <c r="G87" s="644" t="str">
        <f>VLOOKUP(WWWW[[#This Row],[Village  Name]],SiteDB6[[Site Name]:[Location Type]],8,FALSE)</f>
        <v>Village</v>
      </c>
      <c r="H87" s="415" t="s">
        <v>2005</v>
      </c>
      <c r="I87" s="524">
        <v>301</v>
      </c>
      <c r="J87" s="524">
        <v>1529</v>
      </c>
      <c r="K87" s="418">
        <v>42736</v>
      </c>
      <c r="L87" s="55">
        <v>44551</v>
      </c>
      <c r="M87" s="524"/>
      <c r="N87" s="524"/>
      <c r="O87" s="524">
        <v>7</v>
      </c>
      <c r="P87" s="524">
        <v>117</v>
      </c>
      <c r="Q87" s="524">
        <v>3</v>
      </c>
      <c r="R87" s="524"/>
      <c r="S87" s="524"/>
      <c r="T87" s="524"/>
      <c r="U87" s="551"/>
      <c r="V87" s="524">
        <v>186</v>
      </c>
      <c r="W87" s="524" t="s">
        <v>130</v>
      </c>
      <c r="X87" s="524"/>
      <c r="Y87" s="524"/>
      <c r="Z87" s="524"/>
      <c r="AA87" s="524"/>
      <c r="AB87" s="524"/>
      <c r="AC87" s="551"/>
      <c r="AD87" s="524">
        <v>85</v>
      </c>
      <c r="AE87" s="524">
        <v>316</v>
      </c>
      <c r="AF87" s="524">
        <v>58</v>
      </c>
      <c r="AG87" s="524">
        <v>83</v>
      </c>
      <c r="AH87" s="524"/>
      <c r="AI87" s="524"/>
      <c r="AJ87" s="524"/>
      <c r="AK87" s="524"/>
      <c r="AL87" s="524"/>
      <c r="AM87" s="524"/>
      <c r="AN87" s="551"/>
      <c r="AO87" s="477"/>
      <c r="AP87" s="477"/>
      <c r="AQ87" s="524"/>
      <c r="AR87" s="524"/>
      <c r="AS87" s="524"/>
      <c r="AT8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87" s="483">
        <f>WWWW[[#This Row],[%Equitable and continuous access to sufficient quantity of safe drinking water]]*WWWW[[#This Row],[Total PoP ]]</f>
        <v>1529</v>
      </c>
      <c r="AV8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87" s="483">
        <f>WWWW[[#This Row],[% Access to unimproved water points]]*WWWW[[#This Row],[Total PoP ]]</f>
        <v>1529</v>
      </c>
      <c r="AX8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8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1529</v>
      </c>
      <c r="AZ87" s="483">
        <f>WWWW[[#This Row],[HRP1]]/250</f>
        <v>6.1159999999999997</v>
      </c>
      <c r="BA87" s="476">
        <f>1-WWWW[[#This Row],[% Equitable and continuous access to sufficient quantity of domestic water]]</f>
        <v>0</v>
      </c>
      <c r="BB87" s="483">
        <f>WWWW[[#This Row],[%equitable and continuous access to sufficient quantity of safe drinking and domestic water''s GAP]]*WWWW[[#This Row],[Total PoP ]]</f>
        <v>0</v>
      </c>
      <c r="BC87" s="478">
        <f>IF(WWWW[[#This Row],[Total required water points]]-WWWW[[#This Row],['#Water points coverage]]&lt;0,0,WWWW[[#This Row],[Total required water points]]-WWWW[[#This Row],['#Water points coverage]])</f>
        <v>0</v>
      </c>
      <c r="BD87" s="478">
        <f>ROUND(IF(WWWW[[#This Row],[Total PoP ]]&lt;250,1,WWWW[[#This Row],[Total PoP ]]/250),0)</f>
        <v>6</v>
      </c>
      <c r="BE8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0.72988881621975144</v>
      </c>
      <c r="BF87" s="483">
        <f>WWWW[[#This Row],[% people access to functioning Latrine]]*WWWW[[#This Row],[Total PoP ]]</f>
        <v>1116</v>
      </c>
      <c r="BG87" s="478">
        <f>WWWW[[#This Row],['#_of_Functioning_latrines_in_school]]*50</f>
        <v>0</v>
      </c>
      <c r="BH87" s="478">
        <f>ROUND((WWWW[[#This Row],[Total PoP ]]/6),0)</f>
        <v>255</v>
      </c>
      <c r="BI87" s="478">
        <f>IF(WWWW[[#This Row],[Total required Latrines]]-(WWWW[[#This Row],['#_of_sanitary_fly-proof_HH_latrines]])&lt;0,0,WWWW[[#This Row],[Total required Latrines]]-(WWWW[[#This Row],['#_of_sanitary_fly-proof_HH_latrines]]))</f>
        <v>69</v>
      </c>
      <c r="BJ87" s="479">
        <f>1-WWWW[[#This Row],[% people access to functioning Latrine]]</f>
        <v>0.27011118378024856</v>
      </c>
      <c r="BK8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542</v>
      </c>
      <c r="BL87" s="483">
        <f>IF(WWWW[[#This Row],['#_of_functional_handwashing_facilities_at_HH_level]]*6&gt;WWWW[[#This Row],[Total PoP ]],WWWW[[#This Row],[Total PoP ]],WWWW[[#This Row],['#_of_functional_handwashing_facilities_at_HH_level]]*6)</f>
        <v>0</v>
      </c>
      <c r="BM87" s="478">
        <f>IF(WWWW[[#This Row],['# people reached by regular dedicated hygiene promotion]]&gt;WWWW[[#This Row],['# People received regular supply of hygiene items]],WWWW[[#This Row],['# people reached by regular dedicated hygiene promotion]],WWWW[[#This Row],['# People received regular supply of hygiene items]])</f>
        <v>542</v>
      </c>
      <c r="BN87" s="476">
        <f>IF(WWWW[[#This Row],[HRP3]]/WWWW[[#This Row],[Total PoP ]]&gt;100%,100%,WWWW[[#This Row],[HRP3]]/WWWW[[#This Row],[Total PoP ]])</f>
        <v>0.35448005232177893</v>
      </c>
      <c r="BO87" s="479">
        <f>1-WWWW[[#This Row],[Hygiene Coverage%]]</f>
        <v>0.64551994767822107</v>
      </c>
      <c r="BP87" s="477">
        <f>WWWW[[#This Row],['# people reached by regular dedicated hygiene promotion]]/WWWW[[#This Row],[Total PoP ]]</f>
        <v>0.35448005232177893</v>
      </c>
      <c r="BQ8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87" s="478">
        <f>WWWW[[#This Row],['#_of_affected_women_and_girls_receiving_a_sufficient_quantity_of_sanitary_pads]]</f>
        <v>0</v>
      </c>
      <c r="BS87" s="524">
        <f>IF(WWWW[[#This Row],['# People with access to soap]]&gt;WWWW[[#This Row],['# People with access to Sanity Pads]],WWWW[[#This Row],['# People with access to soap]],WWWW[[#This Row],['# People with access to Sanity Pads]])</f>
        <v>0</v>
      </c>
      <c r="BT87" s="483" t="str">
        <f>IF(OR(WWWW[[#This Row],['#of students in school]]="",WWWW[[#This Row],['#of students in school]]=0),"No","Yes")</f>
        <v>No</v>
      </c>
      <c r="BU87" s="480" t="str">
        <f>VLOOKUP(WWWW[[#This Row],[Village  Name]],SiteDB6[[Site Name]:[Location Type 1]],9,FALSE)</f>
        <v>Village</v>
      </c>
      <c r="BV87" s="480" t="str">
        <f>VLOOKUP(WWWW[[#This Row],[Village  Name]],SiteDB6[[Site Name]:[Type of Accommodation]],10,FALSE)</f>
        <v>Village</v>
      </c>
      <c r="BW87" s="480" t="str">
        <f>VLOOKUP(WWWW[[#This Row],[Village  Name]],SiteDB6[[Site Name]:[Ethnic or GCA/NGCA]],11,FALSE)</f>
        <v>Rakhine</v>
      </c>
      <c r="BX87" s="480">
        <f>VLOOKUP(WWWW[[#This Row],[Village  Name]],SiteDB6[[Site Name]:[Lat]],12,FALSE)</f>
        <v>20.257850650000002</v>
      </c>
      <c r="BY87" s="480">
        <f>VLOOKUP(WWWW[[#This Row],[Village  Name]],SiteDB6[[Site Name]:[Long]],13,FALSE)</f>
        <v>92.811126709999996</v>
      </c>
      <c r="BZ87" s="480">
        <f>VLOOKUP(WWWW[[#This Row],[Village  Name]],SiteDB6[[Site Name]:[Pcode]],3,FALSE)</f>
        <v>196161</v>
      </c>
      <c r="CA87" s="480" t="str">
        <f t="shared" si="4"/>
        <v>Covered</v>
      </c>
      <c r="CB87" s="505"/>
    </row>
    <row r="88" spans="1:80">
      <c r="A88" s="774" t="s">
        <v>3150</v>
      </c>
      <c r="B88" s="774" t="s">
        <v>314</v>
      </c>
      <c r="C88" s="415" t="s">
        <v>314</v>
      </c>
      <c r="D88" s="415" t="s">
        <v>307</v>
      </c>
      <c r="E88" s="415" t="s">
        <v>2648</v>
      </c>
      <c r="F88" s="415" t="s">
        <v>295</v>
      </c>
      <c r="G88" s="644" t="str">
        <f>VLOOKUP(WWWW[[#This Row],[Village  Name]],SiteDB6[[Site Name]:[Location Type]],8,FALSE)</f>
        <v>Village</v>
      </c>
      <c r="H88" s="415" t="s">
        <v>2588</v>
      </c>
      <c r="I88" s="524">
        <v>85</v>
      </c>
      <c r="J88" s="524">
        <v>369</v>
      </c>
      <c r="K88" s="418">
        <v>42736</v>
      </c>
      <c r="L88" s="55">
        <v>44551</v>
      </c>
      <c r="M88" s="524"/>
      <c r="N88" s="524"/>
      <c r="O88" s="524">
        <v>2</v>
      </c>
      <c r="P88" s="524">
        <v>56</v>
      </c>
      <c r="Q88" s="524">
        <v>2</v>
      </c>
      <c r="R88" s="524"/>
      <c r="S88" s="524"/>
      <c r="T88" s="524"/>
      <c r="U88" s="551"/>
      <c r="V88" s="524">
        <v>58</v>
      </c>
      <c r="W88" s="524" t="s">
        <v>130</v>
      </c>
      <c r="X88" s="524"/>
      <c r="Y88" s="524"/>
      <c r="Z88" s="524"/>
      <c r="AA88" s="524"/>
      <c r="AB88" s="524"/>
      <c r="AC88" s="551"/>
      <c r="AD88" s="524">
        <v>26</v>
      </c>
      <c r="AE88" s="524">
        <v>190</v>
      </c>
      <c r="AF88" s="524">
        <v>14</v>
      </c>
      <c r="AG88" s="524">
        <v>32</v>
      </c>
      <c r="AH88" s="524"/>
      <c r="AI88" s="524"/>
      <c r="AJ88" s="524"/>
      <c r="AK88" s="524"/>
      <c r="AL88" s="524"/>
      <c r="AM88" s="524"/>
      <c r="AN88" s="551"/>
      <c r="AO88" s="477"/>
      <c r="AP88" s="477"/>
      <c r="AQ88" s="524"/>
      <c r="AR88" s="524"/>
      <c r="AS88" s="524"/>
      <c r="AT8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88" s="483">
        <f>WWWW[[#This Row],[%Equitable and continuous access to sufficient quantity of safe drinking water]]*WWWW[[#This Row],[Total PoP ]]</f>
        <v>369</v>
      </c>
      <c r="AV8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88" s="483">
        <f>WWWW[[#This Row],[% Access to unimproved water points]]*WWWW[[#This Row],[Total PoP ]]</f>
        <v>369</v>
      </c>
      <c r="AX8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8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369</v>
      </c>
      <c r="AZ88" s="483">
        <f>WWWW[[#This Row],[HRP1]]/250</f>
        <v>1.476</v>
      </c>
      <c r="BA88" s="476">
        <f>1-WWWW[[#This Row],[% Equitable and continuous access to sufficient quantity of domestic water]]</f>
        <v>0</v>
      </c>
      <c r="BB88" s="483">
        <f>WWWW[[#This Row],[%equitable and continuous access to sufficient quantity of safe drinking and domestic water''s GAP]]*WWWW[[#This Row],[Total PoP ]]</f>
        <v>0</v>
      </c>
      <c r="BC88" s="478">
        <f>IF(WWWW[[#This Row],[Total required water points]]-WWWW[[#This Row],['#Water points coverage]]&lt;0,0,WWWW[[#This Row],[Total required water points]]-WWWW[[#This Row],['#Water points coverage]])</f>
        <v>0</v>
      </c>
      <c r="BD88" s="478">
        <f>ROUND(IF(WWWW[[#This Row],[Total PoP ]]&lt;250,1,WWWW[[#This Row],[Total PoP ]]/250),0)</f>
        <v>1</v>
      </c>
      <c r="BE8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0.94308943089430897</v>
      </c>
      <c r="BF88" s="483">
        <f>WWWW[[#This Row],[% people access to functioning Latrine]]*WWWW[[#This Row],[Total PoP ]]</f>
        <v>348</v>
      </c>
      <c r="BG88" s="478">
        <f>WWWW[[#This Row],['#_of_Functioning_latrines_in_school]]*50</f>
        <v>0</v>
      </c>
      <c r="BH88" s="478">
        <f>ROUND((WWWW[[#This Row],[Total PoP ]]/6),0)</f>
        <v>62</v>
      </c>
      <c r="BI88" s="478">
        <f>IF(WWWW[[#This Row],[Total required Latrines]]-(WWWW[[#This Row],['#_of_sanitary_fly-proof_HH_latrines]])&lt;0,0,WWWW[[#This Row],[Total required Latrines]]-(WWWW[[#This Row],['#_of_sanitary_fly-proof_HH_latrines]]))</f>
        <v>4</v>
      </c>
      <c r="BJ88" s="479">
        <f>1-WWWW[[#This Row],[% people access to functioning Latrine]]</f>
        <v>5.6910569105691033E-2</v>
      </c>
      <c r="BK8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262</v>
      </c>
      <c r="BL88" s="483">
        <f>IF(WWWW[[#This Row],['#_of_functional_handwashing_facilities_at_HH_level]]*6&gt;WWWW[[#This Row],[Total PoP ]],WWWW[[#This Row],[Total PoP ]],WWWW[[#This Row],['#_of_functional_handwashing_facilities_at_HH_level]]*6)</f>
        <v>0</v>
      </c>
      <c r="BM88" s="478">
        <f>IF(WWWW[[#This Row],['# people reached by regular dedicated hygiene promotion]]&gt;WWWW[[#This Row],['# People received regular supply of hygiene items]],WWWW[[#This Row],['# people reached by regular dedicated hygiene promotion]],WWWW[[#This Row],['# People received regular supply of hygiene items]])</f>
        <v>262</v>
      </c>
      <c r="BN88" s="476">
        <f>IF(WWWW[[#This Row],[HRP3]]/WWWW[[#This Row],[Total PoP ]]&gt;100%,100%,WWWW[[#This Row],[HRP3]]/WWWW[[#This Row],[Total PoP ]])</f>
        <v>0.71002710027100269</v>
      </c>
      <c r="BO88" s="479">
        <f>1-WWWW[[#This Row],[Hygiene Coverage%]]</f>
        <v>0.28997289972899731</v>
      </c>
      <c r="BP88" s="477">
        <f>WWWW[[#This Row],['# people reached by regular dedicated hygiene promotion]]/WWWW[[#This Row],[Total PoP ]]</f>
        <v>0.71002710027100269</v>
      </c>
      <c r="BQ8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88" s="478">
        <f>WWWW[[#This Row],['#_of_affected_women_and_girls_receiving_a_sufficient_quantity_of_sanitary_pads]]</f>
        <v>0</v>
      </c>
      <c r="BS88" s="524">
        <f>IF(WWWW[[#This Row],['# People with access to soap]]&gt;WWWW[[#This Row],['# People with access to Sanity Pads]],WWWW[[#This Row],['# People with access to soap]],WWWW[[#This Row],['# People with access to Sanity Pads]])</f>
        <v>0</v>
      </c>
      <c r="BT88" s="483" t="str">
        <f>IF(OR(WWWW[[#This Row],['#of students in school]]="",WWWW[[#This Row],['#of students in school]]=0),"No","Yes")</f>
        <v>No</v>
      </c>
      <c r="BU88" s="480" t="str">
        <f>VLOOKUP(WWWW[[#This Row],[Village  Name]],SiteDB6[[Site Name]:[Location Type 1]],9,FALSE)</f>
        <v>Village</v>
      </c>
      <c r="BV88" s="480" t="str">
        <f>VLOOKUP(WWWW[[#This Row],[Village  Name]],SiteDB6[[Site Name]:[Type of Accommodation]],10,FALSE)</f>
        <v>Village</v>
      </c>
      <c r="BW88" s="480">
        <f>VLOOKUP(WWWW[[#This Row],[Village  Name]],SiteDB6[[Site Name]:[Ethnic or GCA/NGCA]],11,FALSE)</f>
        <v>0</v>
      </c>
      <c r="BX88" s="480">
        <f>VLOOKUP(WWWW[[#This Row],[Village  Name]],SiteDB6[[Site Name]:[Lat]],12,FALSE)</f>
        <v>20.261358000000001</v>
      </c>
      <c r="BY88" s="480">
        <f>VLOOKUP(WWWW[[#This Row],[Village  Name]],SiteDB6[[Site Name]:[Long]],13,FALSE)</f>
        <v>92.805672999999999</v>
      </c>
      <c r="BZ88" s="480">
        <f>VLOOKUP(WWWW[[#This Row],[Village  Name]],SiteDB6[[Site Name]:[Pcode]],3,FALSE)</f>
        <v>220593</v>
      </c>
      <c r="CA88" s="480" t="str">
        <f t="shared" si="4"/>
        <v>Covered</v>
      </c>
      <c r="CB88" s="505"/>
    </row>
    <row r="89" spans="1:80">
      <c r="A89" s="774" t="s">
        <v>3150</v>
      </c>
      <c r="B89" s="774" t="s">
        <v>314</v>
      </c>
      <c r="C89" s="415" t="s">
        <v>314</v>
      </c>
      <c r="D89" s="415" t="s">
        <v>307</v>
      </c>
      <c r="E89" s="415" t="s">
        <v>2648</v>
      </c>
      <c r="F89" s="415" t="s">
        <v>295</v>
      </c>
      <c r="G89" s="644" t="str">
        <f>VLOOKUP(WWWW[[#This Row],[Village  Name]],SiteDB6[[Site Name]:[Location Type]],8,FALSE)</f>
        <v>Village</v>
      </c>
      <c r="H89" s="415" t="s">
        <v>2006</v>
      </c>
      <c r="I89" s="524">
        <v>355</v>
      </c>
      <c r="J89" s="524">
        <v>2168</v>
      </c>
      <c r="K89" s="418">
        <v>42736</v>
      </c>
      <c r="L89" s="55">
        <v>44551</v>
      </c>
      <c r="M89" s="524"/>
      <c r="N89" s="524"/>
      <c r="O89" s="524">
        <v>23</v>
      </c>
      <c r="P89" s="524">
        <v>374</v>
      </c>
      <c r="Q89" s="524">
        <v>2</v>
      </c>
      <c r="R89" s="524"/>
      <c r="S89" s="524"/>
      <c r="T89" s="524"/>
      <c r="U89" s="551"/>
      <c r="V89" s="524">
        <v>216</v>
      </c>
      <c r="W89" s="524" t="s">
        <v>130</v>
      </c>
      <c r="X89" s="524"/>
      <c r="Y89" s="524"/>
      <c r="Z89" s="524"/>
      <c r="AA89" s="524"/>
      <c r="AB89" s="524"/>
      <c r="AC89" s="551"/>
      <c r="AD89" s="524">
        <v>112</v>
      </c>
      <c r="AE89" s="524">
        <v>423</v>
      </c>
      <c r="AF89" s="524">
        <v>58</v>
      </c>
      <c r="AG89" s="524">
        <v>65</v>
      </c>
      <c r="AH89" s="524"/>
      <c r="AI89" s="524"/>
      <c r="AJ89" s="524"/>
      <c r="AK89" s="524"/>
      <c r="AL89" s="524"/>
      <c r="AM89" s="524"/>
      <c r="AN89" s="551"/>
      <c r="AO89" s="477"/>
      <c r="AP89" s="477"/>
      <c r="AQ89" s="524"/>
      <c r="AR89" s="524"/>
      <c r="AS89" s="524"/>
      <c r="AT8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89" s="483">
        <f>WWWW[[#This Row],[%Equitable and continuous access to sufficient quantity of safe drinking water]]*WWWW[[#This Row],[Total PoP ]]</f>
        <v>2168</v>
      </c>
      <c r="AV8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89" s="483">
        <f>WWWW[[#This Row],[% Access to unimproved water points]]*WWWW[[#This Row],[Total PoP ]]</f>
        <v>2168</v>
      </c>
      <c r="AX8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8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2168</v>
      </c>
      <c r="AZ89" s="483">
        <f>WWWW[[#This Row],[HRP1]]/250</f>
        <v>8.6720000000000006</v>
      </c>
      <c r="BA89" s="476">
        <f>1-WWWW[[#This Row],[% Equitable and continuous access to sufficient quantity of domestic water]]</f>
        <v>0</v>
      </c>
      <c r="BB89" s="483">
        <f>WWWW[[#This Row],[%equitable and continuous access to sufficient quantity of safe drinking and domestic water''s GAP]]*WWWW[[#This Row],[Total PoP ]]</f>
        <v>0</v>
      </c>
      <c r="BC89" s="478">
        <f>IF(WWWW[[#This Row],[Total required water points]]-WWWW[[#This Row],['#Water points coverage]]&lt;0,0,WWWW[[#This Row],[Total required water points]]-WWWW[[#This Row],['#Water points coverage]])</f>
        <v>0.3279999999999994</v>
      </c>
      <c r="BD89" s="478">
        <f>ROUND(IF(WWWW[[#This Row],[Total PoP ]]&lt;250,1,WWWW[[#This Row],[Total PoP ]]/250),0)</f>
        <v>9</v>
      </c>
      <c r="BE8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0.59778597785977861</v>
      </c>
      <c r="BF89" s="483">
        <f>WWWW[[#This Row],[% people access to functioning Latrine]]*WWWW[[#This Row],[Total PoP ]]</f>
        <v>1296</v>
      </c>
      <c r="BG89" s="478">
        <f>WWWW[[#This Row],['#_of_Functioning_latrines_in_school]]*50</f>
        <v>0</v>
      </c>
      <c r="BH89" s="478">
        <f>ROUND((WWWW[[#This Row],[Total PoP ]]/6),0)</f>
        <v>361</v>
      </c>
      <c r="BI89" s="478">
        <f>IF(WWWW[[#This Row],[Total required Latrines]]-(WWWW[[#This Row],['#_of_sanitary_fly-proof_HH_latrines]])&lt;0,0,WWWW[[#This Row],[Total required Latrines]]-(WWWW[[#This Row],['#_of_sanitary_fly-proof_HH_latrines]]))</f>
        <v>145</v>
      </c>
      <c r="BJ89" s="479">
        <f>1-WWWW[[#This Row],[% people access to functioning Latrine]]</f>
        <v>0.40221402214022139</v>
      </c>
      <c r="BK8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658</v>
      </c>
      <c r="BL89" s="483">
        <f>IF(WWWW[[#This Row],['#_of_functional_handwashing_facilities_at_HH_level]]*6&gt;WWWW[[#This Row],[Total PoP ]],WWWW[[#This Row],[Total PoP ]],WWWW[[#This Row],['#_of_functional_handwashing_facilities_at_HH_level]]*6)</f>
        <v>0</v>
      </c>
      <c r="BM89" s="478">
        <f>IF(WWWW[[#This Row],['# people reached by regular dedicated hygiene promotion]]&gt;WWWW[[#This Row],['# People received regular supply of hygiene items]],WWWW[[#This Row],['# people reached by regular dedicated hygiene promotion]],WWWW[[#This Row],['# People received regular supply of hygiene items]])</f>
        <v>658</v>
      </c>
      <c r="BN89" s="476">
        <f>IF(WWWW[[#This Row],[HRP3]]/WWWW[[#This Row],[Total PoP ]]&gt;100%,100%,WWWW[[#This Row],[HRP3]]/WWWW[[#This Row],[Total PoP ]])</f>
        <v>0.30350553505535055</v>
      </c>
      <c r="BO89" s="479">
        <f>1-WWWW[[#This Row],[Hygiene Coverage%]]</f>
        <v>0.69649446494464939</v>
      </c>
      <c r="BP89" s="477">
        <f>WWWW[[#This Row],['# people reached by regular dedicated hygiene promotion]]/WWWW[[#This Row],[Total PoP ]]</f>
        <v>0.30350553505535055</v>
      </c>
      <c r="BQ8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89" s="478">
        <f>WWWW[[#This Row],['#_of_affected_women_and_girls_receiving_a_sufficient_quantity_of_sanitary_pads]]</f>
        <v>0</v>
      </c>
      <c r="BS89" s="524">
        <f>IF(WWWW[[#This Row],['# People with access to soap]]&gt;WWWW[[#This Row],['# People with access to Sanity Pads]],WWWW[[#This Row],['# People with access to soap]],WWWW[[#This Row],['# People with access to Sanity Pads]])</f>
        <v>0</v>
      </c>
      <c r="BT89" s="483" t="str">
        <f>IF(OR(WWWW[[#This Row],['#of students in school]]="",WWWW[[#This Row],['#of students in school]]=0),"No","Yes")</f>
        <v>No</v>
      </c>
      <c r="BU89" s="480" t="str">
        <f>VLOOKUP(WWWW[[#This Row],[Village  Name]],SiteDB6[[Site Name]:[Location Type 1]],9,FALSE)</f>
        <v>Village</v>
      </c>
      <c r="BV89" s="480" t="str">
        <f>VLOOKUP(WWWW[[#This Row],[Village  Name]],SiteDB6[[Site Name]:[Type of Accommodation]],10,FALSE)</f>
        <v>Village</v>
      </c>
      <c r="BW89" s="480">
        <f>VLOOKUP(WWWW[[#This Row],[Village  Name]],SiteDB6[[Site Name]:[Ethnic or GCA/NGCA]],11,FALSE)</f>
        <v>0</v>
      </c>
      <c r="BX89" s="480">
        <f>VLOOKUP(WWWW[[#This Row],[Village  Name]],SiteDB6[[Site Name]:[Lat]],12,FALSE)</f>
        <v>20.246250152587901</v>
      </c>
      <c r="BY89" s="480">
        <f>VLOOKUP(WWWW[[#This Row],[Village  Name]],SiteDB6[[Site Name]:[Long]],13,FALSE)</f>
        <v>92.822059631347699</v>
      </c>
      <c r="BZ89" s="480">
        <f>VLOOKUP(WWWW[[#This Row],[Village  Name]],SiteDB6[[Site Name]:[Pcode]],3,FALSE)</f>
        <v>196160</v>
      </c>
      <c r="CA89" s="480" t="str">
        <f t="shared" si="4"/>
        <v>Covered</v>
      </c>
      <c r="CB89" s="505"/>
    </row>
    <row r="90" spans="1:80">
      <c r="A90" s="774" t="s">
        <v>3150</v>
      </c>
      <c r="B90" s="774" t="s">
        <v>314</v>
      </c>
      <c r="C90" s="415" t="s">
        <v>314</v>
      </c>
      <c r="D90" s="415" t="s">
        <v>307</v>
      </c>
      <c r="E90" s="415" t="s">
        <v>2648</v>
      </c>
      <c r="F90" s="415" t="s">
        <v>295</v>
      </c>
      <c r="G90" s="644" t="str">
        <f>VLOOKUP(WWWW[[#This Row],[Village  Name]],SiteDB6[[Site Name]:[Location Type]],8,FALSE)</f>
        <v>Village</v>
      </c>
      <c r="H90" s="415" t="s">
        <v>2589</v>
      </c>
      <c r="I90" s="524">
        <v>300</v>
      </c>
      <c r="J90" s="524">
        <v>1369</v>
      </c>
      <c r="K90" s="418">
        <v>42736</v>
      </c>
      <c r="L90" s="55">
        <v>44551</v>
      </c>
      <c r="M90" s="524"/>
      <c r="N90" s="524"/>
      <c r="O90" s="524">
        <v>8</v>
      </c>
      <c r="P90" s="524">
        <v>191</v>
      </c>
      <c r="Q90" s="524">
        <v>4</v>
      </c>
      <c r="R90" s="524"/>
      <c r="S90" s="524"/>
      <c r="T90" s="524"/>
      <c r="U90" s="551"/>
      <c r="V90" s="524">
        <v>219</v>
      </c>
      <c r="W90" s="524" t="s">
        <v>130</v>
      </c>
      <c r="X90" s="524"/>
      <c r="Y90" s="524"/>
      <c r="Z90" s="524"/>
      <c r="AA90" s="524"/>
      <c r="AB90" s="524"/>
      <c r="AC90" s="551"/>
      <c r="AD90" s="524">
        <v>127</v>
      </c>
      <c r="AE90" s="524">
        <v>398</v>
      </c>
      <c r="AF90" s="524">
        <v>44</v>
      </c>
      <c r="AG90" s="524">
        <v>78</v>
      </c>
      <c r="AH90" s="524"/>
      <c r="AI90" s="524"/>
      <c r="AJ90" s="524"/>
      <c r="AK90" s="524"/>
      <c r="AL90" s="524"/>
      <c r="AM90" s="524"/>
      <c r="AN90" s="551"/>
      <c r="AO90" s="477"/>
      <c r="AP90" s="477"/>
      <c r="AQ90" s="524"/>
      <c r="AR90" s="524"/>
      <c r="AS90" s="524"/>
      <c r="AT9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90" s="483">
        <f>WWWW[[#This Row],[%Equitable and continuous access to sufficient quantity of safe drinking water]]*WWWW[[#This Row],[Total PoP ]]</f>
        <v>1369</v>
      </c>
      <c r="AV9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90" s="483">
        <f>WWWW[[#This Row],[% Access to unimproved water points]]*WWWW[[#This Row],[Total PoP ]]</f>
        <v>1369</v>
      </c>
      <c r="AX9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9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1369</v>
      </c>
      <c r="AZ90" s="483">
        <f>WWWW[[#This Row],[HRP1]]/250</f>
        <v>5.476</v>
      </c>
      <c r="BA90" s="476">
        <f>1-WWWW[[#This Row],[% Equitable and continuous access to sufficient quantity of domestic water]]</f>
        <v>0</v>
      </c>
      <c r="BB90" s="483">
        <f>WWWW[[#This Row],[%equitable and continuous access to sufficient quantity of safe drinking and domestic water''s GAP]]*WWWW[[#This Row],[Total PoP ]]</f>
        <v>0</v>
      </c>
      <c r="BC90" s="478">
        <f>IF(WWWW[[#This Row],[Total required water points]]-WWWW[[#This Row],['#Water points coverage]]&lt;0,0,WWWW[[#This Row],[Total required water points]]-WWWW[[#This Row],['#Water points coverage]])</f>
        <v>0</v>
      </c>
      <c r="BD90" s="478">
        <f>ROUND(IF(WWWW[[#This Row],[Total PoP ]]&lt;250,1,WWWW[[#This Row],[Total PoP ]]/250),0)</f>
        <v>5</v>
      </c>
      <c r="BE9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0.95982468955441924</v>
      </c>
      <c r="BF90" s="483">
        <f>WWWW[[#This Row],[% people access to functioning Latrine]]*WWWW[[#This Row],[Total PoP ]]</f>
        <v>1314</v>
      </c>
      <c r="BG90" s="478">
        <f>WWWW[[#This Row],['#_of_Functioning_latrines_in_school]]*50</f>
        <v>0</v>
      </c>
      <c r="BH90" s="478">
        <f>ROUND((WWWW[[#This Row],[Total PoP ]]/6),0)</f>
        <v>228</v>
      </c>
      <c r="BI90" s="478">
        <f>IF(WWWW[[#This Row],[Total required Latrines]]-(WWWW[[#This Row],['#_of_sanitary_fly-proof_HH_latrines]])&lt;0,0,WWWW[[#This Row],[Total required Latrines]]-(WWWW[[#This Row],['#_of_sanitary_fly-proof_HH_latrines]]))</f>
        <v>9</v>
      </c>
      <c r="BJ90" s="479">
        <f>1-WWWW[[#This Row],[% people access to functioning Latrine]]</f>
        <v>4.0175310445580759E-2</v>
      </c>
      <c r="BK9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647</v>
      </c>
      <c r="BL90" s="483">
        <f>IF(WWWW[[#This Row],['#_of_functional_handwashing_facilities_at_HH_level]]*6&gt;WWWW[[#This Row],[Total PoP ]],WWWW[[#This Row],[Total PoP ]],WWWW[[#This Row],['#_of_functional_handwashing_facilities_at_HH_level]]*6)</f>
        <v>0</v>
      </c>
      <c r="BM90" s="478">
        <f>IF(WWWW[[#This Row],['# people reached by regular dedicated hygiene promotion]]&gt;WWWW[[#This Row],['# People received regular supply of hygiene items]],WWWW[[#This Row],['# people reached by regular dedicated hygiene promotion]],WWWW[[#This Row],['# People received regular supply of hygiene items]])</f>
        <v>647</v>
      </c>
      <c r="BN90" s="476">
        <f>IF(WWWW[[#This Row],[HRP3]]/WWWW[[#This Row],[Total PoP ]]&gt;100%,100%,WWWW[[#This Row],[HRP3]]/WWWW[[#This Row],[Total PoP ]])</f>
        <v>0.47260774287801316</v>
      </c>
      <c r="BO90" s="479">
        <f>1-WWWW[[#This Row],[Hygiene Coverage%]]</f>
        <v>0.5273922571219869</v>
      </c>
      <c r="BP90" s="477">
        <f>WWWW[[#This Row],['# people reached by regular dedicated hygiene promotion]]/WWWW[[#This Row],[Total PoP ]]</f>
        <v>0.47260774287801316</v>
      </c>
      <c r="BQ9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90" s="478">
        <f>WWWW[[#This Row],['#_of_affected_women_and_girls_receiving_a_sufficient_quantity_of_sanitary_pads]]</f>
        <v>0</v>
      </c>
      <c r="BS90" s="524">
        <f>IF(WWWW[[#This Row],['# People with access to soap]]&gt;WWWW[[#This Row],['# People with access to Sanity Pads]],WWWW[[#This Row],['# People with access to soap]],WWWW[[#This Row],['# People with access to Sanity Pads]])</f>
        <v>0</v>
      </c>
      <c r="BT90" s="483" t="str">
        <f>IF(OR(WWWW[[#This Row],['#of students in school]]="",WWWW[[#This Row],['#of students in school]]=0),"No","Yes")</f>
        <v>No</v>
      </c>
      <c r="BU90" s="480" t="str">
        <f>VLOOKUP(WWWW[[#This Row],[Village  Name]],SiteDB6[[Site Name]:[Location Type 1]],9,FALSE)</f>
        <v>Village</v>
      </c>
      <c r="BV90" s="480" t="str">
        <f>VLOOKUP(WWWW[[#This Row],[Village  Name]],SiteDB6[[Site Name]:[Type of Accommodation]],10,FALSE)</f>
        <v>Village</v>
      </c>
      <c r="BW90" s="480">
        <f>VLOOKUP(WWWW[[#This Row],[Village  Name]],SiteDB6[[Site Name]:[Ethnic or GCA/NGCA]],11,FALSE)</f>
        <v>0</v>
      </c>
      <c r="BX90" s="480">
        <f>VLOOKUP(WWWW[[#This Row],[Village  Name]],SiteDB6[[Site Name]:[Lat]],12,FALSE)</f>
        <v>20.239799499511701</v>
      </c>
      <c r="BY90" s="480">
        <f>VLOOKUP(WWWW[[#This Row],[Village  Name]],SiteDB6[[Site Name]:[Long]],13,FALSE)</f>
        <v>92.825088500976605</v>
      </c>
      <c r="BZ90" s="480">
        <f>VLOOKUP(WWWW[[#This Row],[Village  Name]],SiteDB6[[Site Name]:[Pcode]],3,FALSE)</f>
        <v>196131</v>
      </c>
      <c r="CA90" s="480" t="str">
        <f t="shared" si="4"/>
        <v>Covered</v>
      </c>
      <c r="CB90" s="505"/>
    </row>
    <row r="91" spans="1:80">
      <c r="A91" s="774" t="s">
        <v>3150</v>
      </c>
      <c r="B91" s="774" t="s">
        <v>314</v>
      </c>
      <c r="C91" s="415" t="s">
        <v>314</v>
      </c>
      <c r="D91" s="415" t="s">
        <v>327</v>
      </c>
      <c r="E91" s="415" t="s">
        <v>2648</v>
      </c>
      <c r="F91" s="415" t="s">
        <v>295</v>
      </c>
      <c r="G91" s="644" t="str">
        <f>VLOOKUP(WWWW[[#This Row],[Village  Name]],SiteDB6[[Site Name]:[Location Type]],8,FALSE)</f>
        <v>Village</v>
      </c>
      <c r="H91" s="415" t="s">
        <v>669</v>
      </c>
      <c r="I91" s="524">
        <v>331</v>
      </c>
      <c r="J91" s="524">
        <v>1473</v>
      </c>
      <c r="K91" s="418">
        <v>42736</v>
      </c>
      <c r="L91" s="55">
        <v>44551</v>
      </c>
      <c r="M91" s="524"/>
      <c r="N91" s="524"/>
      <c r="O91" s="524">
        <v>2</v>
      </c>
      <c r="P91" s="524">
        <v>68</v>
      </c>
      <c r="Q91" s="524">
        <v>2</v>
      </c>
      <c r="R91" s="524"/>
      <c r="S91" s="524"/>
      <c r="T91" s="524"/>
      <c r="U91" s="551"/>
      <c r="V91" s="524">
        <v>79</v>
      </c>
      <c r="W91" s="524" t="s">
        <v>130</v>
      </c>
      <c r="X91" s="524"/>
      <c r="Y91" s="524"/>
      <c r="Z91" s="524"/>
      <c r="AA91" s="524"/>
      <c r="AB91" s="524"/>
      <c r="AC91" s="551"/>
      <c r="AD91" s="524">
        <v>72</v>
      </c>
      <c r="AE91" s="524">
        <v>113</v>
      </c>
      <c r="AF91" s="524">
        <v>34</v>
      </c>
      <c r="AG91" s="524">
        <v>36</v>
      </c>
      <c r="AH91" s="524"/>
      <c r="AI91" s="524"/>
      <c r="AJ91" s="524"/>
      <c r="AK91" s="524"/>
      <c r="AL91" s="524"/>
      <c r="AM91" s="524"/>
      <c r="AN91" s="551"/>
      <c r="AO91" s="477"/>
      <c r="AP91" s="477"/>
      <c r="AQ91" s="524"/>
      <c r="AR91" s="524"/>
      <c r="AS91" s="524"/>
      <c r="AT91"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91" s="483">
        <f>WWWW[[#This Row],[%Equitable and continuous access to sufficient quantity of safe drinking water]]*WWWW[[#This Row],[Total PoP ]]</f>
        <v>1473</v>
      </c>
      <c r="AV91"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91" s="483">
        <f>WWWW[[#This Row],[% Access to unimproved water points]]*WWWW[[#This Row],[Total PoP ]]</f>
        <v>1473</v>
      </c>
      <c r="AX91"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91"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1473</v>
      </c>
      <c r="AZ91" s="483">
        <f>WWWW[[#This Row],[HRP1]]/250</f>
        <v>5.8920000000000003</v>
      </c>
      <c r="BA91" s="476">
        <f>1-WWWW[[#This Row],[% Equitable and continuous access to sufficient quantity of domestic water]]</f>
        <v>0</v>
      </c>
      <c r="BB91" s="483">
        <f>WWWW[[#This Row],[%equitable and continuous access to sufficient quantity of safe drinking and domestic water''s GAP]]*WWWW[[#This Row],[Total PoP ]]</f>
        <v>0</v>
      </c>
      <c r="BC91" s="478">
        <f>IF(WWWW[[#This Row],[Total required water points]]-WWWW[[#This Row],['#Water points coverage]]&lt;0,0,WWWW[[#This Row],[Total required water points]]-WWWW[[#This Row],['#Water points coverage]])</f>
        <v>0.10799999999999965</v>
      </c>
      <c r="BD91" s="478">
        <f>ROUND(IF(WWWW[[#This Row],[Total PoP ]]&lt;250,1,WWWW[[#This Row],[Total PoP ]]/250),0)</f>
        <v>6</v>
      </c>
      <c r="BE9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0.32179226069246436</v>
      </c>
      <c r="BF91" s="483">
        <f>WWWW[[#This Row],[% people access to functioning Latrine]]*WWWW[[#This Row],[Total PoP ]]</f>
        <v>474</v>
      </c>
      <c r="BG91" s="478">
        <f>WWWW[[#This Row],['#_of_Functioning_latrines_in_school]]*50</f>
        <v>0</v>
      </c>
      <c r="BH91" s="478">
        <f>ROUND((WWWW[[#This Row],[Total PoP ]]/6),0)</f>
        <v>246</v>
      </c>
      <c r="BI91" s="478">
        <f>IF(WWWW[[#This Row],[Total required Latrines]]-(WWWW[[#This Row],['#_of_sanitary_fly-proof_HH_latrines]])&lt;0,0,WWWW[[#This Row],[Total required Latrines]]-(WWWW[[#This Row],['#_of_sanitary_fly-proof_HH_latrines]]))</f>
        <v>167</v>
      </c>
      <c r="BJ91" s="479">
        <f>1-WWWW[[#This Row],[% people access to functioning Latrine]]</f>
        <v>0.67820773930753564</v>
      </c>
      <c r="BK91"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255</v>
      </c>
      <c r="BL91" s="483">
        <f>IF(WWWW[[#This Row],['#_of_functional_handwashing_facilities_at_HH_level]]*6&gt;WWWW[[#This Row],[Total PoP ]],WWWW[[#This Row],[Total PoP ]],WWWW[[#This Row],['#_of_functional_handwashing_facilities_at_HH_level]]*6)</f>
        <v>0</v>
      </c>
      <c r="BM91" s="478">
        <f>IF(WWWW[[#This Row],['# people reached by regular dedicated hygiene promotion]]&gt;WWWW[[#This Row],['# People received regular supply of hygiene items]],WWWW[[#This Row],['# people reached by regular dedicated hygiene promotion]],WWWW[[#This Row],['# People received regular supply of hygiene items]])</f>
        <v>255</v>
      </c>
      <c r="BN91" s="476">
        <f>IF(WWWW[[#This Row],[HRP3]]/WWWW[[#This Row],[Total PoP ]]&gt;100%,100%,WWWW[[#This Row],[HRP3]]/WWWW[[#This Row],[Total PoP ]])</f>
        <v>0.17311608961303462</v>
      </c>
      <c r="BO91" s="479">
        <f>1-WWWW[[#This Row],[Hygiene Coverage%]]</f>
        <v>0.8268839103869654</v>
      </c>
      <c r="BP91" s="477">
        <f>WWWW[[#This Row],['# people reached by regular dedicated hygiene promotion]]/WWWW[[#This Row],[Total PoP ]]</f>
        <v>0.17311608961303462</v>
      </c>
      <c r="BQ9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91" s="478">
        <f>WWWW[[#This Row],['#_of_affected_women_and_girls_receiving_a_sufficient_quantity_of_sanitary_pads]]</f>
        <v>0</v>
      </c>
      <c r="BS91" s="524">
        <f>IF(WWWW[[#This Row],['# People with access to soap]]&gt;WWWW[[#This Row],['# People with access to Sanity Pads]],WWWW[[#This Row],['# People with access to soap]],WWWW[[#This Row],['# People with access to Sanity Pads]])</f>
        <v>0</v>
      </c>
      <c r="BT91" s="483" t="str">
        <f>IF(OR(WWWW[[#This Row],['#of students in school]]="",WWWW[[#This Row],['#of students in school]]=0),"No","Yes")</f>
        <v>No</v>
      </c>
      <c r="BU91" s="480" t="str">
        <f>VLOOKUP(WWWW[[#This Row],[Village  Name]],SiteDB6[[Site Name]:[Location Type 1]],9,FALSE)</f>
        <v>Village</v>
      </c>
      <c r="BV91" s="480" t="str">
        <f>VLOOKUP(WWWW[[#This Row],[Village  Name]],SiteDB6[[Site Name]:[Type of Accommodation]],10,FALSE)</f>
        <v>Village</v>
      </c>
      <c r="BW91" s="480">
        <f>VLOOKUP(WWWW[[#This Row],[Village  Name]],SiteDB6[[Site Name]:[Ethnic or GCA/NGCA]],11,FALSE)</f>
        <v>0</v>
      </c>
      <c r="BX91" s="480">
        <f>VLOOKUP(WWWW[[#This Row],[Village  Name]],SiteDB6[[Site Name]:[Lat]],12,FALSE)</f>
        <v>20.128850936889599</v>
      </c>
      <c r="BY91" s="480">
        <f>VLOOKUP(WWWW[[#This Row],[Village  Name]],SiteDB6[[Site Name]:[Long]],13,FALSE)</f>
        <v>92.872497558593807</v>
      </c>
      <c r="BZ91" s="480">
        <f>VLOOKUP(WWWW[[#This Row],[Village  Name]],SiteDB6[[Site Name]:[Pcode]],3,FALSE)</f>
        <v>196208</v>
      </c>
      <c r="CA91" s="480" t="str">
        <f t="shared" si="4"/>
        <v>Covered</v>
      </c>
      <c r="CB91" s="505"/>
    </row>
    <row r="92" spans="1:80">
      <c r="A92" s="774" t="s">
        <v>3150</v>
      </c>
      <c r="B92" s="774" t="s">
        <v>2282</v>
      </c>
      <c r="C92" s="415" t="s">
        <v>2282</v>
      </c>
      <c r="D92" s="415" t="s">
        <v>39</v>
      </c>
      <c r="E92" s="415" t="s">
        <v>2648</v>
      </c>
      <c r="F92" s="415" t="s">
        <v>295</v>
      </c>
      <c r="G92" s="644" t="str">
        <f>VLOOKUP(WWWW[[#This Row],[Village  Name]],SiteDB6[[Site Name]:[Location Type]],8,FALSE)</f>
        <v>Village</v>
      </c>
      <c r="H92" s="415" t="s">
        <v>436</v>
      </c>
      <c r="I92" s="524">
        <v>200</v>
      </c>
      <c r="J92" s="524">
        <v>1065</v>
      </c>
      <c r="K92" s="418">
        <v>43009</v>
      </c>
      <c r="L92" s="55">
        <v>44104</v>
      </c>
      <c r="M92" s="524"/>
      <c r="N92" s="524">
        <v>0</v>
      </c>
      <c r="O92" s="524"/>
      <c r="P92" s="524"/>
      <c r="Q92" s="524"/>
      <c r="R92" s="524"/>
      <c r="S92" s="524"/>
      <c r="T92" s="524"/>
      <c r="U92" s="551"/>
      <c r="V92" s="524"/>
      <c r="W92" s="524"/>
      <c r="X92" s="524"/>
      <c r="Y92" s="524"/>
      <c r="Z92" s="524"/>
      <c r="AA92" s="524"/>
      <c r="AB92" s="524"/>
      <c r="AC92" s="551"/>
      <c r="AD92" s="524"/>
      <c r="AE92" s="524"/>
      <c r="AF92" s="524"/>
      <c r="AG92" s="524"/>
      <c r="AH92" s="524">
        <v>218</v>
      </c>
      <c r="AI92" s="524">
        <v>213</v>
      </c>
      <c r="AJ92" s="524"/>
      <c r="AK92" s="524"/>
      <c r="AL92" s="524"/>
      <c r="AM92" s="524"/>
      <c r="AN92" s="551"/>
      <c r="AO92" s="477"/>
      <c r="AP92" s="477"/>
      <c r="AQ92" s="524"/>
      <c r="AR92" s="524"/>
      <c r="AS92" s="524"/>
      <c r="AT9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92" s="483">
        <f>WWWW[[#This Row],[%Equitable and continuous access to sufficient quantity of safe drinking water]]*WWWW[[#This Row],[Total PoP ]]</f>
        <v>0</v>
      </c>
      <c r="AV9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92" s="483">
        <f>WWWW[[#This Row],[% Access to unimproved water points]]*WWWW[[#This Row],[Total PoP ]]</f>
        <v>0</v>
      </c>
      <c r="AX9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9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92" s="483">
        <f>WWWW[[#This Row],[HRP1]]/250</f>
        <v>0</v>
      </c>
      <c r="BA92" s="476">
        <f>1-WWWW[[#This Row],[% Equitable and continuous access to sufficient quantity of domestic water]]</f>
        <v>1</v>
      </c>
      <c r="BB92" s="483">
        <f>WWWW[[#This Row],[%equitable and continuous access to sufficient quantity of safe drinking and domestic water''s GAP]]*WWWW[[#This Row],[Total PoP ]]</f>
        <v>1065</v>
      </c>
      <c r="BC92" s="478">
        <f>IF(WWWW[[#This Row],[Total required water points]]-WWWW[[#This Row],['#Water points coverage]]&lt;0,0,WWWW[[#This Row],[Total required water points]]-WWWW[[#This Row],['#Water points coverage]])</f>
        <v>4</v>
      </c>
      <c r="BD92" s="478">
        <f>ROUND(IF(WWWW[[#This Row],[Total PoP ]]&lt;250,1,WWWW[[#This Row],[Total PoP ]]/250),0)</f>
        <v>4</v>
      </c>
      <c r="BE9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92" s="483">
        <f>WWWW[[#This Row],[% people access to functioning Latrine]]*WWWW[[#This Row],[Total PoP ]]</f>
        <v>0</v>
      </c>
      <c r="BG92" s="478">
        <f>WWWW[[#This Row],['#_of_Functioning_latrines_in_school]]*50</f>
        <v>0</v>
      </c>
      <c r="BH92" s="478">
        <f>ROUND((WWWW[[#This Row],[Total PoP ]]/6),0)</f>
        <v>178</v>
      </c>
      <c r="BI92" s="478">
        <f>IF(WWWW[[#This Row],[Total required Latrines]]-(WWWW[[#This Row],['#_of_sanitary_fly-proof_HH_latrines]])&lt;0,0,WWWW[[#This Row],[Total required Latrines]]-(WWWW[[#This Row],['#_of_sanitary_fly-proof_HH_latrines]]))</f>
        <v>178</v>
      </c>
      <c r="BJ92" s="479">
        <f>1-WWWW[[#This Row],[% people access to functioning Latrine]]</f>
        <v>1</v>
      </c>
      <c r="BK9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431</v>
      </c>
      <c r="BL92" s="483">
        <f>IF(WWWW[[#This Row],['#_of_functional_handwashing_facilities_at_HH_level]]*6&gt;WWWW[[#This Row],[Total PoP ]],WWWW[[#This Row],[Total PoP ]],WWWW[[#This Row],['#_of_functional_handwashing_facilities_at_HH_level]]*6)</f>
        <v>0</v>
      </c>
      <c r="BM92" s="478">
        <f>IF(WWWW[[#This Row],['# people reached by regular dedicated hygiene promotion]]&gt;WWWW[[#This Row],['# People received regular supply of hygiene items]],WWWW[[#This Row],['# people reached by regular dedicated hygiene promotion]],WWWW[[#This Row],['# People received regular supply of hygiene items]])</f>
        <v>431</v>
      </c>
      <c r="BN92" s="476">
        <f>IF(WWWW[[#This Row],[HRP3]]/WWWW[[#This Row],[Total PoP ]]&gt;100%,100%,WWWW[[#This Row],[HRP3]]/WWWW[[#This Row],[Total PoP ]])</f>
        <v>0.40469483568075115</v>
      </c>
      <c r="BO92" s="479">
        <f>1-WWWW[[#This Row],[Hygiene Coverage%]]</f>
        <v>0.59530516431924885</v>
      </c>
      <c r="BP92" s="477">
        <f>WWWW[[#This Row],['# people reached by regular dedicated hygiene promotion]]/WWWW[[#This Row],[Total PoP ]]</f>
        <v>0.40469483568075115</v>
      </c>
      <c r="BQ9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92" s="478">
        <f>WWWW[[#This Row],['#_of_affected_women_and_girls_receiving_a_sufficient_quantity_of_sanitary_pads]]</f>
        <v>0</v>
      </c>
      <c r="BS92" s="524">
        <f>IF(WWWW[[#This Row],['# People with access to soap]]&gt;WWWW[[#This Row],['# People with access to Sanity Pads]],WWWW[[#This Row],['# People with access to soap]],WWWW[[#This Row],['# People with access to Sanity Pads]])</f>
        <v>0</v>
      </c>
      <c r="BT92" s="483" t="str">
        <f>IF(OR(WWWW[[#This Row],['#of students in school]]="",WWWW[[#This Row],['#of students in school]]=0),"No","Yes")</f>
        <v>No</v>
      </c>
      <c r="BU92" s="480" t="str">
        <f>VLOOKUP(WWWW[[#This Row],[Village  Name]],SiteDB6[[Site Name]:[Location Type 1]],9,FALSE)</f>
        <v>Village</v>
      </c>
      <c r="BV92" s="480" t="str">
        <f>VLOOKUP(WWWW[[#This Row],[Village  Name]],SiteDB6[[Site Name]:[Type of Accommodation]],10,FALSE)</f>
        <v>Village</v>
      </c>
      <c r="BW92" s="480" t="str">
        <f>VLOOKUP(WWWW[[#This Row],[Village  Name]],SiteDB6[[Site Name]:[Ethnic or GCA/NGCA]],11,FALSE)</f>
        <v>Muslim</v>
      </c>
      <c r="BX92" s="480">
        <f>VLOOKUP(WWWW[[#This Row],[Village  Name]],SiteDB6[[Site Name]:[Lat]],12,FALSE)</f>
        <v>20.197549819999999</v>
      </c>
      <c r="BY92" s="480">
        <f>VLOOKUP(WWWW[[#This Row],[Village  Name]],SiteDB6[[Site Name]:[Long]],13,FALSE)</f>
        <v>92.785682679999994</v>
      </c>
      <c r="BZ92" s="480">
        <f>VLOOKUP(WWWW[[#This Row],[Village  Name]],SiteDB6[[Site Name]:[Pcode]],3,FALSE)</f>
        <v>196156</v>
      </c>
      <c r="CA92" s="480" t="str">
        <f t="shared" si="4"/>
        <v>Covered</v>
      </c>
      <c r="CB92" s="505"/>
    </row>
    <row r="93" spans="1:80">
      <c r="A93" s="774" t="s">
        <v>3150</v>
      </c>
      <c r="B93" s="774" t="s">
        <v>314</v>
      </c>
      <c r="C93" s="415" t="s">
        <v>314</v>
      </c>
      <c r="D93" s="415" t="s">
        <v>307</v>
      </c>
      <c r="E93" s="415" t="s">
        <v>2648</v>
      </c>
      <c r="F93" s="415" t="s">
        <v>295</v>
      </c>
      <c r="G93" s="644" t="str">
        <f>VLOOKUP(WWWW[[#This Row],[Village  Name]],SiteDB6[[Site Name]:[Location Type]],8,FALSE)</f>
        <v>Village</v>
      </c>
      <c r="H93" s="415" t="s">
        <v>2590</v>
      </c>
      <c r="I93" s="524">
        <v>326</v>
      </c>
      <c r="J93" s="524">
        <v>4476</v>
      </c>
      <c r="K93" s="418">
        <v>42736</v>
      </c>
      <c r="L93" s="55">
        <v>44551</v>
      </c>
      <c r="M93" s="524"/>
      <c r="N93" s="524"/>
      <c r="O93" s="524">
        <v>5</v>
      </c>
      <c r="P93" s="524">
        <v>153</v>
      </c>
      <c r="Q93" s="524">
        <v>5</v>
      </c>
      <c r="R93" s="524"/>
      <c r="S93" s="524"/>
      <c r="T93" s="524"/>
      <c r="U93" s="551"/>
      <c r="V93" s="524">
        <v>217</v>
      </c>
      <c r="W93" s="524" t="s">
        <v>130</v>
      </c>
      <c r="X93" s="524"/>
      <c r="Y93" s="524"/>
      <c r="Z93" s="524"/>
      <c r="AA93" s="524"/>
      <c r="AB93" s="524"/>
      <c r="AC93" s="551"/>
      <c r="AD93" s="524">
        <v>96</v>
      </c>
      <c r="AE93" s="524">
        <v>411</v>
      </c>
      <c r="AF93" s="524">
        <v>97</v>
      </c>
      <c r="AG93" s="524">
        <v>119</v>
      </c>
      <c r="AH93" s="524"/>
      <c r="AI93" s="524"/>
      <c r="AJ93" s="524"/>
      <c r="AK93" s="524"/>
      <c r="AL93" s="524"/>
      <c r="AM93" s="524"/>
      <c r="AN93" s="551"/>
      <c r="AO93" s="477"/>
      <c r="AP93" s="477"/>
      <c r="AQ93" s="524"/>
      <c r="AR93" s="524"/>
      <c r="AS93" s="524"/>
      <c r="AT93"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93" s="483">
        <f>WWWW[[#This Row],[%Equitable and continuous access to sufficient quantity of safe drinking water]]*WWWW[[#This Row],[Total PoP ]]</f>
        <v>4476</v>
      </c>
      <c r="AV93"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93" s="483">
        <f>WWWW[[#This Row],[% Access to unimproved water points]]*WWWW[[#This Row],[Total PoP ]]</f>
        <v>4476</v>
      </c>
      <c r="AX93"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93"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4476</v>
      </c>
      <c r="AZ93" s="483">
        <f>WWWW[[#This Row],[HRP1]]/250</f>
        <v>17.904</v>
      </c>
      <c r="BA93" s="476">
        <f>1-WWWW[[#This Row],[% Equitable and continuous access to sufficient quantity of domestic water]]</f>
        <v>0</v>
      </c>
      <c r="BB93" s="483">
        <f>WWWW[[#This Row],[%equitable and continuous access to sufficient quantity of safe drinking and domestic water''s GAP]]*WWWW[[#This Row],[Total PoP ]]</f>
        <v>0</v>
      </c>
      <c r="BC93" s="478">
        <f>IF(WWWW[[#This Row],[Total required water points]]-WWWW[[#This Row],['#Water points coverage]]&lt;0,0,WWWW[[#This Row],[Total required water points]]-WWWW[[#This Row],['#Water points coverage]])</f>
        <v>9.6000000000000085E-2</v>
      </c>
      <c r="BD93" s="478">
        <f>ROUND(IF(WWWW[[#This Row],[Total PoP ]]&lt;250,1,WWWW[[#This Row],[Total PoP ]]/250),0)</f>
        <v>18</v>
      </c>
      <c r="BE9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0.29088471849865954</v>
      </c>
      <c r="BF93" s="483">
        <f>WWWW[[#This Row],[% people access to functioning Latrine]]*WWWW[[#This Row],[Total PoP ]]</f>
        <v>1302.0000000000002</v>
      </c>
      <c r="BG93" s="478">
        <f>WWWW[[#This Row],['#_of_Functioning_latrines_in_school]]*50</f>
        <v>0</v>
      </c>
      <c r="BH93" s="478">
        <f>ROUND((WWWW[[#This Row],[Total PoP ]]/6),0)</f>
        <v>746</v>
      </c>
      <c r="BI93" s="478">
        <f>IF(WWWW[[#This Row],[Total required Latrines]]-(WWWW[[#This Row],['#_of_sanitary_fly-proof_HH_latrines]])&lt;0,0,WWWW[[#This Row],[Total required Latrines]]-(WWWW[[#This Row],['#_of_sanitary_fly-proof_HH_latrines]]))</f>
        <v>529</v>
      </c>
      <c r="BJ93" s="479">
        <f>1-WWWW[[#This Row],[% people access to functioning Latrine]]</f>
        <v>0.7091152815013404</v>
      </c>
      <c r="BK93"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723</v>
      </c>
      <c r="BL93" s="483">
        <f>IF(WWWW[[#This Row],['#_of_functional_handwashing_facilities_at_HH_level]]*6&gt;WWWW[[#This Row],[Total PoP ]],WWWW[[#This Row],[Total PoP ]],WWWW[[#This Row],['#_of_functional_handwashing_facilities_at_HH_level]]*6)</f>
        <v>0</v>
      </c>
      <c r="BM93" s="478">
        <f>IF(WWWW[[#This Row],['# people reached by regular dedicated hygiene promotion]]&gt;WWWW[[#This Row],['# People received regular supply of hygiene items]],WWWW[[#This Row],['# people reached by regular dedicated hygiene promotion]],WWWW[[#This Row],['# People received regular supply of hygiene items]])</f>
        <v>723</v>
      </c>
      <c r="BN93" s="476">
        <f>IF(WWWW[[#This Row],[HRP3]]/WWWW[[#This Row],[Total PoP ]]&gt;100%,100%,WWWW[[#This Row],[HRP3]]/WWWW[[#This Row],[Total PoP ]])</f>
        <v>0.16152815013404825</v>
      </c>
      <c r="BO93" s="479">
        <f>1-WWWW[[#This Row],[Hygiene Coverage%]]</f>
        <v>0.8384718498659518</v>
      </c>
      <c r="BP93" s="477">
        <f>WWWW[[#This Row],['# people reached by regular dedicated hygiene promotion]]/WWWW[[#This Row],[Total PoP ]]</f>
        <v>0.16152815013404825</v>
      </c>
      <c r="BQ9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93" s="478">
        <f>WWWW[[#This Row],['#_of_affected_women_and_girls_receiving_a_sufficient_quantity_of_sanitary_pads]]</f>
        <v>0</v>
      </c>
      <c r="BS93" s="524">
        <f>IF(WWWW[[#This Row],['# People with access to soap]]&gt;WWWW[[#This Row],['# People with access to Sanity Pads]],WWWW[[#This Row],['# People with access to soap]],WWWW[[#This Row],['# People with access to Sanity Pads]])</f>
        <v>0</v>
      </c>
      <c r="BT93" s="483" t="str">
        <f>IF(OR(WWWW[[#This Row],['#of students in school]]="",WWWW[[#This Row],['#of students in school]]=0),"No","Yes")</f>
        <v>No</v>
      </c>
      <c r="BU93" s="480" t="str">
        <f>VLOOKUP(WWWW[[#This Row],[Village  Name]],SiteDB6[[Site Name]:[Location Type 1]],9,FALSE)</f>
        <v>Village</v>
      </c>
      <c r="BV93" s="480" t="str">
        <f>VLOOKUP(WWWW[[#This Row],[Village  Name]],SiteDB6[[Site Name]:[Type of Accommodation]],10,FALSE)</f>
        <v>Village</v>
      </c>
      <c r="BW93" s="480">
        <f>VLOOKUP(WWWW[[#This Row],[Village  Name]],SiteDB6[[Site Name]:[Ethnic or GCA/NGCA]],11,FALSE)</f>
        <v>0</v>
      </c>
      <c r="BX93" s="480">
        <f>VLOOKUP(WWWW[[#This Row],[Village  Name]],SiteDB6[[Site Name]:[Lat]],12,FALSE)</f>
        <v>20.142469406127901</v>
      </c>
      <c r="BY93" s="480">
        <f>VLOOKUP(WWWW[[#This Row],[Village  Name]],SiteDB6[[Site Name]:[Long]],13,FALSE)</f>
        <v>92.863967895507798</v>
      </c>
      <c r="BZ93" s="480">
        <f>VLOOKUP(WWWW[[#This Row],[Village  Name]],SiteDB6[[Site Name]:[Pcode]],3,FALSE)</f>
        <v>196203</v>
      </c>
      <c r="CA93" s="480" t="str">
        <f t="shared" si="4"/>
        <v>Covered</v>
      </c>
      <c r="CB93" s="505"/>
    </row>
    <row r="94" spans="1:80">
      <c r="A94" s="774" t="s">
        <v>3150</v>
      </c>
      <c r="B94" s="774" t="s">
        <v>314</v>
      </c>
      <c r="C94" s="415" t="s">
        <v>314</v>
      </c>
      <c r="D94" s="415" t="s">
        <v>307</v>
      </c>
      <c r="E94" s="415" t="s">
        <v>2648</v>
      </c>
      <c r="F94" s="415" t="s">
        <v>295</v>
      </c>
      <c r="G94" s="644" t="str">
        <f>VLOOKUP(WWWW[[#This Row],[Village  Name]],SiteDB6[[Site Name]:[Location Type]],8,FALSE)</f>
        <v>Village</v>
      </c>
      <c r="H94" s="415" t="s">
        <v>2591</v>
      </c>
      <c r="I94" s="524">
        <v>335</v>
      </c>
      <c r="J94" s="524">
        <v>1867</v>
      </c>
      <c r="K94" s="418">
        <v>42736</v>
      </c>
      <c r="L94" s="55">
        <v>44551</v>
      </c>
      <c r="M94" s="524"/>
      <c r="N94" s="524"/>
      <c r="O94" s="524">
        <v>14</v>
      </c>
      <c r="P94" s="524">
        <v>113</v>
      </c>
      <c r="Q94" s="524">
        <v>4</v>
      </c>
      <c r="R94" s="524"/>
      <c r="S94" s="524"/>
      <c r="T94" s="524"/>
      <c r="U94" s="551"/>
      <c r="V94" s="524">
        <v>210</v>
      </c>
      <c r="W94" s="524" t="s">
        <v>130</v>
      </c>
      <c r="X94" s="524"/>
      <c r="Y94" s="524"/>
      <c r="Z94" s="524"/>
      <c r="AA94" s="524"/>
      <c r="AB94" s="524"/>
      <c r="AC94" s="551"/>
      <c r="AD94" s="524">
        <v>217</v>
      </c>
      <c r="AE94" s="524">
        <v>299</v>
      </c>
      <c r="AF94" s="524">
        <v>89</v>
      </c>
      <c r="AG94" s="524">
        <v>87</v>
      </c>
      <c r="AH94" s="524"/>
      <c r="AI94" s="524"/>
      <c r="AJ94" s="524"/>
      <c r="AK94" s="524"/>
      <c r="AL94" s="524"/>
      <c r="AM94" s="524"/>
      <c r="AN94" s="551"/>
      <c r="AO94" s="477"/>
      <c r="AP94" s="477"/>
      <c r="AQ94" s="524"/>
      <c r="AR94" s="524"/>
      <c r="AS94" s="524"/>
      <c r="AT9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94" s="483">
        <f>WWWW[[#This Row],[%Equitable and continuous access to sufficient quantity of safe drinking water]]*WWWW[[#This Row],[Total PoP ]]</f>
        <v>1867</v>
      </c>
      <c r="AV9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94" s="483">
        <f>WWWW[[#This Row],[% Access to unimproved water points]]*WWWW[[#This Row],[Total PoP ]]</f>
        <v>1867</v>
      </c>
      <c r="AX9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9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1867</v>
      </c>
      <c r="AZ94" s="483">
        <f>WWWW[[#This Row],[HRP1]]/250</f>
        <v>7.468</v>
      </c>
      <c r="BA94" s="476">
        <f>1-WWWW[[#This Row],[% Equitable and continuous access to sufficient quantity of domestic water]]</f>
        <v>0</v>
      </c>
      <c r="BB94" s="483">
        <f>WWWW[[#This Row],[%equitable and continuous access to sufficient quantity of safe drinking and domestic water''s GAP]]*WWWW[[#This Row],[Total PoP ]]</f>
        <v>0</v>
      </c>
      <c r="BC94" s="478">
        <f>IF(WWWW[[#This Row],[Total required water points]]-WWWW[[#This Row],['#Water points coverage]]&lt;0,0,WWWW[[#This Row],[Total required water points]]-WWWW[[#This Row],['#Water points coverage]])</f>
        <v>0</v>
      </c>
      <c r="BD94" s="478">
        <f>ROUND(IF(WWWW[[#This Row],[Total PoP ]]&lt;250,1,WWWW[[#This Row],[Total PoP ]]/250),0)</f>
        <v>7</v>
      </c>
      <c r="BE9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0.67487948580610602</v>
      </c>
      <c r="BF94" s="483">
        <f>WWWW[[#This Row],[% people access to functioning Latrine]]*WWWW[[#This Row],[Total PoP ]]</f>
        <v>1260</v>
      </c>
      <c r="BG94" s="478">
        <f>WWWW[[#This Row],['#_of_Functioning_latrines_in_school]]*50</f>
        <v>0</v>
      </c>
      <c r="BH94" s="478">
        <f>ROUND((WWWW[[#This Row],[Total PoP ]]/6),0)</f>
        <v>311</v>
      </c>
      <c r="BI94" s="478">
        <f>IF(WWWW[[#This Row],[Total required Latrines]]-(WWWW[[#This Row],['#_of_sanitary_fly-proof_HH_latrines]])&lt;0,0,WWWW[[#This Row],[Total required Latrines]]-(WWWW[[#This Row],['#_of_sanitary_fly-proof_HH_latrines]]))</f>
        <v>101</v>
      </c>
      <c r="BJ94" s="479">
        <f>1-WWWW[[#This Row],[% people access to functioning Latrine]]</f>
        <v>0.32512051419389398</v>
      </c>
      <c r="BK9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692</v>
      </c>
      <c r="BL94" s="483">
        <f>IF(WWWW[[#This Row],['#_of_functional_handwashing_facilities_at_HH_level]]*6&gt;WWWW[[#This Row],[Total PoP ]],WWWW[[#This Row],[Total PoP ]],WWWW[[#This Row],['#_of_functional_handwashing_facilities_at_HH_level]]*6)</f>
        <v>0</v>
      </c>
      <c r="BM94" s="478">
        <f>IF(WWWW[[#This Row],['# people reached by regular dedicated hygiene promotion]]&gt;WWWW[[#This Row],['# People received regular supply of hygiene items]],WWWW[[#This Row],['# people reached by regular dedicated hygiene promotion]],WWWW[[#This Row],['# People received regular supply of hygiene items]])</f>
        <v>692</v>
      </c>
      <c r="BN94" s="476">
        <f>IF(WWWW[[#This Row],[HRP3]]/WWWW[[#This Row],[Total PoP ]]&gt;100%,100%,WWWW[[#This Row],[HRP3]]/WWWW[[#This Row],[Total PoP ]])</f>
        <v>0.37064809855382969</v>
      </c>
      <c r="BO94" s="479">
        <f>1-WWWW[[#This Row],[Hygiene Coverage%]]</f>
        <v>0.62935190144617037</v>
      </c>
      <c r="BP94" s="477">
        <f>WWWW[[#This Row],['# people reached by regular dedicated hygiene promotion]]/WWWW[[#This Row],[Total PoP ]]</f>
        <v>0.37064809855382969</v>
      </c>
      <c r="BQ9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94" s="478">
        <f>WWWW[[#This Row],['#_of_affected_women_and_girls_receiving_a_sufficient_quantity_of_sanitary_pads]]</f>
        <v>0</v>
      </c>
      <c r="BS94" s="524">
        <f>IF(WWWW[[#This Row],['# People with access to soap]]&gt;WWWW[[#This Row],['# People with access to Sanity Pads]],WWWW[[#This Row],['# People with access to soap]],WWWW[[#This Row],['# People with access to Sanity Pads]])</f>
        <v>0</v>
      </c>
      <c r="BT94" s="483" t="str">
        <f>IF(OR(WWWW[[#This Row],['#of students in school]]="",WWWW[[#This Row],['#of students in school]]=0),"No","Yes")</f>
        <v>No</v>
      </c>
      <c r="BU94" s="480" t="str">
        <f>VLOOKUP(WWWW[[#This Row],[Village  Name]],SiteDB6[[Site Name]:[Location Type 1]],9,FALSE)</f>
        <v>Village</v>
      </c>
      <c r="BV94" s="480" t="str">
        <f>VLOOKUP(WWWW[[#This Row],[Village  Name]],SiteDB6[[Site Name]:[Type of Accommodation]],10,FALSE)</f>
        <v>Village</v>
      </c>
      <c r="BW94" s="480">
        <f>VLOOKUP(WWWW[[#This Row],[Village  Name]],SiteDB6[[Site Name]:[Ethnic or GCA/NGCA]],11,FALSE)</f>
        <v>0</v>
      </c>
      <c r="BX94" s="480">
        <f>VLOOKUP(WWWW[[#This Row],[Village  Name]],SiteDB6[[Site Name]:[Lat]],12,FALSE)</f>
        <v>20.170469284057599</v>
      </c>
      <c r="BY94" s="480">
        <f>VLOOKUP(WWWW[[#This Row],[Village  Name]],SiteDB6[[Site Name]:[Long]],13,FALSE)</f>
        <v>92.8343505859375</v>
      </c>
      <c r="BZ94" s="480">
        <f>VLOOKUP(WWWW[[#This Row],[Village  Name]],SiteDB6[[Site Name]:[Pcode]],3,FALSE)</f>
        <v>196202</v>
      </c>
      <c r="CA94" s="480" t="str">
        <f t="shared" si="4"/>
        <v>Covered</v>
      </c>
      <c r="CB94" s="505"/>
    </row>
    <row r="95" spans="1:80">
      <c r="A95" s="774" t="s">
        <v>3150</v>
      </c>
      <c r="B95" s="774" t="s">
        <v>314</v>
      </c>
      <c r="C95" s="415" t="s">
        <v>314</v>
      </c>
      <c r="D95" s="415" t="s">
        <v>307</v>
      </c>
      <c r="E95" s="415" t="s">
        <v>2648</v>
      </c>
      <c r="F95" s="415" t="s">
        <v>295</v>
      </c>
      <c r="G95" s="644" t="str">
        <f>VLOOKUP(WWWW[[#This Row],[Village  Name]],SiteDB6[[Site Name]:[Location Type]],8,FALSE)</f>
        <v>Village</v>
      </c>
      <c r="H95" s="415" t="s">
        <v>1743</v>
      </c>
      <c r="I95" s="524">
        <v>863</v>
      </c>
      <c r="J95" s="524">
        <v>3768</v>
      </c>
      <c r="K95" s="418">
        <v>42736</v>
      </c>
      <c r="L95" s="55">
        <v>44551</v>
      </c>
      <c r="M95" s="524"/>
      <c r="N95" s="524"/>
      <c r="O95" s="524">
        <v>19</v>
      </c>
      <c r="P95" s="524">
        <v>128</v>
      </c>
      <c r="Q95" s="524">
        <v>6</v>
      </c>
      <c r="R95" s="524"/>
      <c r="S95" s="524"/>
      <c r="T95" s="524"/>
      <c r="U95" s="551"/>
      <c r="V95" s="524">
        <v>199</v>
      </c>
      <c r="W95" s="524" t="s">
        <v>130</v>
      </c>
      <c r="X95" s="524"/>
      <c r="Y95" s="524"/>
      <c r="Z95" s="524"/>
      <c r="AA95" s="524"/>
      <c r="AB95" s="524"/>
      <c r="AC95" s="551"/>
      <c r="AD95" s="524">
        <v>151</v>
      </c>
      <c r="AE95" s="524">
        <v>395</v>
      </c>
      <c r="AF95" s="524">
        <v>17</v>
      </c>
      <c r="AG95" s="524">
        <v>54</v>
      </c>
      <c r="AH95" s="524"/>
      <c r="AI95" s="524"/>
      <c r="AJ95" s="524"/>
      <c r="AK95" s="524"/>
      <c r="AL95" s="524"/>
      <c r="AM95" s="524"/>
      <c r="AN95" s="551"/>
      <c r="AO95" s="477"/>
      <c r="AP95" s="477"/>
      <c r="AQ95" s="524"/>
      <c r="AR95" s="524"/>
      <c r="AS95" s="524"/>
      <c r="AT9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95" s="483">
        <f>WWWW[[#This Row],[%Equitable and continuous access to sufficient quantity of safe drinking water]]*WWWW[[#This Row],[Total PoP ]]</f>
        <v>3768</v>
      </c>
      <c r="AV9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95" s="483">
        <f>WWWW[[#This Row],[% Access to unimproved water points]]*WWWW[[#This Row],[Total PoP ]]</f>
        <v>3768</v>
      </c>
      <c r="AX9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9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3768</v>
      </c>
      <c r="AZ95" s="483">
        <f>WWWW[[#This Row],[HRP1]]/250</f>
        <v>15.071999999999999</v>
      </c>
      <c r="BA95" s="476">
        <f>1-WWWW[[#This Row],[% Equitable and continuous access to sufficient quantity of domestic water]]</f>
        <v>0</v>
      </c>
      <c r="BB95" s="483">
        <f>WWWW[[#This Row],[%equitable and continuous access to sufficient quantity of safe drinking and domestic water''s GAP]]*WWWW[[#This Row],[Total PoP ]]</f>
        <v>0</v>
      </c>
      <c r="BC95" s="478">
        <f>IF(WWWW[[#This Row],[Total required water points]]-WWWW[[#This Row],['#Water points coverage]]&lt;0,0,WWWW[[#This Row],[Total required water points]]-WWWW[[#This Row],['#Water points coverage]])</f>
        <v>0</v>
      </c>
      <c r="BD95" s="478">
        <f>ROUND(IF(WWWW[[#This Row],[Total PoP ]]&lt;250,1,WWWW[[#This Row],[Total PoP ]]/250),0)</f>
        <v>15</v>
      </c>
      <c r="BE9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0.31687898089171973</v>
      </c>
      <c r="BF95" s="483">
        <f>WWWW[[#This Row],[% people access to functioning Latrine]]*WWWW[[#This Row],[Total PoP ]]</f>
        <v>1194</v>
      </c>
      <c r="BG95" s="478">
        <f>WWWW[[#This Row],['#_of_Functioning_latrines_in_school]]*50</f>
        <v>0</v>
      </c>
      <c r="BH95" s="478">
        <f>ROUND((WWWW[[#This Row],[Total PoP ]]/6),0)</f>
        <v>628</v>
      </c>
      <c r="BI95" s="478">
        <f>IF(WWWW[[#This Row],[Total required Latrines]]-(WWWW[[#This Row],['#_of_sanitary_fly-proof_HH_latrines]])&lt;0,0,WWWW[[#This Row],[Total required Latrines]]-(WWWW[[#This Row],['#_of_sanitary_fly-proof_HH_latrines]]))</f>
        <v>429</v>
      </c>
      <c r="BJ95" s="479">
        <f>1-WWWW[[#This Row],[% people access to functioning Latrine]]</f>
        <v>0.68312101910828027</v>
      </c>
      <c r="BK9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617</v>
      </c>
      <c r="BL95" s="483">
        <f>IF(WWWW[[#This Row],['#_of_functional_handwashing_facilities_at_HH_level]]*6&gt;WWWW[[#This Row],[Total PoP ]],WWWW[[#This Row],[Total PoP ]],WWWW[[#This Row],['#_of_functional_handwashing_facilities_at_HH_level]]*6)</f>
        <v>0</v>
      </c>
      <c r="BM95" s="478">
        <f>IF(WWWW[[#This Row],['# people reached by regular dedicated hygiene promotion]]&gt;WWWW[[#This Row],['# People received regular supply of hygiene items]],WWWW[[#This Row],['# people reached by regular dedicated hygiene promotion]],WWWW[[#This Row],['# People received regular supply of hygiene items]])</f>
        <v>617</v>
      </c>
      <c r="BN95" s="476">
        <f>IF(WWWW[[#This Row],[HRP3]]/WWWW[[#This Row],[Total PoP ]]&gt;100%,100%,WWWW[[#This Row],[HRP3]]/WWWW[[#This Row],[Total PoP ]])</f>
        <v>0.16374734607218683</v>
      </c>
      <c r="BO95" s="479">
        <f>1-WWWW[[#This Row],[Hygiene Coverage%]]</f>
        <v>0.83625265392781323</v>
      </c>
      <c r="BP95" s="477">
        <f>WWWW[[#This Row],['# people reached by regular dedicated hygiene promotion]]/WWWW[[#This Row],[Total PoP ]]</f>
        <v>0.16374734607218683</v>
      </c>
      <c r="BQ9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95" s="478">
        <f>WWWW[[#This Row],['#_of_affected_women_and_girls_receiving_a_sufficient_quantity_of_sanitary_pads]]</f>
        <v>0</v>
      </c>
      <c r="BS95" s="524">
        <f>IF(WWWW[[#This Row],['# People with access to soap]]&gt;WWWW[[#This Row],['# People with access to Sanity Pads]],WWWW[[#This Row],['# People with access to soap]],WWWW[[#This Row],['# People with access to Sanity Pads]])</f>
        <v>0</v>
      </c>
      <c r="BT95" s="483" t="str">
        <f>IF(OR(WWWW[[#This Row],['#of students in school]]="",WWWW[[#This Row],['#of students in school]]=0),"No","Yes")</f>
        <v>No</v>
      </c>
      <c r="BU95" s="480" t="str">
        <f>VLOOKUP(WWWW[[#This Row],[Village  Name]],SiteDB6[[Site Name]:[Location Type 1]],9,FALSE)</f>
        <v>Village</v>
      </c>
      <c r="BV95" s="480" t="str">
        <f>VLOOKUP(WWWW[[#This Row],[Village  Name]],SiteDB6[[Site Name]:[Type of Accommodation]],10,FALSE)</f>
        <v>Village</v>
      </c>
      <c r="BW95" s="480">
        <f>VLOOKUP(WWWW[[#This Row],[Village  Name]],SiteDB6[[Site Name]:[Ethnic or GCA/NGCA]],11,FALSE)</f>
        <v>0</v>
      </c>
      <c r="BX95" s="480">
        <f>VLOOKUP(WWWW[[#This Row],[Village  Name]],SiteDB6[[Site Name]:[Lat]],12,FALSE)</f>
        <v>20.168970108032202</v>
      </c>
      <c r="BY95" s="480">
        <f>VLOOKUP(WWWW[[#This Row],[Village  Name]],SiteDB6[[Site Name]:[Long]],13,FALSE)</f>
        <v>92.826896667480497</v>
      </c>
      <c r="BZ95" s="480">
        <f>VLOOKUP(WWWW[[#This Row],[Village  Name]],SiteDB6[[Site Name]:[Pcode]],3,FALSE)</f>
        <v>196206</v>
      </c>
      <c r="CA95" s="480" t="str">
        <f t="shared" si="4"/>
        <v>Covered</v>
      </c>
      <c r="CB95" s="505"/>
    </row>
    <row r="96" spans="1:80">
      <c r="A96" s="774" t="s">
        <v>3150</v>
      </c>
      <c r="B96" s="774" t="s">
        <v>314</v>
      </c>
      <c r="C96" s="415" t="s">
        <v>314</v>
      </c>
      <c r="D96" s="415" t="s">
        <v>307</v>
      </c>
      <c r="E96" s="415" t="s">
        <v>2648</v>
      </c>
      <c r="F96" s="415" t="s">
        <v>295</v>
      </c>
      <c r="G96" s="644" t="str">
        <f>VLOOKUP(WWWW[[#This Row],[Village  Name]],SiteDB6[[Site Name]:[Location Type]],8,FALSE)</f>
        <v>Village</v>
      </c>
      <c r="H96" s="415" t="s">
        <v>2592</v>
      </c>
      <c r="I96" s="524">
        <v>310</v>
      </c>
      <c r="J96" s="524">
        <v>1750</v>
      </c>
      <c r="K96" s="418">
        <v>42736</v>
      </c>
      <c r="L96" s="55">
        <v>44551</v>
      </c>
      <c r="M96" s="524"/>
      <c r="N96" s="524"/>
      <c r="O96" s="524">
        <v>193</v>
      </c>
      <c r="P96" s="524">
        <v>89</v>
      </c>
      <c r="Q96" s="524">
        <v>5</v>
      </c>
      <c r="R96" s="524"/>
      <c r="S96" s="524"/>
      <c r="T96" s="524"/>
      <c r="U96" s="551"/>
      <c r="V96" s="524">
        <v>198</v>
      </c>
      <c r="W96" s="524" t="s">
        <v>130</v>
      </c>
      <c r="X96" s="524"/>
      <c r="Y96" s="524"/>
      <c r="Z96" s="524"/>
      <c r="AA96" s="524"/>
      <c r="AB96" s="524"/>
      <c r="AC96" s="551"/>
      <c r="AD96" s="524">
        <v>114</v>
      </c>
      <c r="AE96" s="524">
        <v>289</v>
      </c>
      <c r="AF96" s="524">
        <v>118</v>
      </c>
      <c r="AG96" s="524">
        <v>183</v>
      </c>
      <c r="AH96" s="524"/>
      <c r="AI96" s="524"/>
      <c r="AJ96" s="524"/>
      <c r="AK96" s="524"/>
      <c r="AL96" s="524"/>
      <c r="AM96" s="524"/>
      <c r="AN96" s="551"/>
      <c r="AO96" s="477"/>
      <c r="AP96" s="477"/>
      <c r="AQ96" s="524"/>
      <c r="AR96" s="524"/>
      <c r="AS96" s="524"/>
      <c r="AT9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96" s="483">
        <f>WWWW[[#This Row],[%Equitable and continuous access to sufficient quantity of safe drinking water]]*WWWW[[#This Row],[Total PoP ]]</f>
        <v>1750</v>
      </c>
      <c r="AV9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96" s="483">
        <f>WWWW[[#This Row],[% Access to unimproved water points]]*WWWW[[#This Row],[Total PoP ]]</f>
        <v>1750</v>
      </c>
      <c r="AX9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9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1750</v>
      </c>
      <c r="AZ96" s="483">
        <f>WWWW[[#This Row],[HRP1]]/250</f>
        <v>7</v>
      </c>
      <c r="BA96" s="476">
        <f>1-WWWW[[#This Row],[% Equitable and continuous access to sufficient quantity of domestic water]]</f>
        <v>0</v>
      </c>
      <c r="BB96" s="483">
        <f>WWWW[[#This Row],[%equitable and continuous access to sufficient quantity of safe drinking and domestic water''s GAP]]*WWWW[[#This Row],[Total PoP ]]</f>
        <v>0</v>
      </c>
      <c r="BC96" s="478">
        <f>IF(WWWW[[#This Row],[Total required water points]]-WWWW[[#This Row],['#Water points coverage]]&lt;0,0,WWWW[[#This Row],[Total required water points]]-WWWW[[#This Row],['#Water points coverage]])</f>
        <v>0</v>
      </c>
      <c r="BD96" s="478">
        <f>ROUND(IF(WWWW[[#This Row],[Total PoP ]]&lt;250,1,WWWW[[#This Row],[Total PoP ]]/250),0)</f>
        <v>7</v>
      </c>
      <c r="BE9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0.67885714285714283</v>
      </c>
      <c r="BF96" s="483">
        <f>WWWW[[#This Row],[% people access to functioning Latrine]]*WWWW[[#This Row],[Total PoP ]]</f>
        <v>1188</v>
      </c>
      <c r="BG96" s="478">
        <f>WWWW[[#This Row],['#_of_Functioning_latrines_in_school]]*50</f>
        <v>0</v>
      </c>
      <c r="BH96" s="478">
        <f>ROUND((WWWW[[#This Row],[Total PoP ]]/6),0)</f>
        <v>292</v>
      </c>
      <c r="BI96" s="478">
        <f>IF(WWWW[[#This Row],[Total required Latrines]]-(WWWW[[#This Row],['#_of_sanitary_fly-proof_HH_latrines]])&lt;0,0,WWWW[[#This Row],[Total required Latrines]]-(WWWW[[#This Row],['#_of_sanitary_fly-proof_HH_latrines]]))</f>
        <v>94</v>
      </c>
      <c r="BJ96" s="479">
        <f>1-WWWW[[#This Row],[% people access to functioning Latrine]]</f>
        <v>0.32114285714285717</v>
      </c>
      <c r="BK9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704</v>
      </c>
      <c r="BL96" s="483">
        <f>IF(WWWW[[#This Row],['#_of_functional_handwashing_facilities_at_HH_level]]*6&gt;WWWW[[#This Row],[Total PoP ]],WWWW[[#This Row],[Total PoP ]],WWWW[[#This Row],['#_of_functional_handwashing_facilities_at_HH_level]]*6)</f>
        <v>0</v>
      </c>
      <c r="BM96" s="478">
        <f>IF(WWWW[[#This Row],['# people reached by regular dedicated hygiene promotion]]&gt;WWWW[[#This Row],['# People received regular supply of hygiene items]],WWWW[[#This Row],['# people reached by regular dedicated hygiene promotion]],WWWW[[#This Row],['# People received regular supply of hygiene items]])</f>
        <v>704</v>
      </c>
      <c r="BN96" s="476">
        <f>IF(WWWW[[#This Row],[HRP3]]/WWWW[[#This Row],[Total PoP ]]&gt;100%,100%,WWWW[[#This Row],[HRP3]]/WWWW[[#This Row],[Total PoP ]])</f>
        <v>0.4022857142857143</v>
      </c>
      <c r="BO96" s="479">
        <f>1-WWWW[[#This Row],[Hygiene Coverage%]]</f>
        <v>0.59771428571428564</v>
      </c>
      <c r="BP96" s="477">
        <f>WWWW[[#This Row],['# people reached by regular dedicated hygiene promotion]]/WWWW[[#This Row],[Total PoP ]]</f>
        <v>0.4022857142857143</v>
      </c>
      <c r="BQ9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96" s="478">
        <f>WWWW[[#This Row],['#_of_affected_women_and_girls_receiving_a_sufficient_quantity_of_sanitary_pads]]</f>
        <v>0</v>
      </c>
      <c r="BS96" s="524">
        <f>IF(WWWW[[#This Row],['# People with access to soap]]&gt;WWWW[[#This Row],['# People with access to Sanity Pads]],WWWW[[#This Row],['# People with access to soap]],WWWW[[#This Row],['# People with access to Sanity Pads]])</f>
        <v>0</v>
      </c>
      <c r="BT96" s="483" t="str">
        <f>IF(OR(WWWW[[#This Row],['#of students in school]]="",WWWW[[#This Row],['#of students in school]]=0),"No","Yes")</f>
        <v>No</v>
      </c>
      <c r="BU96" s="480" t="str">
        <f>VLOOKUP(WWWW[[#This Row],[Village  Name]],SiteDB6[[Site Name]:[Location Type 1]],9,FALSE)</f>
        <v>Village</v>
      </c>
      <c r="BV96" s="480" t="str">
        <f>VLOOKUP(WWWW[[#This Row],[Village  Name]],SiteDB6[[Site Name]:[Type of Accommodation]],10,FALSE)</f>
        <v>Village</v>
      </c>
      <c r="BW96" s="480">
        <f>VLOOKUP(WWWW[[#This Row],[Village  Name]],SiteDB6[[Site Name]:[Ethnic or GCA/NGCA]],11,FALSE)</f>
        <v>0</v>
      </c>
      <c r="BX96" s="480">
        <f>VLOOKUP(WWWW[[#This Row],[Village  Name]],SiteDB6[[Site Name]:[Lat]],12,FALSE)</f>
        <v>0</v>
      </c>
      <c r="BY96" s="480">
        <f>VLOOKUP(WWWW[[#This Row],[Village  Name]],SiteDB6[[Site Name]:[Long]],13,FALSE)</f>
        <v>0</v>
      </c>
      <c r="BZ96" s="480">
        <f>VLOOKUP(WWWW[[#This Row],[Village  Name]],SiteDB6[[Site Name]:[Pcode]],3,FALSE)</f>
        <v>0</v>
      </c>
      <c r="CA96" s="480" t="str">
        <f t="shared" si="4"/>
        <v>Covered</v>
      </c>
      <c r="CB96" s="505"/>
    </row>
    <row r="97" spans="1:80">
      <c r="A97" s="774" t="s">
        <v>3150</v>
      </c>
      <c r="B97" s="774" t="s">
        <v>314</v>
      </c>
      <c r="C97" s="415" t="s">
        <v>314</v>
      </c>
      <c r="D97" s="415" t="s">
        <v>307</v>
      </c>
      <c r="E97" s="415" t="s">
        <v>2648</v>
      </c>
      <c r="F97" s="415" t="s">
        <v>312</v>
      </c>
      <c r="G97" s="644" t="str">
        <f>VLOOKUP(WWWW[[#This Row],[Village  Name]],SiteDB6[[Site Name]:[Location Type]],8,FALSE)</f>
        <v>Village</v>
      </c>
      <c r="H97" s="415" t="s">
        <v>465</v>
      </c>
      <c r="I97" s="524">
        <v>125</v>
      </c>
      <c r="J97" s="524">
        <v>513</v>
      </c>
      <c r="K97" s="418">
        <v>42736</v>
      </c>
      <c r="L97" s="55">
        <v>44551</v>
      </c>
      <c r="M97" s="524"/>
      <c r="N97" s="524"/>
      <c r="O97" s="524">
        <v>16</v>
      </c>
      <c r="P97" s="524">
        <v>96</v>
      </c>
      <c r="Q97" s="524">
        <v>4</v>
      </c>
      <c r="R97" s="524"/>
      <c r="S97" s="524"/>
      <c r="T97" s="524"/>
      <c r="U97" s="551"/>
      <c r="V97" s="524">
        <v>300</v>
      </c>
      <c r="W97" s="524" t="s">
        <v>130</v>
      </c>
      <c r="X97" s="524"/>
      <c r="Y97" s="524"/>
      <c r="Z97" s="524"/>
      <c r="AA97" s="524"/>
      <c r="AB97" s="524"/>
      <c r="AC97" s="551"/>
      <c r="AD97" s="524">
        <v>94</v>
      </c>
      <c r="AE97" s="524">
        <v>416</v>
      </c>
      <c r="AF97" s="524">
        <v>61</v>
      </c>
      <c r="AG97" s="524">
        <v>96</v>
      </c>
      <c r="AH97" s="524"/>
      <c r="AI97" s="524"/>
      <c r="AJ97" s="524"/>
      <c r="AK97" s="524"/>
      <c r="AL97" s="524"/>
      <c r="AM97" s="524"/>
      <c r="AN97" s="551"/>
      <c r="AO97" s="477"/>
      <c r="AP97" s="477"/>
      <c r="AQ97" s="524"/>
      <c r="AR97" s="524"/>
      <c r="AS97" s="524"/>
      <c r="AT9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97" s="483">
        <f>WWWW[[#This Row],[%Equitable and continuous access to sufficient quantity of safe drinking water]]*WWWW[[#This Row],[Total PoP ]]</f>
        <v>513</v>
      </c>
      <c r="AV9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97" s="483">
        <f>WWWW[[#This Row],[% Access to unimproved water points]]*WWWW[[#This Row],[Total PoP ]]</f>
        <v>513</v>
      </c>
      <c r="AX9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9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513</v>
      </c>
      <c r="AZ97" s="483">
        <f>WWWW[[#This Row],[HRP1]]/250</f>
        <v>2.052</v>
      </c>
      <c r="BA97" s="476">
        <f>1-WWWW[[#This Row],[% Equitable and continuous access to sufficient quantity of domestic water]]</f>
        <v>0</v>
      </c>
      <c r="BB97" s="483">
        <f>WWWW[[#This Row],[%equitable and continuous access to sufficient quantity of safe drinking and domestic water''s GAP]]*WWWW[[#This Row],[Total PoP ]]</f>
        <v>0</v>
      </c>
      <c r="BC97" s="478">
        <f>IF(WWWW[[#This Row],[Total required water points]]-WWWW[[#This Row],['#Water points coverage]]&lt;0,0,WWWW[[#This Row],[Total required water points]]-WWWW[[#This Row],['#Water points coverage]])</f>
        <v>0</v>
      </c>
      <c r="BD97" s="478">
        <f>ROUND(IF(WWWW[[#This Row],[Total PoP ]]&lt;250,1,WWWW[[#This Row],[Total PoP ]]/250),0)</f>
        <v>2</v>
      </c>
      <c r="BE9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97" s="483">
        <f>WWWW[[#This Row],[% people access to functioning Latrine]]*WWWW[[#This Row],[Total PoP ]]</f>
        <v>513</v>
      </c>
      <c r="BG97" s="478">
        <f>WWWW[[#This Row],['#_of_Functioning_latrines_in_school]]*50</f>
        <v>0</v>
      </c>
      <c r="BH97" s="478">
        <f>ROUND((WWWW[[#This Row],[Total PoP ]]/6),0)</f>
        <v>86</v>
      </c>
      <c r="BI97" s="478">
        <f>IF(WWWW[[#This Row],[Total required Latrines]]-(WWWW[[#This Row],['#_of_sanitary_fly-proof_HH_latrines]])&lt;0,0,WWWW[[#This Row],[Total required Latrines]]-(WWWW[[#This Row],['#_of_sanitary_fly-proof_HH_latrines]]))</f>
        <v>0</v>
      </c>
      <c r="BJ97" s="479">
        <f>1-WWWW[[#This Row],[% people access to functioning Latrine]]</f>
        <v>0</v>
      </c>
      <c r="BK9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513</v>
      </c>
      <c r="BL97" s="483">
        <f>IF(WWWW[[#This Row],['#_of_functional_handwashing_facilities_at_HH_level]]*6&gt;WWWW[[#This Row],[Total PoP ]],WWWW[[#This Row],[Total PoP ]],WWWW[[#This Row],['#_of_functional_handwashing_facilities_at_HH_level]]*6)</f>
        <v>0</v>
      </c>
      <c r="BM97" s="478">
        <f>IF(WWWW[[#This Row],['# people reached by regular dedicated hygiene promotion]]&gt;WWWW[[#This Row],['# People received regular supply of hygiene items]],WWWW[[#This Row],['# people reached by regular dedicated hygiene promotion]],WWWW[[#This Row],['# People received regular supply of hygiene items]])</f>
        <v>513</v>
      </c>
      <c r="BN97" s="476">
        <f>IF(WWWW[[#This Row],[HRP3]]/WWWW[[#This Row],[Total PoP ]]&gt;100%,100%,WWWW[[#This Row],[HRP3]]/WWWW[[#This Row],[Total PoP ]])</f>
        <v>1</v>
      </c>
      <c r="BO97" s="479">
        <f>1-WWWW[[#This Row],[Hygiene Coverage%]]</f>
        <v>0</v>
      </c>
      <c r="BP97" s="477">
        <f>WWWW[[#This Row],['# people reached by regular dedicated hygiene promotion]]/WWWW[[#This Row],[Total PoP ]]</f>
        <v>1</v>
      </c>
      <c r="BQ9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97" s="478">
        <f>WWWW[[#This Row],['#_of_affected_women_and_girls_receiving_a_sufficient_quantity_of_sanitary_pads]]</f>
        <v>0</v>
      </c>
      <c r="BS97" s="524">
        <f>IF(WWWW[[#This Row],['# People with access to soap]]&gt;WWWW[[#This Row],['# People with access to Sanity Pads]],WWWW[[#This Row],['# People with access to soap]],WWWW[[#This Row],['# People with access to Sanity Pads]])</f>
        <v>0</v>
      </c>
      <c r="BT97" s="483" t="str">
        <f>IF(OR(WWWW[[#This Row],['#of students in school]]="",WWWW[[#This Row],['#of students in school]]=0),"No","Yes")</f>
        <v>No</v>
      </c>
      <c r="BU97" s="480" t="str">
        <f>VLOOKUP(WWWW[[#This Row],[Village  Name]],SiteDB6[[Site Name]:[Location Type 1]],9,FALSE)</f>
        <v>Village</v>
      </c>
      <c r="BV97" s="480" t="str">
        <f>VLOOKUP(WWWW[[#This Row],[Village  Name]],SiteDB6[[Site Name]:[Type of Accommodation]],10,FALSE)</f>
        <v>Returned</v>
      </c>
      <c r="BW97" s="480" t="str">
        <f>VLOOKUP(WWWW[[#This Row],[Village  Name]],SiteDB6[[Site Name]:[Ethnic or GCA/NGCA]],11,FALSE)</f>
        <v>Muslim</v>
      </c>
      <c r="BX97" s="480">
        <f>VLOOKUP(WWWW[[#This Row],[Village  Name]],SiteDB6[[Site Name]:[Lat]],12,FALSE)</f>
        <v>20.39902</v>
      </c>
      <c r="BY97" s="480">
        <f>VLOOKUP(WWWW[[#This Row],[Village  Name]],SiteDB6[[Site Name]:[Long]],13,FALSE)</f>
        <v>93.249669999999995</v>
      </c>
      <c r="BZ97" s="480" t="str">
        <f>VLOOKUP(WWWW[[#This Row],[Village  Name]],SiteDB6[[Site Name]:[Pcode]],3,FALSE)</f>
        <v>MMR012CMP003</v>
      </c>
      <c r="CA97" s="480" t="str">
        <f t="shared" si="4"/>
        <v>Covered</v>
      </c>
      <c r="CB97" s="505"/>
    </row>
    <row r="98" spans="1:80">
      <c r="A98" s="774" t="s">
        <v>3150</v>
      </c>
      <c r="B98" s="774" t="s">
        <v>314</v>
      </c>
      <c r="C98" s="415" t="s">
        <v>314</v>
      </c>
      <c r="D98" s="415" t="s">
        <v>327</v>
      </c>
      <c r="E98" s="415" t="s">
        <v>2648</v>
      </c>
      <c r="F98" s="415" t="s">
        <v>295</v>
      </c>
      <c r="G98" s="644" t="str">
        <f>VLOOKUP(WWWW[[#This Row],[Village  Name]],SiteDB6[[Site Name]:[Location Type]],8,FALSE)</f>
        <v>Village</v>
      </c>
      <c r="H98" s="415" t="s">
        <v>2593</v>
      </c>
      <c r="I98" s="524">
        <v>92</v>
      </c>
      <c r="J98" s="524">
        <v>715</v>
      </c>
      <c r="K98" s="418">
        <v>42736</v>
      </c>
      <c r="L98" s="55">
        <v>44551</v>
      </c>
      <c r="M98" s="524"/>
      <c r="N98" s="524"/>
      <c r="O98" s="524">
        <v>114</v>
      </c>
      <c r="P98" s="524">
        <v>348</v>
      </c>
      <c r="Q98" s="524">
        <v>4</v>
      </c>
      <c r="R98" s="524"/>
      <c r="S98" s="524"/>
      <c r="T98" s="524"/>
      <c r="U98" s="551"/>
      <c r="V98" s="524">
        <v>514</v>
      </c>
      <c r="W98" s="524" t="s">
        <v>130</v>
      </c>
      <c r="X98" s="524"/>
      <c r="Y98" s="524"/>
      <c r="Z98" s="524"/>
      <c r="AA98" s="524"/>
      <c r="AB98" s="524"/>
      <c r="AC98" s="551"/>
      <c r="AD98" s="524">
        <v>127</v>
      </c>
      <c r="AE98" s="524">
        <v>398</v>
      </c>
      <c r="AF98" s="524">
        <v>162</v>
      </c>
      <c r="AG98" s="524">
        <v>155</v>
      </c>
      <c r="AH98" s="524"/>
      <c r="AI98" s="524"/>
      <c r="AJ98" s="524"/>
      <c r="AK98" s="524"/>
      <c r="AL98" s="524"/>
      <c r="AM98" s="524"/>
      <c r="AN98" s="551"/>
      <c r="AO98" s="477"/>
      <c r="AP98" s="477"/>
      <c r="AQ98" s="524"/>
      <c r="AR98" s="524"/>
      <c r="AS98" s="524"/>
      <c r="AT9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98" s="483">
        <f>WWWW[[#This Row],[%Equitable and continuous access to sufficient quantity of safe drinking water]]*WWWW[[#This Row],[Total PoP ]]</f>
        <v>715</v>
      </c>
      <c r="AV9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98" s="483">
        <f>WWWW[[#This Row],[% Access to unimproved water points]]*WWWW[[#This Row],[Total PoP ]]</f>
        <v>715</v>
      </c>
      <c r="AX9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9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715</v>
      </c>
      <c r="AZ98" s="483">
        <f>WWWW[[#This Row],[HRP1]]/250</f>
        <v>2.86</v>
      </c>
      <c r="BA98" s="476">
        <f>1-WWWW[[#This Row],[% Equitable and continuous access to sufficient quantity of domestic water]]</f>
        <v>0</v>
      </c>
      <c r="BB98" s="483">
        <f>WWWW[[#This Row],[%equitable and continuous access to sufficient quantity of safe drinking and domestic water''s GAP]]*WWWW[[#This Row],[Total PoP ]]</f>
        <v>0</v>
      </c>
      <c r="BC98" s="478">
        <f>IF(WWWW[[#This Row],[Total required water points]]-WWWW[[#This Row],['#Water points coverage]]&lt;0,0,WWWW[[#This Row],[Total required water points]]-WWWW[[#This Row],['#Water points coverage]])</f>
        <v>0.14000000000000012</v>
      </c>
      <c r="BD98" s="478">
        <f>ROUND(IF(WWWW[[#This Row],[Total PoP ]]&lt;250,1,WWWW[[#This Row],[Total PoP ]]/250),0)</f>
        <v>3</v>
      </c>
      <c r="BE9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98" s="483">
        <f>WWWW[[#This Row],[% people access to functioning Latrine]]*WWWW[[#This Row],[Total PoP ]]</f>
        <v>715</v>
      </c>
      <c r="BG98" s="478">
        <f>WWWW[[#This Row],['#_of_Functioning_latrines_in_school]]*50</f>
        <v>0</v>
      </c>
      <c r="BH98" s="478">
        <f>ROUND((WWWW[[#This Row],[Total PoP ]]/6),0)</f>
        <v>119</v>
      </c>
      <c r="BI98" s="478">
        <f>IF(WWWW[[#This Row],[Total required Latrines]]-(WWWW[[#This Row],['#_of_sanitary_fly-proof_HH_latrines]])&lt;0,0,WWWW[[#This Row],[Total required Latrines]]-(WWWW[[#This Row],['#_of_sanitary_fly-proof_HH_latrines]]))</f>
        <v>0</v>
      </c>
      <c r="BJ98" s="479">
        <f>1-WWWW[[#This Row],[% people access to functioning Latrine]]</f>
        <v>0</v>
      </c>
      <c r="BK9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715</v>
      </c>
      <c r="BL98" s="483">
        <f>IF(WWWW[[#This Row],['#_of_functional_handwashing_facilities_at_HH_level]]*6&gt;WWWW[[#This Row],[Total PoP ]],WWWW[[#This Row],[Total PoP ]],WWWW[[#This Row],['#_of_functional_handwashing_facilities_at_HH_level]]*6)</f>
        <v>0</v>
      </c>
      <c r="BM98" s="478">
        <f>IF(WWWW[[#This Row],['# people reached by regular dedicated hygiene promotion]]&gt;WWWW[[#This Row],['# People received regular supply of hygiene items]],WWWW[[#This Row],['# people reached by regular dedicated hygiene promotion]],WWWW[[#This Row],['# People received regular supply of hygiene items]])</f>
        <v>715</v>
      </c>
      <c r="BN98" s="476">
        <f>IF(WWWW[[#This Row],[HRP3]]/WWWW[[#This Row],[Total PoP ]]&gt;100%,100%,WWWW[[#This Row],[HRP3]]/WWWW[[#This Row],[Total PoP ]])</f>
        <v>1</v>
      </c>
      <c r="BO98" s="479">
        <f>1-WWWW[[#This Row],[Hygiene Coverage%]]</f>
        <v>0</v>
      </c>
      <c r="BP98" s="477">
        <f>WWWW[[#This Row],['# people reached by regular dedicated hygiene promotion]]/WWWW[[#This Row],[Total PoP ]]</f>
        <v>1</v>
      </c>
      <c r="BQ9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98" s="478">
        <f>WWWW[[#This Row],['#_of_affected_women_and_girls_receiving_a_sufficient_quantity_of_sanitary_pads]]</f>
        <v>0</v>
      </c>
      <c r="BS98" s="524">
        <f>IF(WWWW[[#This Row],['# People with access to soap]]&gt;WWWW[[#This Row],['# People with access to Sanity Pads]],WWWW[[#This Row],['# People with access to soap]],WWWW[[#This Row],['# People with access to Sanity Pads]])</f>
        <v>0</v>
      </c>
      <c r="BT98" s="483" t="str">
        <f>IF(OR(WWWW[[#This Row],['#of students in school]]="",WWWW[[#This Row],['#of students in school]]=0),"No","Yes")</f>
        <v>No</v>
      </c>
      <c r="BU98" s="480" t="str">
        <f>VLOOKUP(WWWW[[#This Row],[Village  Name]],SiteDB6[[Site Name]:[Location Type 1]],9,FALSE)</f>
        <v>Village</v>
      </c>
      <c r="BV98" s="480" t="str">
        <f>VLOOKUP(WWWW[[#This Row],[Village  Name]],SiteDB6[[Site Name]:[Type of Accommodation]],10,FALSE)</f>
        <v>Village</v>
      </c>
      <c r="BW98" s="480">
        <f>VLOOKUP(WWWW[[#This Row],[Village  Name]],SiteDB6[[Site Name]:[Ethnic or GCA/NGCA]],11,FALSE)</f>
        <v>0</v>
      </c>
      <c r="BX98" s="480">
        <f>VLOOKUP(WWWW[[#This Row],[Village  Name]],SiteDB6[[Site Name]:[Lat]],12,FALSE)</f>
        <v>20.172649383544901</v>
      </c>
      <c r="BY98" s="480">
        <f>VLOOKUP(WWWW[[#This Row],[Village  Name]],SiteDB6[[Site Name]:[Long]],13,FALSE)</f>
        <v>92.874351501464801</v>
      </c>
      <c r="BZ98" s="480">
        <f>VLOOKUP(WWWW[[#This Row],[Village  Name]],SiteDB6[[Site Name]:[Pcode]],3,FALSE)</f>
        <v>196195</v>
      </c>
      <c r="CA98" s="480" t="str">
        <f t="shared" si="4"/>
        <v>Covered</v>
      </c>
      <c r="CB98" s="505"/>
    </row>
    <row r="99" spans="1:80">
      <c r="A99" s="774" t="s">
        <v>3150</v>
      </c>
      <c r="B99" s="774" t="s">
        <v>314</v>
      </c>
      <c r="C99" s="415" t="s">
        <v>314</v>
      </c>
      <c r="D99" s="415" t="s">
        <v>327</v>
      </c>
      <c r="E99" s="415" t="s">
        <v>2648</v>
      </c>
      <c r="F99" s="415" t="s">
        <v>295</v>
      </c>
      <c r="G99" s="644" t="str">
        <f>VLOOKUP(WWWW[[#This Row],[Village  Name]],SiteDB6[[Site Name]:[Location Type]],8,FALSE)</f>
        <v>Village</v>
      </c>
      <c r="H99" s="415" t="s">
        <v>2595</v>
      </c>
      <c r="I99" s="524">
        <v>2100</v>
      </c>
      <c r="J99" s="524">
        <v>12993</v>
      </c>
      <c r="K99" s="418">
        <v>42736</v>
      </c>
      <c r="L99" s="55">
        <v>44551</v>
      </c>
      <c r="M99" s="524"/>
      <c r="N99" s="524"/>
      <c r="O99" s="524">
        <v>12</v>
      </c>
      <c r="P99" s="524">
        <v>97</v>
      </c>
      <c r="Q99" s="524">
        <v>2</v>
      </c>
      <c r="R99" s="524"/>
      <c r="S99" s="524"/>
      <c r="T99" s="524"/>
      <c r="U99" s="551"/>
      <c r="V99" s="524">
        <v>218</v>
      </c>
      <c r="W99" s="524" t="s">
        <v>130</v>
      </c>
      <c r="X99" s="524"/>
      <c r="Y99" s="524"/>
      <c r="Z99" s="524"/>
      <c r="AA99" s="524"/>
      <c r="AB99" s="524"/>
      <c r="AC99" s="551"/>
      <c r="AD99" s="524">
        <v>246</v>
      </c>
      <c r="AE99" s="524">
        <v>217</v>
      </c>
      <c r="AF99" s="524">
        <v>78</v>
      </c>
      <c r="AG99" s="524">
        <v>127</v>
      </c>
      <c r="AH99" s="524"/>
      <c r="AI99" s="524"/>
      <c r="AJ99" s="524"/>
      <c r="AK99" s="524"/>
      <c r="AL99" s="524"/>
      <c r="AM99" s="524"/>
      <c r="AN99" s="551"/>
      <c r="AO99" s="477"/>
      <c r="AP99" s="477"/>
      <c r="AQ99" s="524"/>
      <c r="AR99" s="524"/>
      <c r="AS99" s="524"/>
      <c r="AT9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99" s="483">
        <f>WWWW[[#This Row],[%Equitable and continuous access to sufficient quantity of safe drinking water]]*WWWW[[#This Row],[Total PoP ]]</f>
        <v>12993</v>
      </c>
      <c r="AV9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99" s="483">
        <f>WWWW[[#This Row],[% Access to unimproved water points]]*WWWW[[#This Row],[Total PoP ]]</f>
        <v>12993</v>
      </c>
      <c r="AX9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9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12993</v>
      </c>
      <c r="AZ99" s="483">
        <f>WWWW[[#This Row],[HRP1]]/250</f>
        <v>51.972000000000001</v>
      </c>
      <c r="BA99" s="476">
        <f>1-WWWW[[#This Row],[% Equitable and continuous access to sufficient quantity of domestic water]]</f>
        <v>0</v>
      </c>
      <c r="BB99" s="483">
        <f>WWWW[[#This Row],[%equitable and continuous access to sufficient quantity of safe drinking and domestic water''s GAP]]*WWWW[[#This Row],[Total PoP ]]</f>
        <v>0</v>
      </c>
      <c r="BC99" s="478">
        <f>IF(WWWW[[#This Row],[Total required water points]]-WWWW[[#This Row],['#Water points coverage]]&lt;0,0,WWWW[[#This Row],[Total required water points]]-WWWW[[#This Row],['#Water points coverage]])</f>
        <v>2.7999999999998693E-2</v>
      </c>
      <c r="BD99" s="478">
        <f>ROUND(IF(WWWW[[#This Row],[Total PoP ]]&lt;250,1,WWWW[[#This Row],[Total PoP ]]/250),0)</f>
        <v>52</v>
      </c>
      <c r="BE9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0.10066959131840221</v>
      </c>
      <c r="BF99" s="483">
        <f>WWWW[[#This Row],[% people access to functioning Latrine]]*WWWW[[#This Row],[Total PoP ]]</f>
        <v>1308</v>
      </c>
      <c r="BG99" s="478">
        <f>WWWW[[#This Row],['#_of_Functioning_latrines_in_school]]*50</f>
        <v>0</v>
      </c>
      <c r="BH99" s="478">
        <f>ROUND((WWWW[[#This Row],[Total PoP ]]/6),0)</f>
        <v>2166</v>
      </c>
      <c r="BI99" s="478">
        <f>IF(WWWW[[#This Row],[Total required Latrines]]-(WWWW[[#This Row],['#_of_sanitary_fly-proof_HH_latrines]])&lt;0,0,WWWW[[#This Row],[Total required Latrines]]-(WWWW[[#This Row],['#_of_sanitary_fly-proof_HH_latrines]]))</f>
        <v>1948</v>
      </c>
      <c r="BJ99" s="479">
        <f>1-WWWW[[#This Row],[% people access to functioning Latrine]]</f>
        <v>0.89933040868159775</v>
      </c>
      <c r="BK9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668</v>
      </c>
      <c r="BL99" s="483">
        <f>IF(WWWW[[#This Row],['#_of_functional_handwashing_facilities_at_HH_level]]*6&gt;WWWW[[#This Row],[Total PoP ]],WWWW[[#This Row],[Total PoP ]],WWWW[[#This Row],['#_of_functional_handwashing_facilities_at_HH_level]]*6)</f>
        <v>0</v>
      </c>
      <c r="BM99" s="478">
        <f>IF(WWWW[[#This Row],['# people reached by regular dedicated hygiene promotion]]&gt;WWWW[[#This Row],['# People received regular supply of hygiene items]],WWWW[[#This Row],['# people reached by regular dedicated hygiene promotion]],WWWW[[#This Row],['# People received regular supply of hygiene items]])</f>
        <v>668</v>
      </c>
      <c r="BN99" s="476">
        <f>IF(WWWW[[#This Row],[HRP3]]/WWWW[[#This Row],[Total PoP ]]&gt;100%,100%,WWWW[[#This Row],[HRP3]]/WWWW[[#This Row],[Total PoP ]])</f>
        <v>5.1412298930193182E-2</v>
      </c>
      <c r="BO99" s="479">
        <f>1-WWWW[[#This Row],[Hygiene Coverage%]]</f>
        <v>0.94858770106980683</v>
      </c>
      <c r="BP99" s="477">
        <f>WWWW[[#This Row],['# people reached by regular dedicated hygiene promotion]]/WWWW[[#This Row],[Total PoP ]]</f>
        <v>5.1412298930193182E-2</v>
      </c>
      <c r="BQ9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99" s="478">
        <f>WWWW[[#This Row],['#_of_affected_women_and_girls_receiving_a_sufficient_quantity_of_sanitary_pads]]</f>
        <v>0</v>
      </c>
      <c r="BS99" s="524">
        <f>IF(WWWW[[#This Row],['# People with access to soap]]&gt;WWWW[[#This Row],['# People with access to Sanity Pads]],WWWW[[#This Row],['# People with access to soap]],WWWW[[#This Row],['# People with access to Sanity Pads]])</f>
        <v>0</v>
      </c>
      <c r="BT99" s="483" t="str">
        <f>IF(OR(WWWW[[#This Row],['#of students in school]]="",WWWW[[#This Row],['#of students in school]]=0),"No","Yes")</f>
        <v>No</v>
      </c>
      <c r="BU99" s="480" t="str">
        <f>VLOOKUP(WWWW[[#This Row],[Village  Name]],SiteDB6[[Site Name]:[Location Type 1]],9,FALSE)</f>
        <v>Village</v>
      </c>
      <c r="BV99" s="480" t="str">
        <f>VLOOKUP(WWWW[[#This Row],[Village  Name]],SiteDB6[[Site Name]:[Type of Accommodation]],10,FALSE)</f>
        <v>Village</v>
      </c>
      <c r="BW99" s="480" t="str">
        <f>VLOOKUP(WWWW[[#This Row],[Village  Name]],SiteDB6[[Site Name]:[Ethnic or GCA/NGCA]],11,FALSE)</f>
        <v>Muslim</v>
      </c>
      <c r="BX99" s="480">
        <f>VLOOKUP(WWWW[[#This Row],[Village  Name]],SiteDB6[[Site Name]:[Lat]],12,FALSE)</f>
        <v>0</v>
      </c>
      <c r="BY99" s="480">
        <f>VLOOKUP(WWWW[[#This Row],[Village  Name]],SiteDB6[[Site Name]:[Long]],13,FALSE)</f>
        <v>0</v>
      </c>
      <c r="BZ99" s="480">
        <f>VLOOKUP(WWWW[[#This Row],[Village  Name]],SiteDB6[[Site Name]:[Pcode]],3,FALSE)</f>
        <v>0</v>
      </c>
      <c r="CA99" s="480" t="str">
        <f t="shared" si="4"/>
        <v>Covered</v>
      </c>
      <c r="CB99" s="505"/>
    </row>
    <row r="100" spans="1:80">
      <c r="A100" s="774" t="s">
        <v>3150</v>
      </c>
      <c r="B100" s="774" t="s">
        <v>314</v>
      </c>
      <c r="C100" s="415" t="s">
        <v>314</v>
      </c>
      <c r="D100" s="415" t="s">
        <v>307</v>
      </c>
      <c r="E100" s="415" t="s">
        <v>2648</v>
      </c>
      <c r="F100" s="415" t="s">
        <v>312</v>
      </c>
      <c r="G100" s="644" t="str">
        <f>VLOOKUP(WWWW[[#This Row],[Village  Name]],SiteDB6[[Site Name]:[Location Type]],8,FALSE)</f>
        <v>Village</v>
      </c>
      <c r="H100" s="415" t="s">
        <v>1133</v>
      </c>
      <c r="I100" s="524">
        <v>325</v>
      </c>
      <c r="J100" s="524">
        <v>1923</v>
      </c>
      <c r="K100" s="418">
        <v>42736</v>
      </c>
      <c r="L100" s="55">
        <v>44551</v>
      </c>
      <c r="M100" s="524"/>
      <c r="N100" s="524"/>
      <c r="O100" s="524">
        <v>14</v>
      </c>
      <c r="P100" s="524">
        <v>48</v>
      </c>
      <c r="Q100" s="524">
        <v>3</v>
      </c>
      <c r="R100" s="524"/>
      <c r="S100" s="524"/>
      <c r="T100" s="524"/>
      <c r="U100" s="551"/>
      <c r="V100" s="524">
        <v>112</v>
      </c>
      <c r="W100" s="524" t="s">
        <v>130</v>
      </c>
      <c r="X100" s="524"/>
      <c r="Y100" s="524"/>
      <c r="Z100" s="524"/>
      <c r="AA100" s="524"/>
      <c r="AB100" s="524"/>
      <c r="AC100" s="551"/>
      <c r="AD100" s="524"/>
      <c r="AE100" s="524"/>
      <c r="AF100" s="524"/>
      <c r="AG100" s="524"/>
      <c r="AH100" s="524"/>
      <c r="AI100" s="524"/>
      <c r="AJ100" s="524"/>
      <c r="AK100" s="524"/>
      <c r="AL100" s="524"/>
      <c r="AM100" s="524"/>
      <c r="AN100" s="551"/>
      <c r="AO100" s="477"/>
      <c r="AP100" s="477"/>
      <c r="AQ100" s="524"/>
      <c r="AR100" s="524"/>
      <c r="AS100" s="524"/>
      <c r="AT10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00" s="483">
        <f>WWWW[[#This Row],[%Equitable and continuous access to sufficient quantity of safe drinking water]]*WWWW[[#This Row],[Total PoP ]]</f>
        <v>1923</v>
      </c>
      <c r="AV10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00" s="483">
        <f>WWWW[[#This Row],[% Access to unimproved water points]]*WWWW[[#This Row],[Total PoP ]]</f>
        <v>1923</v>
      </c>
      <c r="AX10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0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1923</v>
      </c>
      <c r="AZ100" s="483">
        <f>WWWW[[#This Row],[HRP1]]/250</f>
        <v>7.6920000000000002</v>
      </c>
      <c r="BA100" s="476">
        <f>1-WWWW[[#This Row],[% Equitable and continuous access to sufficient quantity of domestic water]]</f>
        <v>0</v>
      </c>
      <c r="BB100" s="483">
        <f>WWWW[[#This Row],[%equitable and continuous access to sufficient quantity of safe drinking and domestic water''s GAP]]*WWWW[[#This Row],[Total PoP ]]</f>
        <v>0</v>
      </c>
      <c r="BC100" s="478">
        <f>IF(WWWW[[#This Row],[Total required water points]]-WWWW[[#This Row],['#Water points coverage]]&lt;0,0,WWWW[[#This Row],[Total required water points]]-WWWW[[#This Row],['#Water points coverage]])</f>
        <v>0.30799999999999983</v>
      </c>
      <c r="BD100" s="478">
        <f>ROUND(IF(WWWW[[#This Row],[Total PoP ]]&lt;250,1,WWWW[[#This Row],[Total PoP ]]/250),0)</f>
        <v>8</v>
      </c>
      <c r="BE10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0.34945397815912638</v>
      </c>
      <c r="BF100" s="483">
        <f>WWWW[[#This Row],[% people access to functioning Latrine]]*WWWW[[#This Row],[Total PoP ]]</f>
        <v>672</v>
      </c>
      <c r="BG100" s="478">
        <f>WWWW[[#This Row],['#_of_Functioning_latrines_in_school]]*50</f>
        <v>0</v>
      </c>
      <c r="BH100" s="478">
        <f>ROUND((WWWW[[#This Row],[Total PoP ]]/6),0)</f>
        <v>321</v>
      </c>
      <c r="BI100" s="478">
        <f>IF(WWWW[[#This Row],[Total required Latrines]]-(WWWW[[#This Row],['#_of_sanitary_fly-proof_HH_latrines]])&lt;0,0,WWWW[[#This Row],[Total required Latrines]]-(WWWW[[#This Row],['#_of_sanitary_fly-proof_HH_latrines]]))</f>
        <v>209</v>
      </c>
      <c r="BJ100" s="479">
        <f>1-WWWW[[#This Row],[% people access to functioning Latrine]]</f>
        <v>0.65054602184087362</v>
      </c>
      <c r="BK10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00" s="483">
        <f>IF(WWWW[[#This Row],['#_of_functional_handwashing_facilities_at_HH_level]]*6&gt;WWWW[[#This Row],[Total PoP ]],WWWW[[#This Row],[Total PoP ]],WWWW[[#This Row],['#_of_functional_handwashing_facilities_at_HH_level]]*6)</f>
        <v>0</v>
      </c>
      <c r="BM100" s="478">
        <f>IF(WWWW[[#This Row],['# people reached by regular dedicated hygiene promotion]]&gt;WWWW[[#This Row],['# People received regular supply of hygiene items]],WWWW[[#This Row],['# people reached by regular dedicated hygiene promotion]],WWWW[[#This Row],['# People received regular supply of hygiene items]])</f>
        <v>0</v>
      </c>
      <c r="BN100" s="476">
        <f>IF(WWWW[[#This Row],[HRP3]]/WWWW[[#This Row],[Total PoP ]]&gt;100%,100%,WWWW[[#This Row],[HRP3]]/WWWW[[#This Row],[Total PoP ]])</f>
        <v>0</v>
      </c>
      <c r="BO100" s="479">
        <f>1-WWWW[[#This Row],[Hygiene Coverage%]]</f>
        <v>1</v>
      </c>
      <c r="BP100" s="477">
        <f>WWWW[[#This Row],['# people reached by regular dedicated hygiene promotion]]/WWWW[[#This Row],[Total PoP ]]</f>
        <v>0</v>
      </c>
      <c r="BQ10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00" s="478">
        <f>WWWW[[#This Row],['#_of_affected_women_and_girls_receiving_a_sufficient_quantity_of_sanitary_pads]]</f>
        <v>0</v>
      </c>
      <c r="BS100" s="524">
        <f>IF(WWWW[[#This Row],['# People with access to soap]]&gt;WWWW[[#This Row],['# People with access to Sanity Pads]],WWWW[[#This Row],['# People with access to soap]],WWWW[[#This Row],['# People with access to Sanity Pads]])</f>
        <v>0</v>
      </c>
      <c r="BT100" s="483" t="str">
        <f>IF(OR(WWWW[[#This Row],['#of students in school]]="",WWWW[[#This Row],['#of students in school]]=0),"No","Yes")</f>
        <v>No</v>
      </c>
      <c r="BU100" s="480" t="str">
        <f>VLOOKUP(WWWW[[#This Row],[Village  Name]],SiteDB6[[Site Name]:[Location Type 1]],9,FALSE)</f>
        <v>Village</v>
      </c>
      <c r="BV100" s="480" t="str">
        <f>VLOOKUP(WWWW[[#This Row],[Village  Name]],SiteDB6[[Site Name]:[Type of Accommodation]],10,FALSE)</f>
        <v>Village</v>
      </c>
      <c r="BW100" s="480" t="str">
        <f>VLOOKUP(WWWW[[#This Row],[Village  Name]],SiteDB6[[Site Name]:[Ethnic or GCA/NGCA]],11,FALSE)</f>
        <v>Muslim</v>
      </c>
      <c r="BX100" s="480">
        <f>VLOOKUP(WWWW[[#This Row],[Village  Name]],SiteDB6[[Site Name]:[Lat]],12,FALSE)</f>
        <v>0</v>
      </c>
      <c r="BY100" s="480">
        <f>VLOOKUP(WWWW[[#This Row],[Village  Name]],SiteDB6[[Site Name]:[Long]],13,FALSE)</f>
        <v>0</v>
      </c>
      <c r="BZ100" s="480">
        <f>VLOOKUP(WWWW[[#This Row],[Village  Name]],SiteDB6[[Site Name]:[Pcode]],3,FALSE)</f>
        <v>196999</v>
      </c>
      <c r="CA100" s="480" t="str">
        <f t="shared" si="4"/>
        <v>Covered</v>
      </c>
      <c r="CB100" s="505"/>
    </row>
    <row r="101" spans="1:80">
      <c r="A101" s="774" t="s">
        <v>3150</v>
      </c>
      <c r="B101" s="774" t="s">
        <v>314</v>
      </c>
      <c r="C101" s="415" t="s">
        <v>314</v>
      </c>
      <c r="D101" s="415" t="s">
        <v>307</v>
      </c>
      <c r="E101" s="415" t="s">
        <v>2648</v>
      </c>
      <c r="F101" s="415" t="s">
        <v>312</v>
      </c>
      <c r="G101" s="644" t="str">
        <f>VLOOKUP(WWWW[[#This Row],[Village  Name]],SiteDB6[[Site Name]:[Location Type]],8,FALSE)</f>
        <v>Village</v>
      </c>
      <c r="H101" s="415" t="s">
        <v>2596</v>
      </c>
      <c r="I101" s="524">
        <v>146</v>
      </c>
      <c r="J101" s="524">
        <v>801</v>
      </c>
      <c r="K101" s="418">
        <v>42736</v>
      </c>
      <c r="L101" s="55">
        <v>44551</v>
      </c>
      <c r="M101" s="524"/>
      <c r="N101" s="524"/>
      <c r="O101" s="524">
        <v>17</v>
      </c>
      <c r="P101" s="524">
        <v>43</v>
      </c>
      <c r="Q101" s="524">
        <v>2</v>
      </c>
      <c r="R101" s="524"/>
      <c r="S101" s="524"/>
      <c r="T101" s="524"/>
      <c r="U101" s="551"/>
      <c r="V101" s="524">
        <v>78</v>
      </c>
      <c r="W101" s="524" t="s">
        <v>130</v>
      </c>
      <c r="X101" s="524"/>
      <c r="Y101" s="524"/>
      <c r="Z101" s="524"/>
      <c r="AA101" s="524"/>
      <c r="AB101" s="524"/>
      <c r="AC101" s="551"/>
      <c r="AD101" s="524">
        <v>118</v>
      </c>
      <c r="AE101" s="524">
        <v>216</v>
      </c>
      <c r="AF101" s="524">
        <v>46</v>
      </c>
      <c r="AG101" s="524">
        <v>65</v>
      </c>
      <c r="AH101" s="524"/>
      <c r="AI101" s="524"/>
      <c r="AJ101" s="524"/>
      <c r="AK101" s="524"/>
      <c r="AL101" s="524"/>
      <c r="AM101" s="524"/>
      <c r="AN101" s="551"/>
      <c r="AO101" s="477"/>
      <c r="AP101" s="477"/>
      <c r="AQ101" s="524"/>
      <c r="AR101" s="524"/>
      <c r="AS101" s="524"/>
      <c r="AT101"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01" s="483">
        <f>WWWW[[#This Row],[%Equitable and continuous access to sufficient quantity of safe drinking water]]*WWWW[[#This Row],[Total PoP ]]</f>
        <v>801</v>
      </c>
      <c r="AV101"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01" s="483">
        <f>WWWW[[#This Row],[% Access to unimproved water points]]*WWWW[[#This Row],[Total PoP ]]</f>
        <v>801</v>
      </c>
      <c r="AX101"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01"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801</v>
      </c>
      <c r="AZ101" s="483">
        <f>WWWW[[#This Row],[HRP1]]/250</f>
        <v>3.2040000000000002</v>
      </c>
      <c r="BA101" s="476">
        <f>1-WWWW[[#This Row],[% Equitable and continuous access to sufficient quantity of domestic water]]</f>
        <v>0</v>
      </c>
      <c r="BB101" s="483">
        <f>WWWW[[#This Row],[%equitable and continuous access to sufficient quantity of safe drinking and domestic water''s GAP]]*WWWW[[#This Row],[Total PoP ]]</f>
        <v>0</v>
      </c>
      <c r="BC101" s="478">
        <f>IF(WWWW[[#This Row],[Total required water points]]-WWWW[[#This Row],['#Water points coverage]]&lt;0,0,WWWW[[#This Row],[Total required water points]]-WWWW[[#This Row],['#Water points coverage]])</f>
        <v>0</v>
      </c>
      <c r="BD101" s="478">
        <f>ROUND(IF(WWWW[[#This Row],[Total PoP ]]&lt;250,1,WWWW[[#This Row],[Total PoP ]]/250),0)</f>
        <v>3</v>
      </c>
      <c r="BE10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0.5842696629213483</v>
      </c>
      <c r="BF101" s="483">
        <f>WWWW[[#This Row],[% people access to functioning Latrine]]*WWWW[[#This Row],[Total PoP ]]</f>
        <v>468</v>
      </c>
      <c r="BG101" s="478">
        <f>WWWW[[#This Row],['#_of_Functioning_latrines_in_school]]*50</f>
        <v>0</v>
      </c>
      <c r="BH101" s="478">
        <f>ROUND((WWWW[[#This Row],[Total PoP ]]/6),0)</f>
        <v>134</v>
      </c>
      <c r="BI101" s="478">
        <f>IF(WWWW[[#This Row],[Total required Latrines]]-(WWWW[[#This Row],['#_of_sanitary_fly-proof_HH_latrines]])&lt;0,0,WWWW[[#This Row],[Total required Latrines]]-(WWWW[[#This Row],['#_of_sanitary_fly-proof_HH_latrines]]))</f>
        <v>56</v>
      </c>
      <c r="BJ101" s="479">
        <f>1-WWWW[[#This Row],[% people access to functioning Latrine]]</f>
        <v>0.4157303370786517</v>
      </c>
      <c r="BK101"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445</v>
      </c>
      <c r="BL101" s="483">
        <f>IF(WWWW[[#This Row],['#_of_functional_handwashing_facilities_at_HH_level]]*6&gt;WWWW[[#This Row],[Total PoP ]],WWWW[[#This Row],[Total PoP ]],WWWW[[#This Row],['#_of_functional_handwashing_facilities_at_HH_level]]*6)</f>
        <v>0</v>
      </c>
      <c r="BM101" s="478">
        <f>IF(WWWW[[#This Row],['# people reached by regular dedicated hygiene promotion]]&gt;WWWW[[#This Row],['# People received regular supply of hygiene items]],WWWW[[#This Row],['# people reached by regular dedicated hygiene promotion]],WWWW[[#This Row],['# People received regular supply of hygiene items]])</f>
        <v>445</v>
      </c>
      <c r="BN101" s="476">
        <f>IF(WWWW[[#This Row],[HRP3]]/WWWW[[#This Row],[Total PoP ]]&gt;100%,100%,WWWW[[#This Row],[HRP3]]/WWWW[[#This Row],[Total PoP ]])</f>
        <v>0.55555555555555558</v>
      </c>
      <c r="BO101" s="479">
        <f>1-WWWW[[#This Row],[Hygiene Coverage%]]</f>
        <v>0.44444444444444442</v>
      </c>
      <c r="BP101" s="477">
        <f>WWWW[[#This Row],['# people reached by regular dedicated hygiene promotion]]/WWWW[[#This Row],[Total PoP ]]</f>
        <v>0.55555555555555558</v>
      </c>
      <c r="BQ10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01" s="478">
        <f>WWWW[[#This Row],['#_of_affected_women_and_girls_receiving_a_sufficient_quantity_of_sanitary_pads]]</f>
        <v>0</v>
      </c>
      <c r="BS101" s="524">
        <f>IF(WWWW[[#This Row],['# People with access to soap]]&gt;WWWW[[#This Row],['# People with access to Sanity Pads]],WWWW[[#This Row],['# People with access to soap]],WWWW[[#This Row],['# People with access to Sanity Pads]])</f>
        <v>0</v>
      </c>
      <c r="BT101" s="483" t="str">
        <f>IF(OR(WWWW[[#This Row],['#of students in school]]="",WWWW[[#This Row],['#of students in school]]=0),"No","Yes")</f>
        <v>No</v>
      </c>
      <c r="BU101" s="480" t="str">
        <f>VLOOKUP(WWWW[[#This Row],[Village  Name]],SiteDB6[[Site Name]:[Location Type 1]],9,FALSE)</f>
        <v>Village</v>
      </c>
      <c r="BV101" s="480" t="str">
        <f>VLOOKUP(WWWW[[#This Row],[Village  Name]],SiteDB6[[Site Name]:[Type of Accommodation]],10,FALSE)</f>
        <v>Village</v>
      </c>
      <c r="BW101" s="480">
        <f>VLOOKUP(WWWW[[#This Row],[Village  Name]],SiteDB6[[Site Name]:[Ethnic or GCA/NGCA]],11,FALSE)</f>
        <v>0</v>
      </c>
      <c r="BX101" s="480">
        <f>VLOOKUP(WWWW[[#This Row],[Village  Name]],SiteDB6[[Site Name]:[Lat]],12,FALSE)</f>
        <v>20.3927307128906</v>
      </c>
      <c r="BY101" s="480">
        <f>VLOOKUP(WWWW[[#This Row],[Village  Name]],SiteDB6[[Site Name]:[Long]],13,FALSE)</f>
        <v>93.304817199707003</v>
      </c>
      <c r="BZ101" s="480">
        <f>VLOOKUP(WWWW[[#This Row],[Village  Name]],SiteDB6[[Site Name]:[Pcode]],3,FALSE)</f>
        <v>197017</v>
      </c>
      <c r="CA101" s="480" t="str">
        <f t="shared" si="4"/>
        <v>Covered</v>
      </c>
      <c r="CB101" s="505"/>
    </row>
    <row r="102" spans="1:80">
      <c r="A102" s="774" t="s">
        <v>3150</v>
      </c>
      <c r="B102" s="774" t="s">
        <v>314</v>
      </c>
      <c r="C102" s="415" t="s">
        <v>314</v>
      </c>
      <c r="D102" s="415" t="s">
        <v>307</v>
      </c>
      <c r="E102" s="415" t="s">
        <v>2648</v>
      </c>
      <c r="F102" s="415" t="s">
        <v>312</v>
      </c>
      <c r="G102" s="644" t="str">
        <f>VLOOKUP(WWWW[[#This Row],[Village  Name]],SiteDB6[[Site Name]:[Location Type]],8,FALSE)</f>
        <v>Village</v>
      </c>
      <c r="H102" s="415" t="s">
        <v>2597</v>
      </c>
      <c r="I102" s="524">
        <v>31</v>
      </c>
      <c r="J102" s="524">
        <v>156</v>
      </c>
      <c r="K102" s="418">
        <v>42736</v>
      </c>
      <c r="L102" s="55">
        <v>44551</v>
      </c>
      <c r="M102" s="524"/>
      <c r="N102" s="524"/>
      <c r="O102" s="524">
        <v>18</v>
      </c>
      <c r="P102" s="524">
        <v>116</v>
      </c>
      <c r="Q102" s="524">
        <v>4</v>
      </c>
      <c r="R102" s="524"/>
      <c r="S102" s="524"/>
      <c r="T102" s="524"/>
      <c r="U102" s="551"/>
      <c r="V102" s="524">
        <v>298</v>
      </c>
      <c r="W102" s="524" t="s">
        <v>130</v>
      </c>
      <c r="X102" s="524"/>
      <c r="Y102" s="524"/>
      <c r="Z102" s="524"/>
      <c r="AA102" s="524"/>
      <c r="AB102" s="524"/>
      <c r="AC102" s="551"/>
      <c r="AD102" s="524">
        <v>164</v>
      </c>
      <c r="AE102" s="524">
        <v>289</v>
      </c>
      <c r="AF102" s="524">
        <v>69</v>
      </c>
      <c r="AG102" s="524">
        <v>99</v>
      </c>
      <c r="AH102" s="524"/>
      <c r="AI102" s="524"/>
      <c r="AJ102" s="524"/>
      <c r="AK102" s="524"/>
      <c r="AL102" s="524"/>
      <c r="AM102" s="524"/>
      <c r="AN102" s="551"/>
      <c r="AO102" s="477"/>
      <c r="AP102" s="477"/>
      <c r="AQ102" s="524"/>
      <c r="AR102" s="524"/>
      <c r="AS102" s="524"/>
      <c r="AT10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02" s="483">
        <f>WWWW[[#This Row],[%Equitable and continuous access to sufficient quantity of safe drinking water]]*WWWW[[#This Row],[Total PoP ]]</f>
        <v>156</v>
      </c>
      <c r="AV10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02" s="483">
        <f>WWWW[[#This Row],[% Access to unimproved water points]]*WWWW[[#This Row],[Total PoP ]]</f>
        <v>156</v>
      </c>
      <c r="AX10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0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156</v>
      </c>
      <c r="AZ102" s="483">
        <f>WWWW[[#This Row],[HRP1]]/250</f>
        <v>0.624</v>
      </c>
      <c r="BA102" s="476">
        <f>1-WWWW[[#This Row],[% Equitable and continuous access to sufficient quantity of domestic water]]</f>
        <v>0</v>
      </c>
      <c r="BB102" s="483">
        <f>WWWW[[#This Row],[%equitable and continuous access to sufficient quantity of safe drinking and domestic water''s GAP]]*WWWW[[#This Row],[Total PoP ]]</f>
        <v>0</v>
      </c>
      <c r="BC102" s="478">
        <f>IF(WWWW[[#This Row],[Total required water points]]-WWWW[[#This Row],['#Water points coverage]]&lt;0,0,WWWW[[#This Row],[Total required water points]]-WWWW[[#This Row],['#Water points coverage]])</f>
        <v>0.376</v>
      </c>
      <c r="BD102" s="478">
        <f>ROUND(IF(WWWW[[#This Row],[Total PoP ]]&lt;250,1,WWWW[[#This Row],[Total PoP ]]/250),0)</f>
        <v>1</v>
      </c>
      <c r="BE10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02" s="483">
        <f>WWWW[[#This Row],[% people access to functioning Latrine]]*WWWW[[#This Row],[Total PoP ]]</f>
        <v>156</v>
      </c>
      <c r="BG102" s="478">
        <f>WWWW[[#This Row],['#_of_Functioning_latrines_in_school]]*50</f>
        <v>0</v>
      </c>
      <c r="BH102" s="478">
        <f>ROUND((WWWW[[#This Row],[Total PoP ]]/6),0)</f>
        <v>26</v>
      </c>
      <c r="BI102" s="478">
        <f>IF(WWWW[[#This Row],[Total required Latrines]]-(WWWW[[#This Row],['#_of_sanitary_fly-proof_HH_latrines]])&lt;0,0,WWWW[[#This Row],[Total required Latrines]]-(WWWW[[#This Row],['#_of_sanitary_fly-proof_HH_latrines]]))</f>
        <v>0</v>
      </c>
      <c r="BJ102" s="479">
        <f>1-WWWW[[#This Row],[% people access to functioning Latrine]]</f>
        <v>0</v>
      </c>
      <c r="BK10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156</v>
      </c>
      <c r="BL102" s="483">
        <f>IF(WWWW[[#This Row],['#_of_functional_handwashing_facilities_at_HH_level]]*6&gt;WWWW[[#This Row],[Total PoP ]],WWWW[[#This Row],[Total PoP ]],WWWW[[#This Row],['#_of_functional_handwashing_facilities_at_HH_level]]*6)</f>
        <v>0</v>
      </c>
      <c r="BM102" s="478">
        <f>IF(WWWW[[#This Row],['# people reached by regular dedicated hygiene promotion]]&gt;WWWW[[#This Row],['# People received regular supply of hygiene items]],WWWW[[#This Row],['# people reached by regular dedicated hygiene promotion]],WWWW[[#This Row],['# People received regular supply of hygiene items]])</f>
        <v>156</v>
      </c>
      <c r="BN102" s="476">
        <f>IF(WWWW[[#This Row],[HRP3]]/WWWW[[#This Row],[Total PoP ]]&gt;100%,100%,WWWW[[#This Row],[HRP3]]/WWWW[[#This Row],[Total PoP ]])</f>
        <v>1</v>
      </c>
      <c r="BO102" s="479">
        <f>1-WWWW[[#This Row],[Hygiene Coverage%]]</f>
        <v>0</v>
      </c>
      <c r="BP102" s="477">
        <f>WWWW[[#This Row],['# people reached by regular dedicated hygiene promotion]]/WWWW[[#This Row],[Total PoP ]]</f>
        <v>1</v>
      </c>
      <c r="BQ10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02" s="478">
        <f>WWWW[[#This Row],['#_of_affected_women_and_girls_receiving_a_sufficient_quantity_of_sanitary_pads]]</f>
        <v>0</v>
      </c>
      <c r="BS102" s="524">
        <f>IF(WWWW[[#This Row],['# People with access to soap]]&gt;WWWW[[#This Row],['# People with access to Sanity Pads]],WWWW[[#This Row],['# People with access to soap]],WWWW[[#This Row],['# People with access to Sanity Pads]])</f>
        <v>0</v>
      </c>
      <c r="BT102" s="483" t="str">
        <f>IF(OR(WWWW[[#This Row],['#of students in school]]="",WWWW[[#This Row],['#of students in school]]=0),"No","Yes")</f>
        <v>No</v>
      </c>
      <c r="BU102" s="480" t="str">
        <f>VLOOKUP(WWWW[[#This Row],[Village  Name]],SiteDB6[[Site Name]:[Location Type 1]],9,FALSE)</f>
        <v>Village</v>
      </c>
      <c r="BV102" s="480" t="str">
        <f>VLOOKUP(WWWW[[#This Row],[Village  Name]],SiteDB6[[Site Name]:[Type of Accommodation]],10,FALSE)</f>
        <v>Village</v>
      </c>
      <c r="BW102" s="480">
        <f>VLOOKUP(WWWW[[#This Row],[Village  Name]],SiteDB6[[Site Name]:[Ethnic or GCA/NGCA]],11,FALSE)</f>
        <v>0</v>
      </c>
      <c r="BX102" s="480">
        <f>VLOOKUP(WWWW[[#This Row],[Village  Name]],SiteDB6[[Site Name]:[Lat]],12,FALSE)</f>
        <v>20.406982421875</v>
      </c>
      <c r="BY102" s="480">
        <f>VLOOKUP(WWWW[[#This Row],[Village  Name]],SiteDB6[[Site Name]:[Long]],13,FALSE)</f>
        <v>93.312507629394503</v>
      </c>
      <c r="BZ102" s="480">
        <f>VLOOKUP(WWWW[[#This Row],[Village  Name]],SiteDB6[[Site Name]:[Pcode]],3,FALSE)</f>
        <v>197022</v>
      </c>
      <c r="CA102" s="480" t="str">
        <f t="shared" si="4"/>
        <v>Covered</v>
      </c>
      <c r="CB102" s="505"/>
    </row>
    <row r="103" spans="1:80">
      <c r="A103" s="774" t="s">
        <v>3150</v>
      </c>
      <c r="B103" s="774" t="s">
        <v>314</v>
      </c>
      <c r="C103" s="415" t="s">
        <v>314</v>
      </c>
      <c r="D103" s="415" t="s">
        <v>307</v>
      </c>
      <c r="E103" s="415" t="s">
        <v>2648</v>
      </c>
      <c r="F103" s="415" t="s">
        <v>312</v>
      </c>
      <c r="G103" s="644" t="str">
        <f>VLOOKUP(WWWW[[#This Row],[Village  Name]],SiteDB6[[Site Name]:[Location Type]],8,FALSE)</f>
        <v>Village</v>
      </c>
      <c r="H103" s="415" t="s">
        <v>2598</v>
      </c>
      <c r="I103" s="524">
        <v>96</v>
      </c>
      <c r="J103" s="524">
        <v>329</v>
      </c>
      <c r="K103" s="418">
        <v>42736</v>
      </c>
      <c r="L103" s="55">
        <v>44551</v>
      </c>
      <c r="M103" s="524"/>
      <c r="N103" s="524"/>
      <c r="O103" s="524">
        <v>28</v>
      </c>
      <c r="P103" s="524">
        <v>826</v>
      </c>
      <c r="Q103" s="524">
        <v>7</v>
      </c>
      <c r="R103" s="524"/>
      <c r="S103" s="524"/>
      <c r="T103" s="524"/>
      <c r="U103" s="551"/>
      <c r="V103" s="524">
        <v>1408</v>
      </c>
      <c r="W103" s="524" t="s">
        <v>130</v>
      </c>
      <c r="X103" s="524"/>
      <c r="Y103" s="524"/>
      <c r="Z103" s="524"/>
      <c r="AA103" s="524"/>
      <c r="AB103" s="524"/>
      <c r="AC103" s="551"/>
      <c r="AD103" s="524">
        <v>579</v>
      </c>
      <c r="AE103" s="524">
        <v>458</v>
      </c>
      <c r="AF103" s="524">
        <v>256</v>
      </c>
      <c r="AG103" s="524">
        <v>287</v>
      </c>
      <c r="AH103" s="524"/>
      <c r="AI103" s="524"/>
      <c r="AJ103" s="524"/>
      <c r="AK103" s="524"/>
      <c r="AL103" s="524"/>
      <c r="AM103" s="524"/>
      <c r="AN103" s="551"/>
      <c r="AO103" s="477"/>
      <c r="AP103" s="477"/>
      <c r="AQ103" s="524"/>
      <c r="AR103" s="524"/>
      <c r="AS103" s="524"/>
      <c r="AT103"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03" s="483">
        <f>WWWW[[#This Row],[%Equitable and continuous access to sufficient quantity of safe drinking water]]*WWWW[[#This Row],[Total PoP ]]</f>
        <v>329</v>
      </c>
      <c r="AV103"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03" s="483">
        <f>WWWW[[#This Row],[% Access to unimproved water points]]*WWWW[[#This Row],[Total PoP ]]</f>
        <v>329</v>
      </c>
      <c r="AX103"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03"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329</v>
      </c>
      <c r="AZ103" s="483">
        <f>WWWW[[#This Row],[HRP1]]/250</f>
        <v>1.3160000000000001</v>
      </c>
      <c r="BA103" s="476">
        <f>1-WWWW[[#This Row],[% Equitable and continuous access to sufficient quantity of domestic water]]</f>
        <v>0</v>
      </c>
      <c r="BB103" s="483">
        <f>WWWW[[#This Row],[%equitable and continuous access to sufficient quantity of safe drinking and domestic water''s GAP]]*WWWW[[#This Row],[Total PoP ]]</f>
        <v>0</v>
      </c>
      <c r="BC103" s="478">
        <f>IF(WWWW[[#This Row],[Total required water points]]-WWWW[[#This Row],['#Water points coverage]]&lt;0,0,WWWW[[#This Row],[Total required water points]]-WWWW[[#This Row],['#Water points coverage]])</f>
        <v>0</v>
      </c>
      <c r="BD103" s="478">
        <f>ROUND(IF(WWWW[[#This Row],[Total PoP ]]&lt;250,1,WWWW[[#This Row],[Total PoP ]]/250),0)</f>
        <v>1</v>
      </c>
      <c r="BE10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03" s="483">
        <f>WWWW[[#This Row],[% people access to functioning Latrine]]*WWWW[[#This Row],[Total PoP ]]</f>
        <v>329</v>
      </c>
      <c r="BG103" s="478">
        <f>WWWW[[#This Row],['#_of_Functioning_latrines_in_school]]*50</f>
        <v>0</v>
      </c>
      <c r="BH103" s="478">
        <f>ROUND((WWWW[[#This Row],[Total PoP ]]/6),0)</f>
        <v>55</v>
      </c>
      <c r="BI103" s="478">
        <f>IF(WWWW[[#This Row],[Total required Latrines]]-(WWWW[[#This Row],['#_of_sanitary_fly-proof_HH_latrines]])&lt;0,0,WWWW[[#This Row],[Total required Latrines]]-(WWWW[[#This Row],['#_of_sanitary_fly-proof_HH_latrines]]))</f>
        <v>0</v>
      </c>
      <c r="BJ103" s="479">
        <f>1-WWWW[[#This Row],[% people access to functioning Latrine]]</f>
        <v>0</v>
      </c>
      <c r="BK103"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329</v>
      </c>
      <c r="BL103" s="483">
        <f>IF(WWWW[[#This Row],['#_of_functional_handwashing_facilities_at_HH_level]]*6&gt;WWWW[[#This Row],[Total PoP ]],WWWW[[#This Row],[Total PoP ]],WWWW[[#This Row],['#_of_functional_handwashing_facilities_at_HH_level]]*6)</f>
        <v>0</v>
      </c>
      <c r="BM103" s="478">
        <f>IF(WWWW[[#This Row],['# people reached by regular dedicated hygiene promotion]]&gt;WWWW[[#This Row],['# People received regular supply of hygiene items]],WWWW[[#This Row],['# people reached by regular dedicated hygiene promotion]],WWWW[[#This Row],['# People received regular supply of hygiene items]])</f>
        <v>329</v>
      </c>
      <c r="BN103" s="476">
        <f>IF(WWWW[[#This Row],[HRP3]]/WWWW[[#This Row],[Total PoP ]]&gt;100%,100%,WWWW[[#This Row],[HRP3]]/WWWW[[#This Row],[Total PoP ]])</f>
        <v>1</v>
      </c>
      <c r="BO103" s="479">
        <f>1-WWWW[[#This Row],[Hygiene Coverage%]]</f>
        <v>0</v>
      </c>
      <c r="BP103" s="477">
        <f>WWWW[[#This Row],['# people reached by regular dedicated hygiene promotion]]/WWWW[[#This Row],[Total PoP ]]</f>
        <v>1</v>
      </c>
      <c r="BQ10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03" s="478">
        <f>WWWW[[#This Row],['#_of_affected_women_and_girls_receiving_a_sufficient_quantity_of_sanitary_pads]]</f>
        <v>0</v>
      </c>
      <c r="BS103" s="524">
        <f>IF(WWWW[[#This Row],['# People with access to soap]]&gt;WWWW[[#This Row],['# People with access to Sanity Pads]],WWWW[[#This Row],['# People with access to soap]],WWWW[[#This Row],['# People with access to Sanity Pads]])</f>
        <v>0</v>
      </c>
      <c r="BT103" s="483" t="str">
        <f>IF(OR(WWWW[[#This Row],['#of students in school]]="",WWWW[[#This Row],['#of students in school]]=0),"No","Yes")</f>
        <v>No</v>
      </c>
      <c r="BU103" s="480" t="str">
        <f>VLOOKUP(WWWW[[#This Row],[Village  Name]],SiteDB6[[Site Name]:[Location Type 1]],9,FALSE)</f>
        <v>Village</v>
      </c>
      <c r="BV103" s="480" t="str">
        <f>VLOOKUP(WWWW[[#This Row],[Village  Name]],SiteDB6[[Site Name]:[Type of Accommodation]],10,FALSE)</f>
        <v>Village</v>
      </c>
      <c r="BW103" s="480">
        <f>VLOOKUP(WWWW[[#This Row],[Village  Name]],SiteDB6[[Site Name]:[Ethnic or GCA/NGCA]],11,FALSE)</f>
        <v>0</v>
      </c>
      <c r="BX103" s="480">
        <f>VLOOKUP(WWWW[[#This Row],[Village  Name]],SiteDB6[[Site Name]:[Lat]],12,FALSE)</f>
        <v>20.404491424560501</v>
      </c>
      <c r="BY103" s="480">
        <f>VLOOKUP(WWWW[[#This Row],[Village  Name]],SiteDB6[[Site Name]:[Long]],13,FALSE)</f>
        <v>93.321144104003906</v>
      </c>
      <c r="BZ103" s="480">
        <f>VLOOKUP(WWWW[[#This Row],[Village  Name]],SiteDB6[[Site Name]:[Pcode]],3,FALSE)</f>
        <v>197020</v>
      </c>
      <c r="CA103" s="480" t="str">
        <f t="shared" si="4"/>
        <v>Covered</v>
      </c>
      <c r="CB103" s="505"/>
    </row>
    <row r="104" spans="1:80">
      <c r="A104" s="774" t="s">
        <v>3150</v>
      </c>
      <c r="B104" s="774" t="s">
        <v>314</v>
      </c>
      <c r="C104" s="415" t="s">
        <v>314</v>
      </c>
      <c r="D104" s="415" t="s">
        <v>307</v>
      </c>
      <c r="E104" s="415" t="s">
        <v>2648</v>
      </c>
      <c r="F104" s="415" t="s">
        <v>312</v>
      </c>
      <c r="G104" s="644" t="str">
        <f>VLOOKUP(WWWW[[#This Row],[Village  Name]],SiteDB6[[Site Name]:[Location Type]],8,FALSE)</f>
        <v>Village</v>
      </c>
      <c r="H104" s="415" t="s">
        <v>2599</v>
      </c>
      <c r="I104" s="524">
        <v>37</v>
      </c>
      <c r="J104" s="524">
        <v>119</v>
      </c>
      <c r="K104" s="418">
        <v>42736</v>
      </c>
      <c r="L104" s="55">
        <v>44551</v>
      </c>
      <c r="M104" s="524"/>
      <c r="N104" s="524"/>
      <c r="O104" s="524">
        <v>12</v>
      </c>
      <c r="P104" s="524">
        <v>208</v>
      </c>
      <c r="Q104" s="524">
        <v>3</v>
      </c>
      <c r="R104" s="524"/>
      <c r="S104" s="524"/>
      <c r="T104" s="524"/>
      <c r="U104" s="551"/>
      <c r="V104" s="524">
        <v>255</v>
      </c>
      <c r="W104" s="524" t="s">
        <v>130</v>
      </c>
      <c r="X104" s="524"/>
      <c r="Y104" s="524"/>
      <c r="Z104" s="524"/>
      <c r="AA104" s="524"/>
      <c r="AB104" s="524"/>
      <c r="AC104" s="551"/>
      <c r="AD104" s="524"/>
      <c r="AE104" s="524"/>
      <c r="AF104" s="524"/>
      <c r="AG104" s="524"/>
      <c r="AH104" s="524"/>
      <c r="AI104" s="524"/>
      <c r="AJ104" s="524"/>
      <c r="AK104" s="524"/>
      <c r="AL104" s="524"/>
      <c r="AM104" s="524"/>
      <c r="AN104" s="551"/>
      <c r="AO104" s="477"/>
      <c r="AP104" s="477"/>
      <c r="AQ104" s="524"/>
      <c r="AR104" s="524"/>
      <c r="AS104" s="524"/>
      <c r="AT10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04" s="483">
        <f>WWWW[[#This Row],[%Equitable and continuous access to sufficient quantity of safe drinking water]]*WWWW[[#This Row],[Total PoP ]]</f>
        <v>119</v>
      </c>
      <c r="AV10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04" s="483">
        <f>WWWW[[#This Row],[% Access to unimproved water points]]*WWWW[[#This Row],[Total PoP ]]</f>
        <v>119</v>
      </c>
      <c r="AX10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0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119</v>
      </c>
      <c r="AZ104" s="483">
        <f>WWWW[[#This Row],[HRP1]]/250</f>
        <v>0.47599999999999998</v>
      </c>
      <c r="BA104" s="476">
        <f>1-WWWW[[#This Row],[% Equitable and continuous access to sufficient quantity of domestic water]]</f>
        <v>0</v>
      </c>
      <c r="BB104" s="483">
        <f>WWWW[[#This Row],[%equitable and continuous access to sufficient quantity of safe drinking and domestic water''s GAP]]*WWWW[[#This Row],[Total PoP ]]</f>
        <v>0</v>
      </c>
      <c r="BC104" s="478">
        <f>IF(WWWW[[#This Row],[Total required water points]]-WWWW[[#This Row],['#Water points coverage]]&lt;0,0,WWWW[[#This Row],[Total required water points]]-WWWW[[#This Row],['#Water points coverage]])</f>
        <v>0.52400000000000002</v>
      </c>
      <c r="BD104" s="478">
        <f>ROUND(IF(WWWW[[#This Row],[Total PoP ]]&lt;250,1,WWWW[[#This Row],[Total PoP ]]/250),0)</f>
        <v>1</v>
      </c>
      <c r="BE10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04" s="483">
        <f>WWWW[[#This Row],[% people access to functioning Latrine]]*WWWW[[#This Row],[Total PoP ]]</f>
        <v>119</v>
      </c>
      <c r="BG104" s="478">
        <f>WWWW[[#This Row],['#_of_Functioning_latrines_in_school]]*50</f>
        <v>0</v>
      </c>
      <c r="BH104" s="478">
        <f>ROUND((WWWW[[#This Row],[Total PoP ]]/6),0)</f>
        <v>20</v>
      </c>
      <c r="BI104" s="478">
        <f>IF(WWWW[[#This Row],[Total required Latrines]]-(WWWW[[#This Row],['#_of_sanitary_fly-proof_HH_latrines]])&lt;0,0,WWWW[[#This Row],[Total required Latrines]]-(WWWW[[#This Row],['#_of_sanitary_fly-proof_HH_latrines]]))</f>
        <v>0</v>
      </c>
      <c r="BJ104" s="479">
        <f>1-WWWW[[#This Row],[% people access to functioning Latrine]]</f>
        <v>0</v>
      </c>
      <c r="BK10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04" s="483">
        <f>IF(WWWW[[#This Row],['#_of_functional_handwashing_facilities_at_HH_level]]*6&gt;WWWW[[#This Row],[Total PoP ]],WWWW[[#This Row],[Total PoP ]],WWWW[[#This Row],['#_of_functional_handwashing_facilities_at_HH_level]]*6)</f>
        <v>0</v>
      </c>
      <c r="BM104" s="478">
        <f>IF(WWWW[[#This Row],['# people reached by regular dedicated hygiene promotion]]&gt;WWWW[[#This Row],['# People received regular supply of hygiene items]],WWWW[[#This Row],['# people reached by regular dedicated hygiene promotion]],WWWW[[#This Row],['# People received regular supply of hygiene items]])</f>
        <v>0</v>
      </c>
      <c r="BN104" s="476">
        <f>IF(WWWW[[#This Row],[HRP3]]/WWWW[[#This Row],[Total PoP ]]&gt;100%,100%,WWWW[[#This Row],[HRP3]]/WWWW[[#This Row],[Total PoP ]])</f>
        <v>0</v>
      </c>
      <c r="BO104" s="479">
        <f>1-WWWW[[#This Row],[Hygiene Coverage%]]</f>
        <v>1</v>
      </c>
      <c r="BP104" s="477">
        <f>WWWW[[#This Row],['# people reached by regular dedicated hygiene promotion]]/WWWW[[#This Row],[Total PoP ]]</f>
        <v>0</v>
      </c>
      <c r="BQ10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04" s="478">
        <f>WWWW[[#This Row],['#_of_affected_women_and_girls_receiving_a_sufficient_quantity_of_sanitary_pads]]</f>
        <v>0</v>
      </c>
      <c r="BS104" s="524">
        <f>IF(WWWW[[#This Row],['# People with access to soap]]&gt;WWWW[[#This Row],['# People with access to Sanity Pads]],WWWW[[#This Row],['# People with access to soap]],WWWW[[#This Row],['# People with access to Sanity Pads]])</f>
        <v>0</v>
      </c>
      <c r="BT104" s="483" t="str">
        <f>IF(OR(WWWW[[#This Row],['#of students in school]]="",WWWW[[#This Row],['#of students in school]]=0),"No","Yes")</f>
        <v>No</v>
      </c>
      <c r="BU104" s="480" t="str">
        <f>VLOOKUP(WWWW[[#This Row],[Village  Name]],SiteDB6[[Site Name]:[Location Type 1]],9,FALSE)</f>
        <v>Village</v>
      </c>
      <c r="BV104" s="480" t="str">
        <f>VLOOKUP(WWWW[[#This Row],[Village  Name]],SiteDB6[[Site Name]:[Type of Accommodation]],10,FALSE)</f>
        <v>Village</v>
      </c>
      <c r="BW104" s="480">
        <f>VLOOKUP(WWWW[[#This Row],[Village  Name]],SiteDB6[[Site Name]:[Ethnic or GCA/NGCA]],11,FALSE)</f>
        <v>0</v>
      </c>
      <c r="BX104" s="480">
        <f>VLOOKUP(WWWW[[#This Row],[Village  Name]],SiteDB6[[Site Name]:[Lat]],12,FALSE)</f>
        <v>20.428560256958001</v>
      </c>
      <c r="BY104" s="480">
        <f>VLOOKUP(WWWW[[#This Row],[Village  Name]],SiteDB6[[Site Name]:[Long]],13,FALSE)</f>
        <v>93.305938720703097</v>
      </c>
      <c r="BZ104" s="480">
        <f>VLOOKUP(WWWW[[#This Row],[Village  Name]],SiteDB6[[Site Name]:[Pcode]],3,FALSE)</f>
        <v>197027</v>
      </c>
      <c r="CA104" s="480" t="str">
        <f t="shared" si="4"/>
        <v>Covered</v>
      </c>
      <c r="CB104" s="505"/>
    </row>
    <row r="105" spans="1:80">
      <c r="A105" s="774" t="s">
        <v>3150</v>
      </c>
      <c r="B105" s="774" t="s">
        <v>314</v>
      </c>
      <c r="C105" s="415" t="s">
        <v>314</v>
      </c>
      <c r="D105" s="415" t="s">
        <v>307</v>
      </c>
      <c r="E105" s="415" t="s">
        <v>2648</v>
      </c>
      <c r="F105" s="415" t="s">
        <v>312</v>
      </c>
      <c r="G105" s="644" t="str">
        <f>VLOOKUP(WWWW[[#This Row],[Village  Name]],SiteDB6[[Site Name]:[Location Type]],8,FALSE)</f>
        <v>Village</v>
      </c>
      <c r="H105" s="415" t="s">
        <v>2600</v>
      </c>
      <c r="I105" s="524">
        <v>167</v>
      </c>
      <c r="J105" s="524">
        <v>1027</v>
      </c>
      <c r="K105" s="418">
        <v>42736</v>
      </c>
      <c r="L105" s="55">
        <v>44551</v>
      </c>
      <c r="M105" s="524"/>
      <c r="N105" s="524"/>
      <c r="O105" s="524">
        <v>6</v>
      </c>
      <c r="P105" s="524">
        <v>49</v>
      </c>
      <c r="Q105" s="524">
        <v>2</v>
      </c>
      <c r="R105" s="524"/>
      <c r="S105" s="524"/>
      <c r="T105" s="524"/>
      <c r="U105" s="551"/>
      <c r="V105" s="524">
        <v>66</v>
      </c>
      <c r="W105" s="524" t="s">
        <v>130</v>
      </c>
      <c r="X105" s="524"/>
      <c r="Y105" s="524"/>
      <c r="Z105" s="524"/>
      <c r="AA105" s="524"/>
      <c r="AB105" s="524"/>
      <c r="AC105" s="551"/>
      <c r="AD105" s="524"/>
      <c r="AE105" s="524"/>
      <c r="AF105" s="524"/>
      <c r="AG105" s="524"/>
      <c r="AH105" s="524"/>
      <c r="AI105" s="524"/>
      <c r="AJ105" s="524"/>
      <c r="AK105" s="524"/>
      <c r="AL105" s="524"/>
      <c r="AM105" s="524"/>
      <c r="AN105" s="551"/>
      <c r="AO105" s="477"/>
      <c r="AP105" s="477"/>
      <c r="AQ105" s="524"/>
      <c r="AR105" s="524"/>
      <c r="AS105" s="524"/>
      <c r="AT10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05" s="483">
        <f>WWWW[[#This Row],[%Equitable and continuous access to sufficient quantity of safe drinking water]]*WWWW[[#This Row],[Total PoP ]]</f>
        <v>1027</v>
      </c>
      <c r="AV10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05" s="483">
        <f>WWWW[[#This Row],[% Access to unimproved water points]]*WWWW[[#This Row],[Total PoP ]]</f>
        <v>1027</v>
      </c>
      <c r="AX10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0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1027</v>
      </c>
      <c r="AZ105" s="483">
        <f>WWWW[[#This Row],[HRP1]]/250</f>
        <v>4.1079999999999997</v>
      </c>
      <c r="BA105" s="476">
        <f>1-WWWW[[#This Row],[% Equitable and continuous access to sufficient quantity of domestic water]]</f>
        <v>0</v>
      </c>
      <c r="BB105" s="483">
        <f>WWWW[[#This Row],[%equitable and continuous access to sufficient quantity of safe drinking and domestic water''s GAP]]*WWWW[[#This Row],[Total PoP ]]</f>
        <v>0</v>
      </c>
      <c r="BC105" s="478">
        <f>IF(WWWW[[#This Row],[Total required water points]]-WWWW[[#This Row],['#Water points coverage]]&lt;0,0,WWWW[[#This Row],[Total required water points]]-WWWW[[#This Row],['#Water points coverage]])</f>
        <v>0</v>
      </c>
      <c r="BD105" s="478">
        <f>ROUND(IF(WWWW[[#This Row],[Total PoP ]]&lt;250,1,WWWW[[#This Row],[Total PoP ]]/250),0)</f>
        <v>4</v>
      </c>
      <c r="BE10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0.38558909444985395</v>
      </c>
      <c r="BF105" s="483">
        <f>WWWW[[#This Row],[% people access to functioning Latrine]]*WWWW[[#This Row],[Total PoP ]]</f>
        <v>396</v>
      </c>
      <c r="BG105" s="478">
        <f>WWWW[[#This Row],['#_of_Functioning_latrines_in_school]]*50</f>
        <v>0</v>
      </c>
      <c r="BH105" s="478">
        <f>ROUND((WWWW[[#This Row],[Total PoP ]]/6),0)</f>
        <v>171</v>
      </c>
      <c r="BI105" s="478">
        <f>IF(WWWW[[#This Row],[Total required Latrines]]-(WWWW[[#This Row],['#_of_sanitary_fly-proof_HH_latrines]])&lt;0,0,WWWW[[#This Row],[Total required Latrines]]-(WWWW[[#This Row],['#_of_sanitary_fly-proof_HH_latrines]]))</f>
        <v>105</v>
      </c>
      <c r="BJ105" s="479">
        <f>1-WWWW[[#This Row],[% people access to functioning Latrine]]</f>
        <v>0.6144109055501461</v>
      </c>
      <c r="BK10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05" s="483">
        <f>IF(WWWW[[#This Row],['#_of_functional_handwashing_facilities_at_HH_level]]*6&gt;WWWW[[#This Row],[Total PoP ]],WWWW[[#This Row],[Total PoP ]],WWWW[[#This Row],['#_of_functional_handwashing_facilities_at_HH_level]]*6)</f>
        <v>0</v>
      </c>
      <c r="BM105" s="478">
        <f>IF(WWWW[[#This Row],['# people reached by regular dedicated hygiene promotion]]&gt;WWWW[[#This Row],['# People received regular supply of hygiene items]],WWWW[[#This Row],['# people reached by regular dedicated hygiene promotion]],WWWW[[#This Row],['# People received regular supply of hygiene items]])</f>
        <v>0</v>
      </c>
      <c r="BN105" s="476">
        <f>IF(WWWW[[#This Row],[HRP3]]/WWWW[[#This Row],[Total PoP ]]&gt;100%,100%,WWWW[[#This Row],[HRP3]]/WWWW[[#This Row],[Total PoP ]])</f>
        <v>0</v>
      </c>
      <c r="BO105" s="479">
        <f>1-WWWW[[#This Row],[Hygiene Coverage%]]</f>
        <v>1</v>
      </c>
      <c r="BP105" s="477">
        <f>WWWW[[#This Row],['# people reached by regular dedicated hygiene promotion]]/WWWW[[#This Row],[Total PoP ]]</f>
        <v>0</v>
      </c>
      <c r="BQ10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05" s="478">
        <f>WWWW[[#This Row],['#_of_affected_women_and_girls_receiving_a_sufficient_quantity_of_sanitary_pads]]</f>
        <v>0</v>
      </c>
      <c r="BS105" s="524">
        <f>IF(WWWW[[#This Row],['# People with access to soap]]&gt;WWWW[[#This Row],['# People with access to Sanity Pads]],WWWW[[#This Row],['# People with access to soap]],WWWW[[#This Row],['# People with access to Sanity Pads]])</f>
        <v>0</v>
      </c>
      <c r="BT105" s="483" t="str">
        <f>IF(OR(WWWW[[#This Row],['#of students in school]]="",WWWW[[#This Row],['#of students in school]]=0),"No","Yes")</f>
        <v>No</v>
      </c>
      <c r="BU105" s="480" t="str">
        <f>VLOOKUP(WWWW[[#This Row],[Village  Name]],SiteDB6[[Site Name]:[Location Type 1]],9,FALSE)</f>
        <v>Village</v>
      </c>
      <c r="BV105" s="480" t="str">
        <f>VLOOKUP(WWWW[[#This Row],[Village  Name]],SiteDB6[[Site Name]:[Type of Accommodation]],10,FALSE)</f>
        <v>Village</v>
      </c>
      <c r="BW105" s="480">
        <f>VLOOKUP(WWWW[[#This Row],[Village  Name]],SiteDB6[[Site Name]:[Ethnic or GCA/NGCA]],11,FALSE)</f>
        <v>0</v>
      </c>
      <c r="BX105" s="480">
        <f>VLOOKUP(WWWW[[#This Row],[Village  Name]],SiteDB6[[Site Name]:[Lat]],12,FALSE)</f>
        <v>20.4226398468018</v>
      </c>
      <c r="BY105" s="480">
        <f>VLOOKUP(WWWW[[#This Row],[Village  Name]],SiteDB6[[Site Name]:[Long]],13,FALSE)</f>
        <v>93.307182312011705</v>
      </c>
      <c r="BZ105" s="480">
        <f>VLOOKUP(WWWW[[#This Row],[Village  Name]],SiteDB6[[Site Name]:[Pcode]],3,FALSE)</f>
        <v>197028</v>
      </c>
      <c r="CA105" s="480" t="str">
        <f t="shared" si="4"/>
        <v>Covered</v>
      </c>
      <c r="CB105" s="505"/>
    </row>
    <row r="106" spans="1:80">
      <c r="A106" s="774" t="s">
        <v>3150</v>
      </c>
      <c r="B106" s="774" t="s">
        <v>314</v>
      </c>
      <c r="C106" s="415" t="s">
        <v>314</v>
      </c>
      <c r="D106" s="415" t="s">
        <v>307</v>
      </c>
      <c r="E106" s="415" t="s">
        <v>2648</v>
      </c>
      <c r="F106" s="415" t="s">
        <v>312</v>
      </c>
      <c r="G106" s="644" t="str">
        <f>VLOOKUP(WWWW[[#This Row],[Village  Name]],SiteDB6[[Site Name]:[Location Type]],8,FALSE)</f>
        <v>Village</v>
      </c>
      <c r="H106" s="415" t="s">
        <v>2601</v>
      </c>
      <c r="I106" s="524">
        <v>90</v>
      </c>
      <c r="J106" s="524">
        <v>414</v>
      </c>
      <c r="K106" s="418">
        <v>42736</v>
      </c>
      <c r="L106" s="55">
        <v>44551</v>
      </c>
      <c r="M106" s="524"/>
      <c r="N106" s="524"/>
      <c r="O106" s="524">
        <v>0</v>
      </c>
      <c r="P106" s="524">
        <v>9</v>
      </c>
      <c r="Q106" s="524">
        <v>1</v>
      </c>
      <c r="R106" s="524"/>
      <c r="S106" s="524"/>
      <c r="T106" s="524"/>
      <c r="U106" s="551"/>
      <c r="V106" s="524">
        <v>12</v>
      </c>
      <c r="W106" s="524" t="s">
        <v>130</v>
      </c>
      <c r="X106" s="524"/>
      <c r="Y106" s="524"/>
      <c r="Z106" s="524"/>
      <c r="AA106" s="524"/>
      <c r="AB106" s="524"/>
      <c r="AC106" s="551"/>
      <c r="AD106" s="524"/>
      <c r="AE106" s="524"/>
      <c r="AF106" s="524"/>
      <c r="AG106" s="524"/>
      <c r="AH106" s="524"/>
      <c r="AI106" s="524"/>
      <c r="AJ106" s="524"/>
      <c r="AK106" s="524"/>
      <c r="AL106" s="524"/>
      <c r="AM106" s="524"/>
      <c r="AN106" s="551"/>
      <c r="AO106" s="477"/>
      <c r="AP106" s="477"/>
      <c r="AQ106" s="524"/>
      <c r="AR106" s="524"/>
      <c r="AS106" s="524"/>
      <c r="AT10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06" s="483">
        <f>WWWW[[#This Row],[%Equitable and continuous access to sufficient quantity of safe drinking water]]*WWWW[[#This Row],[Total PoP ]]</f>
        <v>414</v>
      </c>
      <c r="AV10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06" s="483">
        <f>WWWW[[#This Row],[% Access to unimproved water points]]*WWWW[[#This Row],[Total PoP ]]</f>
        <v>414</v>
      </c>
      <c r="AX10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0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414</v>
      </c>
      <c r="AZ106" s="483">
        <f>WWWW[[#This Row],[HRP1]]/250</f>
        <v>1.6559999999999999</v>
      </c>
      <c r="BA106" s="476">
        <f>1-WWWW[[#This Row],[% Equitable and continuous access to sufficient quantity of domestic water]]</f>
        <v>0</v>
      </c>
      <c r="BB106" s="483">
        <f>WWWW[[#This Row],[%equitable and continuous access to sufficient quantity of safe drinking and domestic water''s GAP]]*WWWW[[#This Row],[Total PoP ]]</f>
        <v>0</v>
      </c>
      <c r="BC106" s="478">
        <f>IF(WWWW[[#This Row],[Total required water points]]-WWWW[[#This Row],['#Water points coverage]]&lt;0,0,WWWW[[#This Row],[Total required water points]]-WWWW[[#This Row],['#Water points coverage]])</f>
        <v>0.34400000000000008</v>
      </c>
      <c r="BD106" s="478">
        <f>ROUND(IF(WWWW[[#This Row],[Total PoP ]]&lt;250,1,WWWW[[#This Row],[Total PoP ]]/250),0)</f>
        <v>2</v>
      </c>
      <c r="BE10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0.17391304347826086</v>
      </c>
      <c r="BF106" s="483">
        <f>WWWW[[#This Row],[% people access to functioning Latrine]]*WWWW[[#This Row],[Total PoP ]]</f>
        <v>72</v>
      </c>
      <c r="BG106" s="478">
        <f>WWWW[[#This Row],['#_of_Functioning_latrines_in_school]]*50</f>
        <v>0</v>
      </c>
      <c r="BH106" s="478">
        <f>ROUND((WWWW[[#This Row],[Total PoP ]]/6),0)</f>
        <v>69</v>
      </c>
      <c r="BI106" s="478">
        <f>IF(WWWW[[#This Row],[Total required Latrines]]-(WWWW[[#This Row],['#_of_sanitary_fly-proof_HH_latrines]])&lt;0,0,WWWW[[#This Row],[Total required Latrines]]-(WWWW[[#This Row],['#_of_sanitary_fly-proof_HH_latrines]]))</f>
        <v>57</v>
      </c>
      <c r="BJ106" s="479">
        <f>1-WWWW[[#This Row],[% people access to functioning Latrine]]</f>
        <v>0.82608695652173914</v>
      </c>
      <c r="BK10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06" s="483">
        <f>IF(WWWW[[#This Row],['#_of_functional_handwashing_facilities_at_HH_level]]*6&gt;WWWW[[#This Row],[Total PoP ]],WWWW[[#This Row],[Total PoP ]],WWWW[[#This Row],['#_of_functional_handwashing_facilities_at_HH_level]]*6)</f>
        <v>0</v>
      </c>
      <c r="BM106" s="478">
        <f>IF(WWWW[[#This Row],['# people reached by regular dedicated hygiene promotion]]&gt;WWWW[[#This Row],['# People received regular supply of hygiene items]],WWWW[[#This Row],['# people reached by regular dedicated hygiene promotion]],WWWW[[#This Row],['# People received regular supply of hygiene items]])</f>
        <v>0</v>
      </c>
      <c r="BN106" s="476">
        <f>IF(WWWW[[#This Row],[HRP3]]/WWWW[[#This Row],[Total PoP ]]&gt;100%,100%,WWWW[[#This Row],[HRP3]]/WWWW[[#This Row],[Total PoP ]])</f>
        <v>0</v>
      </c>
      <c r="BO106" s="479">
        <f>1-WWWW[[#This Row],[Hygiene Coverage%]]</f>
        <v>1</v>
      </c>
      <c r="BP106" s="477">
        <f>WWWW[[#This Row],['# people reached by regular dedicated hygiene promotion]]/WWWW[[#This Row],[Total PoP ]]</f>
        <v>0</v>
      </c>
      <c r="BQ10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06" s="478">
        <f>WWWW[[#This Row],['#_of_affected_women_and_girls_receiving_a_sufficient_quantity_of_sanitary_pads]]</f>
        <v>0</v>
      </c>
      <c r="BS106" s="524">
        <f>IF(WWWW[[#This Row],['# People with access to soap]]&gt;WWWW[[#This Row],['# People with access to Sanity Pads]],WWWW[[#This Row],['# People with access to soap]],WWWW[[#This Row],['# People with access to Sanity Pads]])</f>
        <v>0</v>
      </c>
      <c r="BT106" s="483" t="str">
        <f>IF(OR(WWWW[[#This Row],['#of students in school]]="",WWWW[[#This Row],['#of students in school]]=0),"No","Yes")</f>
        <v>No</v>
      </c>
      <c r="BU106" s="480" t="str">
        <f>VLOOKUP(WWWW[[#This Row],[Village  Name]],SiteDB6[[Site Name]:[Location Type 1]],9,FALSE)</f>
        <v>Village</v>
      </c>
      <c r="BV106" s="480" t="str">
        <f>VLOOKUP(WWWW[[#This Row],[Village  Name]],SiteDB6[[Site Name]:[Type of Accommodation]],10,FALSE)</f>
        <v>Village</v>
      </c>
      <c r="BW106" s="480">
        <f>VLOOKUP(WWWW[[#This Row],[Village  Name]],SiteDB6[[Site Name]:[Ethnic or GCA/NGCA]],11,FALSE)</f>
        <v>0</v>
      </c>
      <c r="BX106" s="480">
        <f>VLOOKUP(WWWW[[#This Row],[Village  Name]],SiteDB6[[Site Name]:[Lat]],12,FALSE)</f>
        <v>20.437318801879901</v>
      </c>
      <c r="BY106" s="480">
        <f>VLOOKUP(WWWW[[#This Row],[Village  Name]],SiteDB6[[Site Name]:[Long]],13,FALSE)</f>
        <v>93.302917480468807</v>
      </c>
      <c r="BZ106" s="480">
        <f>VLOOKUP(WWWW[[#This Row],[Village  Name]],SiteDB6[[Site Name]:[Pcode]],3,FALSE)</f>
        <v>197034</v>
      </c>
      <c r="CA106" s="480" t="str">
        <f t="shared" ref="CA106:CA143" si="5">IF(C106="none","Notcovered","Covered")</f>
        <v>Covered</v>
      </c>
      <c r="CB106" s="505"/>
    </row>
    <row r="107" spans="1:80">
      <c r="A107" s="774" t="s">
        <v>3150</v>
      </c>
      <c r="B107" s="774" t="s">
        <v>314</v>
      </c>
      <c r="C107" s="415" t="s">
        <v>314</v>
      </c>
      <c r="D107" s="415" t="s">
        <v>307</v>
      </c>
      <c r="E107" s="415" t="s">
        <v>2648</v>
      </c>
      <c r="F107" s="415" t="s">
        <v>312</v>
      </c>
      <c r="G107" s="644" t="str">
        <f>VLOOKUP(WWWW[[#This Row],[Village  Name]],SiteDB6[[Site Name]:[Location Type]],8,FALSE)</f>
        <v>Village</v>
      </c>
      <c r="H107" s="415" t="s">
        <v>2602</v>
      </c>
      <c r="I107" s="524">
        <v>78</v>
      </c>
      <c r="J107" s="524">
        <v>308</v>
      </c>
      <c r="K107" s="418">
        <v>42736</v>
      </c>
      <c r="L107" s="55">
        <v>44551</v>
      </c>
      <c r="M107" s="524"/>
      <c r="N107" s="524"/>
      <c r="O107" s="524">
        <v>4</v>
      </c>
      <c r="P107" s="524">
        <v>46</v>
      </c>
      <c r="Q107" s="524">
        <v>2</v>
      </c>
      <c r="R107" s="524"/>
      <c r="S107" s="524"/>
      <c r="T107" s="524"/>
      <c r="U107" s="551"/>
      <c r="V107" s="524">
        <v>54</v>
      </c>
      <c r="W107" s="524" t="s">
        <v>130</v>
      </c>
      <c r="X107" s="524"/>
      <c r="Y107" s="524"/>
      <c r="Z107" s="524"/>
      <c r="AA107" s="524"/>
      <c r="AB107" s="524"/>
      <c r="AC107" s="551"/>
      <c r="AD107" s="524"/>
      <c r="AE107" s="524"/>
      <c r="AF107" s="524"/>
      <c r="AG107" s="524"/>
      <c r="AH107" s="524"/>
      <c r="AI107" s="524"/>
      <c r="AJ107" s="524"/>
      <c r="AK107" s="524"/>
      <c r="AL107" s="524"/>
      <c r="AM107" s="524"/>
      <c r="AN107" s="551"/>
      <c r="AO107" s="477"/>
      <c r="AP107" s="477"/>
      <c r="AQ107" s="524"/>
      <c r="AR107" s="524"/>
      <c r="AS107" s="524"/>
      <c r="AT10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07" s="483">
        <f>WWWW[[#This Row],[%Equitable and continuous access to sufficient quantity of safe drinking water]]*WWWW[[#This Row],[Total PoP ]]</f>
        <v>308</v>
      </c>
      <c r="AV10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07" s="483">
        <f>WWWW[[#This Row],[% Access to unimproved water points]]*WWWW[[#This Row],[Total PoP ]]</f>
        <v>308</v>
      </c>
      <c r="AX10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0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308</v>
      </c>
      <c r="AZ107" s="483">
        <f>WWWW[[#This Row],[HRP1]]/250</f>
        <v>1.232</v>
      </c>
      <c r="BA107" s="476">
        <f>1-WWWW[[#This Row],[% Equitable and continuous access to sufficient quantity of domestic water]]</f>
        <v>0</v>
      </c>
      <c r="BB107" s="483">
        <f>WWWW[[#This Row],[%equitable and continuous access to sufficient quantity of safe drinking and domestic water''s GAP]]*WWWW[[#This Row],[Total PoP ]]</f>
        <v>0</v>
      </c>
      <c r="BC107" s="478">
        <f>IF(WWWW[[#This Row],[Total required water points]]-WWWW[[#This Row],['#Water points coverage]]&lt;0,0,WWWW[[#This Row],[Total required water points]]-WWWW[[#This Row],['#Water points coverage]])</f>
        <v>0</v>
      </c>
      <c r="BD107" s="478">
        <f>ROUND(IF(WWWW[[#This Row],[Total PoP ]]&lt;250,1,WWWW[[#This Row],[Total PoP ]]/250),0)</f>
        <v>1</v>
      </c>
      <c r="BE10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07" s="483">
        <f>WWWW[[#This Row],[% people access to functioning Latrine]]*WWWW[[#This Row],[Total PoP ]]</f>
        <v>308</v>
      </c>
      <c r="BG107" s="478">
        <f>WWWW[[#This Row],['#_of_Functioning_latrines_in_school]]*50</f>
        <v>0</v>
      </c>
      <c r="BH107" s="478">
        <f>ROUND((WWWW[[#This Row],[Total PoP ]]/6),0)</f>
        <v>51</v>
      </c>
      <c r="BI107" s="478">
        <f>IF(WWWW[[#This Row],[Total required Latrines]]-(WWWW[[#This Row],['#_of_sanitary_fly-proof_HH_latrines]])&lt;0,0,WWWW[[#This Row],[Total required Latrines]]-(WWWW[[#This Row],['#_of_sanitary_fly-proof_HH_latrines]]))</f>
        <v>0</v>
      </c>
      <c r="BJ107" s="479">
        <f>1-WWWW[[#This Row],[% people access to functioning Latrine]]</f>
        <v>0</v>
      </c>
      <c r="BK10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07" s="483">
        <f>IF(WWWW[[#This Row],['#_of_functional_handwashing_facilities_at_HH_level]]*6&gt;WWWW[[#This Row],[Total PoP ]],WWWW[[#This Row],[Total PoP ]],WWWW[[#This Row],['#_of_functional_handwashing_facilities_at_HH_level]]*6)</f>
        <v>0</v>
      </c>
      <c r="BM107" s="478">
        <f>IF(WWWW[[#This Row],['# people reached by regular dedicated hygiene promotion]]&gt;WWWW[[#This Row],['# People received regular supply of hygiene items]],WWWW[[#This Row],['# people reached by regular dedicated hygiene promotion]],WWWW[[#This Row],['# People received regular supply of hygiene items]])</f>
        <v>0</v>
      </c>
      <c r="BN107" s="476">
        <f>IF(WWWW[[#This Row],[HRP3]]/WWWW[[#This Row],[Total PoP ]]&gt;100%,100%,WWWW[[#This Row],[HRP3]]/WWWW[[#This Row],[Total PoP ]])</f>
        <v>0</v>
      </c>
      <c r="BO107" s="479">
        <f>1-WWWW[[#This Row],[Hygiene Coverage%]]</f>
        <v>1</v>
      </c>
      <c r="BP107" s="477">
        <f>WWWW[[#This Row],['# people reached by regular dedicated hygiene promotion]]/WWWW[[#This Row],[Total PoP ]]</f>
        <v>0</v>
      </c>
      <c r="BQ10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07" s="478">
        <f>WWWW[[#This Row],['#_of_affected_women_and_girls_receiving_a_sufficient_quantity_of_sanitary_pads]]</f>
        <v>0</v>
      </c>
      <c r="BS107" s="524">
        <f>IF(WWWW[[#This Row],['# People with access to soap]]&gt;WWWW[[#This Row],['# People with access to Sanity Pads]],WWWW[[#This Row],['# People with access to soap]],WWWW[[#This Row],['# People with access to Sanity Pads]])</f>
        <v>0</v>
      </c>
      <c r="BT107" s="483" t="str">
        <f>IF(OR(WWWW[[#This Row],['#of students in school]]="",WWWW[[#This Row],['#of students in school]]=0),"No","Yes")</f>
        <v>No</v>
      </c>
      <c r="BU107" s="480" t="str">
        <f>VLOOKUP(WWWW[[#This Row],[Village  Name]],SiteDB6[[Site Name]:[Location Type 1]],9,FALSE)</f>
        <v>Village</v>
      </c>
      <c r="BV107" s="480" t="str">
        <f>VLOOKUP(WWWW[[#This Row],[Village  Name]],SiteDB6[[Site Name]:[Type of Accommodation]],10,FALSE)</f>
        <v>Village</v>
      </c>
      <c r="BW107" s="480">
        <f>VLOOKUP(WWWW[[#This Row],[Village  Name]],SiteDB6[[Site Name]:[Ethnic or GCA/NGCA]],11,FALSE)</f>
        <v>0</v>
      </c>
      <c r="BX107" s="480">
        <f>VLOOKUP(WWWW[[#This Row],[Village  Name]],SiteDB6[[Site Name]:[Lat]],12,FALSE)</f>
        <v>20.442419052123999</v>
      </c>
      <c r="BY107" s="480">
        <f>VLOOKUP(WWWW[[#This Row],[Village  Name]],SiteDB6[[Site Name]:[Long]],13,FALSE)</f>
        <v>93.300033569335895</v>
      </c>
      <c r="BZ107" s="480">
        <f>VLOOKUP(WWWW[[#This Row],[Village  Name]],SiteDB6[[Site Name]:[Pcode]],3,FALSE)</f>
        <v>197036</v>
      </c>
      <c r="CA107" s="480" t="str">
        <f t="shared" si="5"/>
        <v>Covered</v>
      </c>
      <c r="CB107" s="505"/>
    </row>
    <row r="108" spans="1:80">
      <c r="A108" s="774" t="s">
        <v>3150</v>
      </c>
      <c r="B108" s="774" t="s">
        <v>314</v>
      </c>
      <c r="C108" s="415" t="s">
        <v>314</v>
      </c>
      <c r="D108" s="415" t="s">
        <v>307</v>
      </c>
      <c r="E108" s="415" t="s">
        <v>2648</v>
      </c>
      <c r="F108" s="415" t="s">
        <v>312</v>
      </c>
      <c r="G108" s="644" t="str">
        <f>VLOOKUP(WWWW[[#This Row],[Village  Name]],SiteDB6[[Site Name]:[Location Type]],8,FALSE)</f>
        <v>Village</v>
      </c>
      <c r="H108" s="415" t="s">
        <v>2603</v>
      </c>
      <c r="I108" s="524">
        <v>85</v>
      </c>
      <c r="J108" s="524">
        <v>413</v>
      </c>
      <c r="K108" s="418">
        <v>42736</v>
      </c>
      <c r="L108" s="55">
        <v>44551</v>
      </c>
      <c r="M108" s="524"/>
      <c r="N108" s="524"/>
      <c r="O108" s="524">
        <v>0</v>
      </c>
      <c r="P108" s="524">
        <v>23</v>
      </c>
      <c r="Q108" s="524">
        <v>1</v>
      </c>
      <c r="R108" s="524"/>
      <c r="S108" s="524"/>
      <c r="T108" s="524"/>
      <c r="U108" s="551"/>
      <c r="V108" s="524">
        <v>27</v>
      </c>
      <c r="W108" s="524" t="s">
        <v>130</v>
      </c>
      <c r="X108" s="524"/>
      <c r="Y108" s="524"/>
      <c r="Z108" s="524"/>
      <c r="AA108" s="524"/>
      <c r="AB108" s="524"/>
      <c r="AC108" s="551"/>
      <c r="AD108" s="524"/>
      <c r="AE108" s="524"/>
      <c r="AF108" s="524"/>
      <c r="AG108" s="524"/>
      <c r="AH108" s="524"/>
      <c r="AI108" s="524"/>
      <c r="AJ108" s="524"/>
      <c r="AK108" s="524"/>
      <c r="AL108" s="524"/>
      <c r="AM108" s="524"/>
      <c r="AN108" s="551"/>
      <c r="AO108" s="477"/>
      <c r="AP108" s="477"/>
      <c r="AQ108" s="524"/>
      <c r="AR108" s="524"/>
      <c r="AS108" s="524"/>
      <c r="AT10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08" s="483">
        <f>WWWW[[#This Row],[%Equitable and continuous access to sufficient quantity of safe drinking water]]*WWWW[[#This Row],[Total PoP ]]</f>
        <v>413</v>
      </c>
      <c r="AV10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08" s="483">
        <f>WWWW[[#This Row],[% Access to unimproved water points]]*WWWW[[#This Row],[Total PoP ]]</f>
        <v>413</v>
      </c>
      <c r="AX10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0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413</v>
      </c>
      <c r="AZ108" s="483">
        <f>WWWW[[#This Row],[HRP1]]/250</f>
        <v>1.6519999999999999</v>
      </c>
      <c r="BA108" s="476">
        <f>1-WWWW[[#This Row],[% Equitable and continuous access to sufficient quantity of domestic water]]</f>
        <v>0</v>
      </c>
      <c r="BB108" s="483">
        <f>WWWW[[#This Row],[%equitable and continuous access to sufficient quantity of safe drinking and domestic water''s GAP]]*WWWW[[#This Row],[Total PoP ]]</f>
        <v>0</v>
      </c>
      <c r="BC108" s="478">
        <f>IF(WWWW[[#This Row],[Total required water points]]-WWWW[[#This Row],['#Water points coverage]]&lt;0,0,WWWW[[#This Row],[Total required water points]]-WWWW[[#This Row],['#Water points coverage]])</f>
        <v>0.34800000000000009</v>
      </c>
      <c r="BD108" s="478">
        <f>ROUND(IF(WWWW[[#This Row],[Total PoP ]]&lt;250,1,WWWW[[#This Row],[Total PoP ]]/250),0)</f>
        <v>2</v>
      </c>
      <c r="BE10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0.39225181598062953</v>
      </c>
      <c r="BF108" s="483">
        <f>WWWW[[#This Row],[% people access to functioning Latrine]]*WWWW[[#This Row],[Total PoP ]]</f>
        <v>162</v>
      </c>
      <c r="BG108" s="478">
        <f>WWWW[[#This Row],['#_of_Functioning_latrines_in_school]]*50</f>
        <v>0</v>
      </c>
      <c r="BH108" s="478">
        <f>ROUND((WWWW[[#This Row],[Total PoP ]]/6),0)</f>
        <v>69</v>
      </c>
      <c r="BI108" s="478">
        <f>IF(WWWW[[#This Row],[Total required Latrines]]-(WWWW[[#This Row],['#_of_sanitary_fly-proof_HH_latrines]])&lt;0,0,WWWW[[#This Row],[Total required Latrines]]-(WWWW[[#This Row],['#_of_sanitary_fly-proof_HH_latrines]]))</f>
        <v>42</v>
      </c>
      <c r="BJ108" s="479">
        <f>1-WWWW[[#This Row],[% people access to functioning Latrine]]</f>
        <v>0.60774818401937047</v>
      </c>
      <c r="BK10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08" s="483">
        <f>IF(WWWW[[#This Row],['#_of_functional_handwashing_facilities_at_HH_level]]*6&gt;WWWW[[#This Row],[Total PoP ]],WWWW[[#This Row],[Total PoP ]],WWWW[[#This Row],['#_of_functional_handwashing_facilities_at_HH_level]]*6)</f>
        <v>0</v>
      </c>
      <c r="BM108" s="478">
        <f>IF(WWWW[[#This Row],['# people reached by regular dedicated hygiene promotion]]&gt;WWWW[[#This Row],['# People received regular supply of hygiene items]],WWWW[[#This Row],['# people reached by regular dedicated hygiene promotion]],WWWW[[#This Row],['# People received regular supply of hygiene items]])</f>
        <v>0</v>
      </c>
      <c r="BN108" s="476">
        <f>IF(WWWW[[#This Row],[HRP3]]/WWWW[[#This Row],[Total PoP ]]&gt;100%,100%,WWWW[[#This Row],[HRP3]]/WWWW[[#This Row],[Total PoP ]])</f>
        <v>0</v>
      </c>
      <c r="BO108" s="479">
        <f>1-WWWW[[#This Row],[Hygiene Coverage%]]</f>
        <v>1</v>
      </c>
      <c r="BP108" s="477">
        <f>WWWW[[#This Row],['# people reached by regular dedicated hygiene promotion]]/WWWW[[#This Row],[Total PoP ]]</f>
        <v>0</v>
      </c>
      <c r="BQ10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08" s="478">
        <f>WWWW[[#This Row],['#_of_affected_women_and_girls_receiving_a_sufficient_quantity_of_sanitary_pads]]</f>
        <v>0</v>
      </c>
      <c r="BS108" s="524">
        <f>IF(WWWW[[#This Row],['# People with access to soap]]&gt;WWWW[[#This Row],['# People with access to Sanity Pads]],WWWW[[#This Row],['# People with access to soap]],WWWW[[#This Row],['# People with access to Sanity Pads]])</f>
        <v>0</v>
      </c>
      <c r="BT108" s="483" t="str">
        <f>IF(OR(WWWW[[#This Row],['#of students in school]]="",WWWW[[#This Row],['#of students in school]]=0),"No","Yes")</f>
        <v>No</v>
      </c>
      <c r="BU108" s="480" t="str">
        <f>VLOOKUP(WWWW[[#This Row],[Village  Name]],SiteDB6[[Site Name]:[Location Type 1]],9,FALSE)</f>
        <v>Village</v>
      </c>
      <c r="BV108" s="480" t="str">
        <f>VLOOKUP(WWWW[[#This Row],[Village  Name]],SiteDB6[[Site Name]:[Type of Accommodation]],10,FALSE)</f>
        <v>Village</v>
      </c>
      <c r="BW108" s="480">
        <f>VLOOKUP(WWWW[[#This Row],[Village  Name]],SiteDB6[[Site Name]:[Ethnic or GCA/NGCA]],11,FALSE)</f>
        <v>0</v>
      </c>
      <c r="BX108" s="480">
        <f>VLOOKUP(WWWW[[#This Row],[Village  Name]],SiteDB6[[Site Name]:[Lat]],12,FALSE)</f>
        <v>20.430749893188501</v>
      </c>
      <c r="BY108" s="480">
        <f>VLOOKUP(WWWW[[#This Row],[Village  Name]],SiteDB6[[Site Name]:[Long]],13,FALSE)</f>
        <v>93.304450988769503</v>
      </c>
      <c r="BZ108" s="480">
        <f>VLOOKUP(WWWW[[#This Row],[Village  Name]],SiteDB6[[Site Name]:[Pcode]],3,FALSE)</f>
        <v>197033</v>
      </c>
      <c r="CA108" s="480" t="str">
        <f t="shared" si="5"/>
        <v>Covered</v>
      </c>
      <c r="CB108" s="505"/>
    </row>
    <row r="109" spans="1:80">
      <c r="A109" s="774" t="s">
        <v>3150</v>
      </c>
      <c r="B109" s="774" t="s">
        <v>314</v>
      </c>
      <c r="C109" s="415" t="s">
        <v>314</v>
      </c>
      <c r="D109" s="415" t="s">
        <v>307</v>
      </c>
      <c r="E109" s="415" t="s">
        <v>2648</v>
      </c>
      <c r="F109" s="415" t="s">
        <v>312</v>
      </c>
      <c r="G109" s="644" t="str">
        <f>VLOOKUP(WWWW[[#This Row],[Village  Name]],SiteDB6[[Site Name]:[Location Type]],8,FALSE)</f>
        <v>Village</v>
      </c>
      <c r="H109" s="415" t="s">
        <v>2604</v>
      </c>
      <c r="I109" s="524">
        <v>353</v>
      </c>
      <c r="J109" s="524">
        <v>2111</v>
      </c>
      <c r="K109" s="418">
        <v>42736</v>
      </c>
      <c r="L109" s="55">
        <v>44551</v>
      </c>
      <c r="M109" s="524"/>
      <c r="N109" s="524"/>
      <c r="O109" s="524">
        <v>3</v>
      </c>
      <c r="P109" s="524">
        <v>87</v>
      </c>
      <c r="Q109" s="524">
        <v>2</v>
      </c>
      <c r="R109" s="524"/>
      <c r="S109" s="524"/>
      <c r="T109" s="524"/>
      <c r="U109" s="551"/>
      <c r="V109" s="524">
        <v>83</v>
      </c>
      <c r="W109" s="524" t="s">
        <v>130</v>
      </c>
      <c r="X109" s="524"/>
      <c r="Y109" s="524"/>
      <c r="Z109" s="524"/>
      <c r="AA109" s="524"/>
      <c r="AB109" s="524"/>
      <c r="AC109" s="551"/>
      <c r="AD109" s="524"/>
      <c r="AE109" s="524"/>
      <c r="AF109" s="524"/>
      <c r="AG109" s="524"/>
      <c r="AH109" s="524"/>
      <c r="AI109" s="524"/>
      <c r="AJ109" s="524"/>
      <c r="AK109" s="524"/>
      <c r="AL109" s="524"/>
      <c r="AM109" s="524"/>
      <c r="AN109" s="551"/>
      <c r="AO109" s="477"/>
      <c r="AP109" s="477"/>
      <c r="AQ109" s="524"/>
      <c r="AR109" s="524"/>
      <c r="AS109" s="524"/>
      <c r="AT10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09" s="483">
        <f>WWWW[[#This Row],[%Equitable and continuous access to sufficient quantity of safe drinking water]]*WWWW[[#This Row],[Total PoP ]]</f>
        <v>2111</v>
      </c>
      <c r="AV10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09" s="483">
        <f>WWWW[[#This Row],[% Access to unimproved water points]]*WWWW[[#This Row],[Total PoP ]]</f>
        <v>2111</v>
      </c>
      <c r="AX10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0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2111</v>
      </c>
      <c r="AZ109" s="483">
        <f>WWWW[[#This Row],[HRP1]]/250</f>
        <v>8.4440000000000008</v>
      </c>
      <c r="BA109" s="476">
        <f>1-WWWW[[#This Row],[% Equitable and continuous access to sufficient quantity of domestic water]]</f>
        <v>0</v>
      </c>
      <c r="BB109" s="483">
        <f>WWWW[[#This Row],[%equitable and continuous access to sufficient quantity of safe drinking and domestic water''s GAP]]*WWWW[[#This Row],[Total PoP ]]</f>
        <v>0</v>
      </c>
      <c r="BC109" s="478">
        <f>IF(WWWW[[#This Row],[Total required water points]]-WWWW[[#This Row],['#Water points coverage]]&lt;0,0,WWWW[[#This Row],[Total required water points]]-WWWW[[#This Row],['#Water points coverage]])</f>
        <v>0</v>
      </c>
      <c r="BD109" s="478">
        <f>ROUND(IF(WWWW[[#This Row],[Total PoP ]]&lt;250,1,WWWW[[#This Row],[Total PoP ]]/250),0)</f>
        <v>8</v>
      </c>
      <c r="BE10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0.23590715300805307</v>
      </c>
      <c r="BF109" s="483">
        <f>WWWW[[#This Row],[% people access to functioning Latrine]]*WWWW[[#This Row],[Total PoP ]]</f>
        <v>498</v>
      </c>
      <c r="BG109" s="478">
        <f>WWWW[[#This Row],['#_of_Functioning_latrines_in_school]]*50</f>
        <v>0</v>
      </c>
      <c r="BH109" s="478">
        <f>ROUND((WWWW[[#This Row],[Total PoP ]]/6),0)</f>
        <v>352</v>
      </c>
      <c r="BI109" s="478">
        <f>IF(WWWW[[#This Row],[Total required Latrines]]-(WWWW[[#This Row],['#_of_sanitary_fly-proof_HH_latrines]])&lt;0,0,WWWW[[#This Row],[Total required Latrines]]-(WWWW[[#This Row],['#_of_sanitary_fly-proof_HH_latrines]]))</f>
        <v>269</v>
      </c>
      <c r="BJ109" s="479">
        <f>1-WWWW[[#This Row],[% people access to functioning Latrine]]</f>
        <v>0.76409284699194691</v>
      </c>
      <c r="BK10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09" s="483">
        <f>IF(WWWW[[#This Row],['#_of_functional_handwashing_facilities_at_HH_level]]*6&gt;WWWW[[#This Row],[Total PoP ]],WWWW[[#This Row],[Total PoP ]],WWWW[[#This Row],['#_of_functional_handwashing_facilities_at_HH_level]]*6)</f>
        <v>0</v>
      </c>
      <c r="BM109" s="478">
        <f>IF(WWWW[[#This Row],['# people reached by regular dedicated hygiene promotion]]&gt;WWWW[[#This Row],['# People received regular supply of hygiene items]],WWWW[[#This Row],['# people reached by regular dedicated hygiene promotion]],WWWW[[#This Row],['# People received regular supply of hygiene items]])</f>
        <v>0</v>
      </c>
      <c r="BN109" s="476">
        <f>IF(WWWW[[#This Row],[HRP3]]/WWWW[[#This Row],[Total PoP ]]&gt;100%,100%,WWWW[[#This Row],[HRP3]]/WWWW[[#This Row],[Total PoP ]])</f>
        <v>0</v>
      </c>
      <c r="BO109" s="479">
        <f>1-WWWW[[#This Row],[Hygiene Coverage%]]</f>
        <v>1</v>
      </c>
      <c r="BP109" s="477">
        <f>WWWW[[#This Row],['# people reached by regular dedicated hygiene promotion]]/WWWW[[#This Row],[Total PoP ]]</f>
        <v>0</v>
      </c>
      <c r="BQ10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09" s="478">
        <f>WWWW[[#This Row],['#_of_affected_women_and_girls_receiving_a_sufficient_quantity_of_sanitary_pads]]</f>
        <v>0</v>
      </c>
      <c r="BS109" s="524">
        <f>IF(WWWW[[#This Row],['# People with access to soap]]&gt;WWWW[[#This Row],['# People with access to Sanity Pads]],WWWW[[#This Row],['# People with access to soap]],WWWW[[#This Row],['# People with access to Sanity Pads]])</f>
        <v>0</v>
      </c>
      <c r="BT109" s="483" t="str">
        <f>IF(OR(WWWW[[#This Row],['#of students in school]]="",WWWW[[#This Row],['#of students in school]]=0),"No","Yes")</f>
        <v>No</v>
      </c>
      <c r="BU109" s="480" t="str">
        <f>VLOOKUP(WWWW[[#This Row],[Village  Name]],SiteDB6[[Site Name]:[Location Type 1]],9,FALSE)</f>
        <v>Village</v>
      </c>
      <c r="BV109" s="480" t="str">
        <f>VLOOKUP(WWWW[[#This Row],[Village  Name]],SiteDB6[[Site Name]:[Type of Accommodation]],10,FALSE)</f>
        <v>Village</v>
      </c>
      <c r="BW109" s="480">
        <f>VLOOKUP(WWWW[[#This Row],[Village  Name]],SiteDB6[[Site Name]:[Ethnic or GCA/NGCA]],11,FALSE)</f>
        <v>0</v>
      </c>
      <c r="BX109" s="480">
        <f>VLOOKUP(WWWW[[#This Row],[Village  Name]],SiteDB6[[Site Name]:[Lat]],12,FALSE)</f>
        <v>20.448799133300799</v>
      </c>
      <c r="BY109" s="480">
        <f>VLOOKUP(WWWW[[#This Row],[Village  Name]],SiteDB6[[Site Name]:[Long]],13,FALSE)</f>
        <v>93.300239562988295</v>
      </c>
      <c r="BZ109" s="480">
        <f>VLOOKUP(WWWW[[#This Row],[Village  Name]],SiteDB6[[Site Name]:[Pcode]],3,FALSE)</f>
        <v>197040</v>
      </c>
      <c r="CA109" s="480" t="str">
        <f t="shared" si="5"/>
        <v>Covered</v>
      </c>
      <c r="CB109" s="505"/>
    </row>
    <row r="110" spans="1:80">
      <c r="A110" s="774" t="s">
        <v>3150</v>
      </c>
      <c r="B110" s="774" t="s">
        <v>314</v>
      </c>
      <c r="C110" s="415" t="s">
        <v>314</v>
      </c>
      <c r="D110" s="415" t="s">
        <v>307</v>
      </c>
      <c r="E110" s="415" t="s">
        <v>2648</v>
      </c>
      <c r="F110" s="415" t="s">
        <v>312</v>
      </c>
      <c r="G110" s="644" t="str">
        <f>VLOOKUP(WWWW[[#This Row],[Village  Name]],SiteDB6[[Site Name]:[Location Type]],8,FALSE)</f>
        <v>Village</v>
      </c>
      <c r="H110" s="415" t="s">
        <v>2605</v>
      </c>
      <c r="I110" s="524">
        <v>295</v>
      </c>
      <c r="J110" s="524">
        <v>1698</v>
      </c>
      <c r="K110" s="418">
        <v>42736</v>
      </c>
      <c r="L110" s="55">
        <v>44551</v>
      </c>
      <c r="M110" s="524"/>
      <c r="N110" s="524"/>
      <c r="O110" s="524">
        <v>2</v>
      </c>
      <c r="P110" s="524">
        <v>53</v>
      </c>
      <c r="Q110" s="524">
        <v>2</v>
      </c>
      <c r="R110" s="524"/>
      <c r="S110" s="524"/>
      <c r="T110" s="524"/>
      <c r="U110" s="551"/>
      <c r="V110" s="524">
        <v>77</v>
      </c>
      <c r="W110" s="524" t="s">
        <v>130</v>
      </c>
      <c r="X110" s="524"/>
      <c r="Y110" s="524"/>
      <c r="Z110" s="524"/>
      <c r="AA110" s="524"/>
      <c r="AB110" s="524"/>
      <c r="AC110" s="551"/>
      <c r="AD110" s="524"/>
      <c r="AE110" s="524"/>
      <c r="AF110" s="524"/>
      <c r="AG110" s="524"/>
      <c r="AH110" s="524"/>
      <c r="AI110" s="524"/>
      <c r="AJ110" s="524"/>
      <c r="AK110" s="524"/>
      <c r="AL110" s="524"/>
      <c r="AM110" s="524"/>
      <c r="AN110" s="551"/>
      <c r="AO110" s="477"/>
      <c r="AP110" s="477"/>
      <c r="AQ110" s="524"/>
      <c r="AR110" s="524"/>
      <c r="AS110" s="524"/>
      <c r="AT11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10" s="483">
        <f>WWWW[[#This Row],[%Equitable and continuous access to sufficient quantity of safe drinking water]]*WWWW[[#This Row],[Total PoP ]]</f>
        <v>1698</v>
      </c>
      <c r="AV11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10" s="483">
        <f>WWWW[[#This Row],[% Access to unimproved water points]]*WWWW[[#This Row],[Total PoP ]]</f>
        <v>1698</v>
      </c>
      <c r="AX11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1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1698</v>
      </c>
      <c r="AZ110" s="483">
        <f>WWWW[[#This Row],[HRP1]]/250</f>
        <v>6.7919999999999998</v>
      </c>
      <c r="BA110" s="476">
        <f>1-WWWW[[#This Row],[% Equitable and continuous access to sufficient quantity of domestic water]]</f>
        <v>0</v>
      </c>
      <c r="BB110" s="483">
        <f>WWWW[[#This Row],[%equitable and continuous access to sufficient quantity of safe drinking and domestic water''s GAP]]*WWWW[[#This Row],[Total PoP ]]</f>
        <v>0</v>
      </c>
      <c r="BC110" s="478">
        <f>IF(WWWW[[#This Row],[Total required water points]]-WWWW[[#This Row],['#Water points coverage]]&lt;0,0,WWWW[[#This Row],[Total required water points]]-WWWW[[#This Row],['#Water points coverage]])</f>
        <v>0.20800000000000018</v>
      </c>
      <c r="BD110" s="478">
        <f>ROUND(IF(WWWW[[#This Row],[Total PoP ]]&lt;250,1,WWWW[[#This Row],[Total PoP ]]/250),0)</f>
        <v>7</v>
      </c>
      <c r="BE11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0.27208480565371024</v>
      </c>
      <c r="BF110" s="483">
        <f>WWWW[[#This Row],[% people access to functioning Latrine]]*WWWW[[#This Row],[Total PoP ]]</f>
        <v>462</v>
      </c>
      <c r="BG110" s="478">
        <f>WWWW[[#This Row],['#_of_Functioning_latrines_in_school]]*50</f>
        <v>0</v>
      </c>
      <c r="BH110" s="478">
        <f>ROUND((WWWW[[#This Row],[Total PoP ]]/6),0)</f>
        <v>283</v>
      </c>
      <c r="BI110" s="478">
        <f>IF(WWWW[[#This Row],[Total required Latrines]]-(WWWW[[#This Row],['#_of_sanitary_fly-proof_HH_latrines]])&lt;0,0,WWWW[[#This Row],[Total required Latrines]]-(WWWW[[#This Row],['#_of_sanitary_fly-proof_HH_latrines]]))</f>
        <v>206</v>
      </c>
      <c r="BJ110" s="479">
        <f>1-WWWW[[#This Row],[% people access to functioning Latrine]]</f>
        <v>0.72791519434628982</v>
      </c>
      <c r="BK11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10" s="483">
        <f>IF(WWWW[[#This Row],['#_of_functional_handwashing_facilities_at_HH_level]]*6&gt;WWWW[[#This Row],[Total PoP ]],WWWW[[#This Row],[Total PoP ]],WWWW[[#This Row],['#_of_functional_handwashing_facilities_at_HH_level]]*6)</f>
        <v>0</v>
      </c>
      <c r="BM110" s="478">
        <f>IF(WWWW[[#This Row],['# people reached by regular dedicated hygiene promotion]]&gt;WWWW[[#This Row],['# People received regular supply of hygiene items]],WWWW[[#This Row],['# people reached by regular dedicated hygiene promotion]],WWWW[[#This Row],['# People received regular supply of hygiene items]])</f>
        <v>0</v>
      </c>
      <c r="BN110" s="476">
        <f>IF(WWWW[[#This Row],[HRP3]]/WWWW[[#This Row],[Total PoP ]]&gt;100%,100%,WWWW[[#This Row],[HRP3]]/WWWW[[#This Row],[Total PoP ]])</f>
        <v>0</v>
      </c>
      <c r="BO110" s="479">
        <f>1-WWWW[[#This Row],[Hygiene Coverage%]]</f>
        <v>1</v>
      </c>
      <c r="BP110" s="477">
        <f>WWWW[[#This Row],['# people reached by regular dedicated hygiene promotion]]/WWWW[[#This Row],[Total PoP ]]</f>
        <v>0</v>
      </c>
      <c r="BQ11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10" s="478">
        <f>WWWW[[#This Row],['#_of_affected_women_and_girls_receiving_a_sufficient_quantity_of_sanitary_pads]]</f>
        <v>0</v>
      </c>
      <c r="BS110" s="524">
        <f>IF(WWWW[[#This Row],['# People with access to soap]]&gt;WWWW[[#This Row],['# People with access to Sanity Pads]],WWWW[[#This Row],['# People with access to soap]],WWWW[[#This Row],['# People with access to Sanity Pads]])</f>
        <v>0</v>
      </c>
      <c r="BT110" s="483" t="str">
        <f>IF(OR(WWWW[[#This Row],['#of students in school]]="",WWWW[[#This Row],['#of students in school]]=0),"No","Yes")</f>
        <v>No</v>
      </c>
      <c r="BU110" s="480" t="str">
        <f>VLOOKUP(WWWW[[#This Row],[Village  Name]],SiteDB6[[Site Name]:[Location Type 1]],9,FALSE)</f>
        <v>Village</v>
      </c>
      <c r="BV110" s="480" t="str">
        <f>VLOOKUP(WWWW[[#This Row],[Village  Name]],SiteDB6[[Site Name]:[Type of Accommodation]],10,FALSE)</f>
        <v>Village</v>
      </c>
      <c r="BW110" s="480">
        <f>VLOOKUP(WWWW[[#This Row],[Village  Name]],SiteDB6[[Site Name]:[Ethnic or GCA/NGCA]],11,FALSE)</f>
        <v>0</v>
      </c>
      <c r="BX110" s="480">
        <f>VLOOKUP(WWWW[[#This Row],[Village  Name]],SiteDB6[[Site Name]:[Lat]],12,FALSE)</f>
        <v>20.463020324706999</v>
      </c>
      <c r="BY110" s="480">
        <f>VLOOKUP(WWWW[[#This Row],[Village  Name]],SiteDB6[[Site Name]:[Long]],13,FALSE)</f>
        <v>93.296417236328097</v>
      </c>
      <c r="BZ110" s="480">
        <f>VLOOKUP(WWWW[[#This Row],[Village  Name]],SiteDB6[[Site Name]:[Pcode]],3,FALSE)</f>
        <v>197039</v>
      </c>
      <c r="CA110" s="480" t="str">
        <f t="shared" si="5"/>
        <v>Covered</v>
      </c>
      <c r="CB110" s="505"/>
    </row>
    <row r="111" spans="1:80">
      <c r="A111" s="774" t="s">
        <v>3150</v>
      </c>
      <c r="B111" s="774" t="s">
        <v>314</v>
      </c>
      <c r="C111" s="415" t="s">
        <v>314</v>
      </c>
      <c r="D111" s="415" t="s">
        <v>307</v>
      </c>
      <c r="E111" s="415" t="s">
        <v>2648</v>
      </c>
      <c r="F111" s="415" t="s">
        <v>312</v>
      </c>
      <c r="G111" s="644" t="str">
        <f>VLOOKUP(WWWW[[#This Row],[Village  Name]],SiteDB6[[Site Name]:[Location Type]],8,FALSE)</f>
        <v>Village</v>
      </c>
      <c r="H111" s="415" t="s">
        <v>2606</v>
      </c>
      <c r="I111" s="524">
        <v>140</v>
      </c>
      <c r="J111" s="524">
        <v>985</v>
      </c>
      <c r="K111" s="418">
        <v>42736</v>
      </c>
      <c r="L111" s="55">
        <v>44551</v>
      </c>
      <c r="M111" s="524"/>
      <c r="N111" s="524"/>
      <c r="O111" s="524">
        <v>7</v>
      </c>
      <c r="P111" s="524">
        <v>27</v>
      </c>
      <c r="Q111" s="524">
        <v>3</v>
      </c>
      <c r="R111" s="524"/>
      <c r="S111" s="524"/>
      <c r="T111" s="524"/>
      <c r="U111" s="551"/>
      <c r="V111" s="524">
        <v>65</v>
      </c>
      <c r="W111" s="524" t="s">
        <v>130</v>
      </c>
      <c r="X111" s="524"/>
      <c r="Y111" s="524"/>
      <c r="Z111" s="524"/>
      <c r="AA111" s="524"/>
      <c r="AB111" s="524"/>
      <c r="AC111" s="551"/>
      <c r="AD111" s="524"/>
      <c r="AE111" s="524"/>
      <c r="AF111" s="524"/>
      <c r="AG111" s="524"/>
      <c r="AH111" s="524"/>
      <c r="AI111" s="524"/>
      <c r="AJ111" s="524"/>
      <c r="AK111" s="524"/>
      <c r="AL111" s="524"/>
      <c r="AM111" s="524"/>
      <c r="AN111" s="551"/>
      <c r="AO111" s="477"/>
      <c r="AP111" s="477"/>
      <c r="AQ111" s="524"/>
      <c r="AR111" s="524"/>
      <c r="AS111" s="524"/>
      <c r="AT111"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11" s="483">
        <f>WWWW[[#This Row],[%Equitable and continuous access to sufficient quantity of safe drinking water]]*WWWW[[#This Row],[Total PoP ]]</f>
        <v>985</v>
      </c>
      <c r="AV111"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11" s="483">
        <f>WWWW[[#This Row],[% Access to unimproved water points]]*WWWW[[#This Row],[Total PoP ]]</f>
        <v>985</v>
      </c>
      <c r="AX111"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11"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985</v>
      </c>
      <c r="AZ111" s="483">
        <f>WWWW[[#This Row],[HRP1]]/250</f>
        <v>3.94</v>
      </c>
      <c r="BA111" s="476">
        <f>1-WWWW[[#This Row],[% Equitable and continuous access to sufficient quantity of domestic water]]</f>
        <v>0</v>
      </c>
      <c r="BB111" s="483">
        <f>WWWW[[#This Row],[%equitable and continuous access to sufficient quantity of safe drinking and domestic water''s GAP]]*WWWW[[#This Row],[Total PoP ]]</f>
        <v>0</v>
      </c>
      <c r="BC111" s="478">
        <f>IF(WWWW[[#This Row],[Total required water points]]-WWWW[[#This Row],['#Water points coverage]]&lt;0,0,WWWW[[#This Row],[Total required water points]]-WWWW[[#This Row],['#Water points coverage]])</f>
        <v>6.0000000000000053E-2</v>
      </c>
      <c r="BD111" s="478">
        <f>ROUND(IF(WWWW[[#This Row],[Total PoP ]]&lt;250,1,WWWW[[#This Row],[Total PoP ]]/250),0)</f>
        <v>4</v>
      </c>
      <c r="BE11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0.39593908629441626</v>
      </c>
      <c r="BF111" s="483">
        <f>WWWW[[#This Row],[% people access to functioning Latrine]]*WWWW[[#This Row],[Total PoP ]]</f>
        <v>390</v>
      </c>
      <c r="BG111" s="478">
        <f>WWWW[[#This Row],['#_of_Functioning_latrines_in_school]]*50</f>
        <v>0</v>
      </c>
      <c r="BH111" s="478">
        <f>ROUND((WWWW[[#This Row],[Total PoP ]]/6),0)</f>
        <v>164</v>
      </c>
      <c r="BI111" s="478">
        <f>IF(WWWW[[#This Row],[Total required Latrines]]-(WWWW[[#This Row],['#_of_sanitary_fly-proof_HH_latrines]])&lt;0,0,WWWW[[#This Row],[Total required Latrines]]-(WWWW[[#This Row],['#_of_sanitary_fly-proof_HH_latrines]]))</f>
        <v>99</v>
      </c>
      <c r="BJ111" s="479">
        <f>1-WWWW[[#This Row],[% people access to functioning Latrine]]</f>
        <v>0.60406091370558368</v>
      </c>
      <c r="BK111"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11" s="483">
        <f>IF(WWWW[[#This Row],['#_of_functional_handwashing_facilities_at_HH_level]]*6&gt;WWWW[[#This Row],[Total PoP ]],WWWW[[#This Row],[Total PoP ]],WWWW[[#This Row],['#_of_functional_handwashing_facilities_at_HH_level]]*6)</f>
        <v>0</v>
      </c>
      <c r="BM111" s="478">
        <f>IF(WWWW[[#This Row],['# people reached by regular dedicated hygiene promotion]]&gt;WWWW[[#This Row],['# People received regular supply of hygiene items]],WWWW[[#This Row],['# people reached by regular dedicated hygiene promotion]],WWWW[[#This Row],['# People received regular supply of hygiene items]])</f>
        <v>0</v>
      </c>
      <c r="BN111" s="476">
        <f>IF(WWWW[[#This Row],[HRP3]]/WWWW[[#This Row],[Total PoP ]]&gt;100%,100%,WWWW[[#This Row],[HRP3]]/WWWW[[#This Row],[Total PoP ]])</f>
        <v>0</v>
      </c>
      <c r="BO111" s="479">
        <f>1-WWWW[[#This Row],[Hygiene Coverage%]]</f>
        <v>1</v>
      </c>
      <c r="BP111" s="477">
        <f>WWWW[[#This Row],['# people reached by regular dedicated hygiene promotion]]/WWWW[[#This Row],[Total PoP ]]</f>
        <v>0</v>
      </c>
      <c r="BQ11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11" s="478">
        <f>WWWW[[#This Row],['#_of_affected_women_and_girls_receiving_a_sufficient_quantity_of_sanitary_pads]]</f>
        <v>0</v>
      </c>
      <c r="BS111" s="524">
        <f>IF(WWWW[[#This Row],['# People with access to soap]]&gt;WWWW[[#This Row],['# People with access to Sanity Pads]],WWWW[[#This Row],['# People with access to soap]],WWWW[[#This Row],['# People with access to Sanity Pads]])</f>
        <v>0</v>
      </c>
      <c r="BT111" s="483" t="str">
        <f>IF(OR(WWWW[[#This Row],['#of students in school]]="",WWWW[[#This Row],['#of students in school]]=0),"No","Yes")</f>
        <v>No</v>
      </c>
      <c r="BU111" s="480" t="str">
        <f>VLOOKUP(WWWW[[#This Row],[Village  Name]],SiteDB6[[Site Name]:[Location Type 1]],9,FALSE)</f>
        <v>Village</v>
      </c>
      <c r="BV111" s="480" t="str">
        <f>VLOOKUP(WWWW[[#This Row],[Village  Name]],SiteDB6[[Site Name]:[Type of Accommodation]],10,FALSE)</f>
        <v>Village</v>
      </c>
      <c r="BW111" s="480">
        <f>VLOOKUP(WWWW[[#This Row],[Village  Name]],SiteDB6[[Site Name]:[Ethnic or GCA/NGCA]],11,FALSE)</f>
        <v>0</v>
      </c>
      <c r="BX111" s="480">
        <f>VLOOKUP(WWWW[[#This Row],[Village  Name]],SiteDB6[[Site Name]:[Lat]],12,FALSE)</f>
        <v>20.4733695983887</v>
      </c>
      <c r="BY111" s="480">
        <f>VLOOKUP(WWWW[[#This Row],[Village  Name]],SiteDB6[[Site Name]:[Long]],13,FALSE)</f>
        <v>93.291687011718807</v>
      </c>
      <c r="BZ111" s="480">
        <f>VLOOKUP(WWWW[[#This Row],[Village  Name]],SiteDB6[[Site Name]:[Pcode]],3,FALSE)</f>
        <v>197041</v>
      </c>
      <c r="CA111" s="480" t="str">
        <f t="shared" si="5"/>
        <v>Covered</v>
      </c>
      <c r="CB111" s="505"/>
    </row>
    <row r="112" spans="1:80">
      <c r="A112" s="774" t="s">
        <v>3150</v>
      </c>
      <c r="B112" s="774" t="s">
        <v>314</v>
      </c>
      <c r="C112" s="415" t="s">
        <v>314</v>
      </c>
      <c r="D112" s="415" t="s">
        <v>307</v>
      </c>
      <c r="E112" s="415" t="s">
        <v>2648</v>
      </c>
      <c r="F112" s="415" t="s">
        <v>312</v>
      </c>
      <c r="G112" s="644" t="str">
        <f>VLOOKUP(WWWW[[#This Row],[Village  Name]],SiteDB6[[Site Name]:[Location Type]],8,FALSE)</f>
        <v>Village</v>
      </c>
      <c r="H112" s="415" t="s">
        <v>2607</v>
      </c>
      <c r="I112" s="524">
        <v>157</v>
      </c>
      <c r="J112" s="524">
        <v>735</v>
      </c>
      <c r="K112" s="418">
        <v>42736</v>
      </c>
      <c r="L112" s="55">
        <v>44551</v>
      </c>
      <c r="M112" s="524"/>
      <c r="N112" s="524"/>
      <c r="O112" s="524">
        <v>0</v>
      </c>
      <c r="P112" s="524">
        <v>32</v>
      </c>
      <c r="Q112" s="524">
        <v>3</v>
      </c>
      <c r="R112" s="524"/>
      <c r="S112" s="524"/>
      <c r="T112" s="524"/>
      <c r="U112" s="551"/>
      <c r="V112" s="524">
        <v>72</v>
      </c>
      <c r="W112" s="524" t="s">
        <v>130</v>
      </c>
      <c r="X112" s="524"/>
      <c r="Y112" s="524"/>
      <c r="Z112" s="524"/>
      <c r="AA112" s="524"/>
      <c r="AB112" s="524"/>
      <c r="AC112" s="551"/>
      <c r="AD112" s="524"/>
      <c r="AE112" s="524"/>
      <c r="AF112" s="524"/>
      <c r="AG112" s="524"/>
      <c r="AH112" s="524"/>
      <c r="AI112" s="524"/>
      <c r="AJ112" s="524"/>
      <c r="AK112" s="524"/>
      <c r="AL112" s="524"/>
      <c r="AM112" s="524"/>
      <c r="AN112" s="551"/>
      <c r="AO112" s="477"/>
      <c r="AP112" s="477"/>
      <c r="AQ112" s="524"/>
      <c r="AR112" s="524"/>
      <c r="AS112" s="524"/>
      <c r="AT11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12" s="483">
        <f>WWWW[[#This Row],[%Equitable and continuous access to sufficient quantity of safe drinking water]]*WWWW[[#This Row],[Total PoP ]]</f>
        <v>735</v>
      </c>
      <c r="AV11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12" s="483">
        <f>WWWW[[#This Row],[% Access to unimproved water points]]*WWWW[[#This Row],[Total PoP ]]</f>
        <v>735</v>
      </c>
      <c r="AX11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1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735</v>
      </c>
      <c r="AZ112" s="483">
        <f>WWWW[[#This Row],[HRP1]]/250</f>
        <v>2.94</v>
      </c>
      <c r="BA112" s="476">
        <f>1-WWWW[[#This Row],[% Equitable and continuous access to sufficient quantity of domestic water]]</f>
        <v>0</v>
      </c>
      <c r="BB112" s="483">
        <f>WWWW[[#This Row],[%equitable and continuous access to sufficient quantity of safe drinking and domestic water''s GAP]]*WWWW[[#This Row],[Total PoP ]]</f>
        <v>0</v>
      </c>
      <c r="BC112" s="478">
        <f>IF(WWWW[[#This Row],[Total required water points]]-WWWW[[#This Row],['#Water points coverage]]&lt;0,0,WWWW[[#This Row],[Total required water points]]-WWWW[[#This Row],['#Water points coverage]])</f>
        <v>6.0000000000000053E-2</v>
      </c>
      <c r="BD112" s="478">
        <f>ROUND(IF(WWWW[[#This Row],[Total PoP ]]&lt;250,1,WWWW[[#This Row],[Total PoP ]]/250),0)</f>
        <v>3</v>
      </c>
      <c r="BE11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0.58775510204081638</v>
      </c>
      <c r="BF112" s="483">
        <f>WWWW[[#This Row],[% people access to functioning Latrine]]*WWWW[[#This Row],[Total PoP ]]</f>
        <v>432.00000000000006</v>
      </c>
      <c r="BG112" s="478">
        <f>WWWW[[#This Row],['#_of_Functioning_latrines_in_school]]*50</f>
        <v>0</v>
      </c>
      <c r="BH112" s="478">
        <f>ROUND((WWWW[[#This Row],[Total PoP ]]/6),0)</f>
        <v>123</v>
      </c>
      <c r="BI112" s="478">
        <f>IF(WWWW[[#This Row],[Total required Latrines]]-(WWWW[[#This Row],['#_of_sanitary_fly-proof_HH_latrines]])&lt;0,0,WWWW[[#This Row],[Total required Latrines]]-(WWWW[[#This Row],['#_of_sanitary_fly-proof_HH_latrines]]))</f>
        <v>51</v>
      </c>
      <c r="BJ112" s="479">
        <f>1-WWWW[[#This Row],[% people access to functioning Latrine]]</f>
        <v>0.41224489795918362</v>
      </c>
      <c r="BK11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12" s="483">
        <f>IF(WWWW[[#This Row],['#_of_functional_handwashing_facilities_at_HH_level]]*6&gt;WWWW[[#This Row],[Total PoP ]],WWWW[[#This Row],[Total PoP ]],WWWW[[#This Row],['#_of_functional_handwashing_facilities_at_HH_level]]*6)</f>
        <v>0</v>
      </c>
      <c r="BM112" s="478">
        <f>IF(WWWW[[#This Row],['# people reached by regular dedicated hygiene promotion]]&gt;WWWW[[#This Row],['# People received regular supply of hygiene items]],WWWW[[#This Row],['# people reached by regular dedicated hygiene promotion]],WWWW[[#This Row],['# People received regular supply of hygiene items]])</f>
        <v>0</v>
      </c>
      <c r="BN112" s="476">
        <f>IF(WWWW[[#This Row],[HRP3]]/WWWW[[#This Row],[Total PoP ]]&gt;100%,100%,WWWW[[#This Row],[HRP3]]/WWWW[[#This Row],[Total PoP ]])</f>
        <v>0</v>
      </c>
      <c r="BO112" s="479">
        <f>1-WWWW[[#This Row],[Hygiene Coverage%]]</f>
        <v>1</v>
      </c>
      <c r="BP112" s="477">
        <f>WWWW[[#This Row],['# people reached by regular dedicated hygiene promotion]]/WWWW[[#This Row],[Total PoP ]]</f>
        <v>0</v>
      </c>
      <c r="BQ11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12" s="478">
        <f>WWWW[[#This Row],['#_of_affected_women_and_girls_receiving_a_sufficient_quantity_of_sanitary_pads]]</f>
        <v>0</v>
      </c>
      <c r="BS112" s="524">
        <f>IF(WWWW[[#This Row],['# People with access to soap]]&gt;WWWW[[#This Row],['# People with access to Sanity Pads]],WWWW[[#This Row],['# People with access to soap]],WWWW[[#This Row],['# People with access to Sanity Pads]])</f>
        <v>0</v>
      </c>
      <c r="BT112" s="483" t="str">
        <f>IF(OR(WWWW[[#This Row],['#of students in school]]="",WWWW[[#This Row],['#of students in school]]=0),"No","Yes")</f>
        <v>No</v>
      </c>
      <c r="BU112" s="480" t="str">
        <f>VLOOKUP(WWWW[[#This Row],[Village  Name]],SiteDB6[[Site Name]:[Location Type 1]],9,FALSE)</f>
        <v>Village</v>
      </c>
      <c r="BV112" s="480" t="str">
        <f>VLOOKUP(WWWW[[#This Row],[Village  Name]],SiteDB6[[Site Name]:[Type of Accommodation]],10,FALSE)</f>
        <v>Village</v>
      </c>
      <c r="BW112" s="480">
        <f>VLOOKUP(WWWW[[#This Row],[Village  Name]],SiteDB6[[Site Name]:[Ethnic or GCA/NGCA]],11,FALSE)</f>
        <v>0</v>
      </c>
      <c r="BX112" s="480">
        <f>VLOOKUP(WWWW[[#This Row],[Village  Name]],SiteDB6[[Site Name]:[Lat]],12,FALSE)</f>
        <v>20.478410720825199</v>
      </c>
      <c r="BY112" s="480">
        <f>VLOOKUP(WWWW[[#This Row],[Village  Name]],SiteDB6[[Site Name]:[Long]],13,FALSE)</f>
        <v>93.28662109375</v>
      </c>
      <c r="BZ112" s="480">
        <f>VLOOKUP(WWWW[[#This Row],[Village  Name]],SiteDB6[[Site Name]:[Pcode]],3,FALSE)</f>
        <v>197042</v>
      </c>
      <c r="CA112" s="480" t="str">
        <f t="shared" si="5"/>
        <v>Covered</v>
      </c>
      <c r="CB112" s="505"/>
    </row>
    <row r="113" spans="1:80">
      <c r="A113" s="774" t="s">
        <v>3150</v>
      </c>
      <c r="B113" s="774" t="s">
        <v>314</v>
      </c>
      <c r="C113" s="415" t="s">
        <v>314</v>
      </c>
      <c r="D113" s="415" t="s">
        <v>307</v>
      </c>
      <c r="E113" s="415" t="s">
        <v>2648</v>
      </c>
      <c r="F113" s="415" t="s">
        <v>312</v>
      </c>
      <c r="G113" s="644" t="str">
        <f>VLOOKUP(WWWW[[#This Row],[Village  Name]],SiteDB6[[Site Name]:[Location Type]],8,FALSE)</f>
        <v>Village</v>
      </c>
      <c r="H113" s="415" t="s">
        <v>2608</v>
      </c>
      <c r="I113" s="524">
        <v>35</v>
      </c>
      <c r="J113" s="524">
        <v>142</v>
      </c>
      <c r="K113" s="418">
        <v>42736</v>
      </c>
      <c r="L113" s="55">
        <v>44551</v>
      </c>
      <c r="M113" s="524"/>
      <c r="N113" s="524"/>
      <c r="O113" s="524">
        <v>0</v>
      </c>
      <c r="P113" s="524">
        <v>117</v>
      </c>
      <c r="Q113" s="524">
        <v>3</v>
      </c>
      <c r="R113" s="524"/>
      <c r="S113" s="524"/>
      <c r="T113" s="524"/>
      <c r="U113" s="551"/>
      <c r="V113" s="524">
        <v>235</v>
      </c>
      <c r="W113" s="524" t="s">
        <v>130</v>
      </c>
      <c r="X113" s="524"/>
      <c r="Y113" s="524"/>
      <c r="Z113" s="524"/>
      <c r="AA113" s="524"/>
      <c r="AB113" s="524"/>
      <c r="AC113" s="551"/>
      <c r="AD113" s="524"/>
      <c r="AE113" s="524"/>
      <c r="AF113" s="524"/>
      <c r="AG113" s="524"/>
      <c r="AH113" s="524"/>
      <c r="AI113" s="524"/>
      <c r="AJ113" s="524"/>
      <c r="AK113" s="524"/>
      <c r="AL113" s="524"/>
      <c r="AM113" s="524"/>
      <c r="AN113" s="551"/>
      <c r="AO113" s="477"/>
      <c r="AP113" s="477"/>
      <c r="AQ113" s="524"/>
      <c r="AR113" s="524"/>
      <c r="AS113" s="524"/>
      <c r="AT113"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13" s="483">
        <f>WWWW[[#This Row],[%Equitable and continuous access to sufficient quantity of safe drinking water]]*WWWW[[#This Row],[Total PoP ]]</f>
        <v>142</v>
      </c>
      <c r="AV113"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13" s="483">
        <f>WWWW[[#This Row],[% Access to unimproved water points]]*WWWW[[#This Row],[Total PoP ]]</f>
        <v>142</v>
      </c>
      <c r="AX113"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13"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142</v>
      </c>
      <c r="AZ113" s="483">
        <f>WWWW[[#This Row],[HRP1]]/250</f>
        <v>0.56799999999999995</v>
      </c>
      <c r="BA113" s="476">
        <f>1-WWWW[[#This Row],[% Equitable and continuous access to sufficient quantity of domestic water]]</f>
        <v>0</v>
      </c>
      <c r="BB113" s="483">
        <f>WWWW[[#This Row],[%equitable and continuous access to sufficient quantity of safe drinking and domestic water''s GAP]]*WWWW[[#This Row],[Total PoP ]]</f>
        <v>0</v>
      </c>
      <c r="BC113" s="478">
        <f>IF(WWWW[[#This Row],[Total required water points]]-WWWW[[#This Row],['#Water points coverage]]&lt;0,0,WWWW[[#This Row],[Total required water points]]-WWWW[[#This Row],['#Water points coverage]])</f>
        <v>0.43200000000000005</v>
      </c>
      <c r="BD113" s="478">
        <f>ROUND(IF(WWWW[[#This Row],[Total PoP ]]&lt;250,1,WWWW[[#This Row],[Total PoP ]]/250),0)</f>
        <v>1</v>
      </c>
      <c r="BE11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13" s="483">
        <f>WWWW[[#This Row],[% people access to functioning Latrine]]*WWWW[[#This Row],[Total PoP ]]</f>
        <v>142</v>
      </c>
      <c r="BG113" s="478">
        <f>WWWW[[#This Row],['#_of_Functioning_latrines_in_school]]*50</f>
        <v>0</v>
      </c>
      <c r="BH113" s="478">
        <f>ROUND((WWWW[[#This Row],[Total PoP ]]/6),0)</f>
        <v>24</v>
      </c>
      <c r="BI113" s="478">
        <f>IF(WWWW[[#This Row],[Total required Latrines]]-(WWWW[[#This Row],['#_of_sanitary_fly-proof_HH_latrines]])&lt;0,0,WWWW[[#This Row],[Total required Latrines]]-(WWWW[[#This Row],['#_of_sanitary_fly-proof_HH_latrines]]))</f>
        <v>0</v>
      </c>
      <c r="BJ113" s="479">
        <f>1-WWWW[[#This Row],[% people access to functioning Latrine]]</f>
        <v>0</v>
      </c>
      <c r="BK113"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13" s="483">
        <f>IF(WWWW[[#This Row],['#_of_functional_handwashing_facilities_at_HH_level]]*6&gt;WWWW[[#This Row],[Total PoP ]],WWWW[[#This Row],[Total PoP ]],WWWW[[#This Row],['#_of_functional_handwashing_facilities_at_HH_level]]*6)</f>
        <v>0</v>
      </c>
      <c r="BM113" s="478">
        <f>IF(WWWW[[#This Row],['# people reached by regular dedicated hygiene promotion]]&gt;WWWW[[#This Row],['# People received regular supply of hygiene items]],WWWW[[#This Row],['# people reached by regular dedicated hygiene promotion]],WWWW[[#This Row],['# People received regular supply of hygiene items]])</f>
        <v>0</v>
      </c>
      <c r="BN113" s="476">
        <f>IF(WWWW[[#This Row],[HRP3]]/WWWW[[#This Row],[Total PoP ]]&gt;100%,100%,WWWW[[#This Row],[HRP3]]/WWWW[[#This Row],[Total PoP ]])</f>
        <v>0</v>
      </c>
      <c r="BO113" s="479">
        <f>1-WWWW[[#This Row],[Hygiene Coverage%]]</f>
        <v>1</v>
      </c>
      <c r="BP113" s="477">
        <f>WWWW[[#This Row],['# people reached by regular dedicated hygiene promotion]]/WWWW[[#This Row],[Total PoP ]]</f>
        <v>0</v>
      </c>
      <c r="BQ11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13" s="478">
        <f>WWWW[[#This Row],['#_of_affected_women_and_girls_receiving_a_sufficient_quantity_of_sanitary_pads]]</f>
        <v>0</v>
      </c>
      <c r="BS113" s="524">
        <f>IF(WWWW[[#This Row],['# People with access to soap]]&gt;WWWW[[#This Row],['# People with access to Sanity Pads]],WWWW[[#This Row],['# People with access to soap]],WWWW[[#This Row],['# People with access to Sanity Pads]])</f>
        <v>0</v>
      </c>
      <c r="BT113" s="483" t="str">
        <f>IF(OR(WWWW[[#This Row],['#of students in school]]="",WWWW[[#This Row],['#of students in school]]=0),"No","Yes")</f>
        <v>No</v>
      </c>
      <c r="BU113" s="480" t="str">
        <f>VLOOKUP(WWWW[[#This Row],[Village  Name]],SiteDB6[[Site Name]:[Location Type 1]],9,FALSE)</f>
        <v>Village</v>
      </c>
      <c r="BV113" s="480" t="str">
        <f>VLOOKUP(WWWW[[#This Row],[Village  Name]],SiteDB6[[Site Name]:[Type of Accommodation]],10,FALSE)</f>
        <v>Village</v>
      </c>
      <c r="BW113" s="480">
        <f>VLOOKUP(WWWW[[#This Row],[Village  Name]],SiteDB6[[Site Name]:[Ethnic or GCA/NGCA]],11,FALSE)</f>
        <v>0</v>
      </c>
      <c r="BX113" s="480">
        <f>VLOOKUP(WWWW[[#This Row],[Village  Name]],SiteDB6[[Site Name]:[Lat]],12,FALSE)</f>
        <v>20.481389999389599</v>
      </c>
      <c r="BY113" s="480">
        <f>VLOOKUP(WWWW[[#This Row],[Village  Name]],SiteDB6[[Site Name]:[Long]],13,FALSE)</f>
        <v>93.283447265625</v>
      </c>
      <c r="BZ113" s="480">
        <f>VLOOKUP(WWWW[[#This Row],[Village  Name]],SiteDB6[[Site Name]:[Pcode]],3,FALSE)</f>
        <v>197043</v>
      </c>
      <c r="CA113" s="480" t="str">
        <f t="shared" si="5"/>
        <v>Covered</v>
      </c>
      <c r="CB113" s="505"/>
    </row>
    <row r="114" spans="1:80">
      <c r="A114" s="774" t="s">
        <v>3150</v>
      </c>
      <c r="B114" s="774" t="s">
        <v>314</v>
      </c>
      <c r="C114" s="415" t="s">
        <v>314</v>
      </c>
      <c r="D114" s="415" t="s">
        <v>307</v>
      </c>
      <c r="E114" s="415" t="s">
        <v>2648</v>
      </c>
      <c r="F114" s="415" t="s">
        <v>312</v>
      </c>
      <c r="G114" s="644" t="str">
        <f>VLOOKUP(WWWW[[#This Row],[Village  Name]],SiteDB6[[Site Name]:[Location Type]],8,FALSE)</f>
        <v>Village</v>
      </c>
      <c r="H114" s="415" t="s">
        <v>2609</v>
      </c>
      <c r="I114" s="524">
        <v>148</v>
      </c>
      <c r="J114" s="524">
        <v>630</v>
      </c>
      <c r="K114" s="418">
        <v>42736</v>
      </c>
      <c r="L114" s="55">
        <v>44551</v>
      </c>
      <c r="M114" s="524"/>
      <c r="N114" s="524"/>
      <c r="O114" s="524">
        <v>6</v>
      </c>
      <c r="P114" s="524">
        <v>92</v>
      </c>
      <c r="Q114" s="524">
        <v>3</v>
      </c>
      <c r="R114" s="524"/>
      <c r="S114" s="524"/>
      <c r="T114" s="524"/>
      <c r="U114" s="551"/>
      <c r="V114" s="524">
        <v>204</v>
      </c>
      <c r="W114" s="524" t="s">
        <v>130</v>
      </c>
      <c r="X114" s="524"/>
      <c r="Y114" s="524"/>
      <c r="Z114" s="524"/>
      <c r="AA114" s="524"/>
      <c r="AB114" s="524"/>
      <c r="AC114" s="551"/>
      <c r="AD114" s="524"/>
      <c r="AE114" s="524"/>
      <c r="AF114" s="524"/>
      <c r="AG114" s="524"/>
      <c r="AH114" s="524"/>
      <c r="AI114" s="524"/>
      <c r="AJ114" s="524"/>
      <c r="AK114" s="524"/>
      <c r="AL114" s="524"/>
      <c r="AM114" s="524"/>
      <c r="AN114" s="551"/>
      <c r="AO114" s="477"/>
      <c r="AP114" s="477"/>
      <c r="AQ114" s="524"/>
      <c r="AR114" s="524"/>
      <c r="AS114" s="524"/>
      <c r="AT11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14" s="483">
        <f>WWWW[[#This Row],[%Equitable and continuous access to sufficient quantity of safe drinking water]]*WWWW[[#This Row],[Total PoP ]]</f>
        <v>630</v>
      </c>
      <c r="AV11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14" s="483">
        <f>WWWW[[#This Row],[% Access to unimproved water points]]*WWWW[[#This Row],[Total PoP ]]</f>
        <v>630</v>
      </c>
      <c r="AX11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1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630</v>
      </c>
      <c r="AZ114" s="483">
        <f>WWWW[[#This Row],[HRP1]]/250</f>
        <v>2.52</v>
      </c>
      <c r="BA114" s="476">
        <f>1-WWWW[[#This Row],[% Equitable and continuous access to sufficient quantity of domestic water]]</f>
        <v>0</v>
      </c>
      <c r="BB114" s="483">
        <f>WWWW[[#This Row],[%equitable and continuous access to sufficient quantity of safe drinking and domestic water''s GAP]]*WWWW[[#This Row],[Total PoP ]]</f>
        <v>0</v>
      </c>
      <c r="BC114" s="478">
        <f>IF(WWWW[[#This Row],[Total required water points]]-WWWW[[#This Row],['#Water points coverage]]&lt;0,0,WWWW[[#This Row],[Total required water points]]-WWWW[[#This Row],['#Water points coverage]])</f>
        <v>0.48</v>
      </c>
      <c r="BD114" s="478">
        <f>ROUND(IF(WWWW[[#This Row],[Total PoP ]]&lt;250,1,WWWW[[#This Row],[Total PoP ]]/250),0)</f>
        <v>3</v>
      </c>
      <c r="BE11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14" s="483">
        <f>WWWW[[#This Row],[% people access to functioning Latrine]]*WWWW[[#This Row],[Total PoP ]]</f>
        <v>630</v>
      </c>
      <c r="BG114" s="478">
        <f>WWWW[[#This Row],['#_of_Functioning_latrines_in_school]]*50</f>
        <v>0</v>
      </c>
      <c r="BH114" s="478">
        <f>ROUND((WWWW[[#This Row],[Total PoP ]]/6),0)</f>
        <v>105</v>
      </c>
      <c r="BI114" s="478">
        <f>IF(WWWW[[#This Row],[Total required Latrines]]-(WWWW[[#This Row],['#_of_sanitary_fly-proof_HH_latrines]])&lt;0,0,WWWW[[#This Row],[Total required Latrines]]-(WWWW[[#This Row],['#_of_sanitary_fly-proof_HH_latrines]]))</f>
        <v>0</v>
      </c>
      <c r="BJ114" s="479">
        <f>1-WWWW[[#This Row],[% people access to functioning Latrine]]</f>
        <v>0</v>
      </c>
      <c r="BK11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14" s="483">
        <f>IF(WWWW[[#This Row],['#_of_functional_handwashing_facilities_at_HH_level]]*6&gt;WWWW[[#This Row],[Total PoP ]],WWWW[[#This Row],[Total PoP ]],WWWW[[#This Row],['#_of_functional_handwashing_facilities_at_HH_level]]*6)</f>
        <v>0</v>
      </c>
      <c r="BM114" s="478">
        <f>IF(WWWW[[#This Row],['# people reached by regular dedicated hygiene promotion]]&gt;WWWW[[#This Row],['# People received regular supply of hygiene items]],WWWW[[#This Row],['# people reached by regular dedicated hygiene promotion]],WWWW[[#This Row],['# People received regular supply of hygiene items]])</f>
        <v>0</v>
      </c>
      <c r="BN114" s="476">
        <f>IF(WWWW[[#This Row],[HRP3]]/WWWW[[#This Row],[Total PoP ]]&gt;100%,100%,WWWW[[#This Row],[HRP3]]/WWWW[[#This Row],[Total PoP ]])</f>
        <v>0</v>
      </c>
      <c r="BO114" s="479">
        <f>1-WWWW[[#This Row],[Hygiene Coverage%]]</f>
        <v>1</v>
      </c>
      <c r="BP114" s="477">
        <f>WWWW[[#This Row],['# people reached by regular dedicated hygiene promotion]]/WWWW[[#This Row],[Total PoP ]]</f>
        <v>0</v>
      </c>
      <c r="BQ11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14" s="478">
        <f>WWWW[[#This Row],['#_of_affected_women_and_girls_receiving_a_sufficient_quantity_of_sanitary_pads]]</f>
        <v>0</v>
      </c>
      <c r="BS114" s="524">
        <f>IF(WWWW[[#This Row],['# People with access to soap]]&gt;WWWW[[#This Row],['# People with access to Sanity Pads]],WWWW[[#This Row],['# People with access to soap]],WWWW[[#This Row],['# People with access to Sanity Pads]])</f>
        <v>0</v>
      </c>
      <c r="BT114" s="483" t="str">
        <f>IF(OR(WWWW[[#This Row],['#of students in school]]="",WWWW[[#This Row],['#of students in school]]=0),"No","Yes")</f>
        <v>No</v>
      </c>
      <c r="BU114" s="480" t="str">
        <f>VLOOKUP(WWWW[[#This Row],[Village  Name]],SiteDB6[[Site Name]:[Location Type 1]],9,FALSE)</f>
        <v>Village</v>
      </c>
      <c r="BV114" s="480" t="str">
        <f>VLOOKUP(WWWW[[#This Row],[Village  Name]],SiteDB6[[Site Name]:[Type of Accommodation]],10,FALSE)</f>
        <v>Village</v>
      </c>
      <c r="BW114" s="480">
        <f>VLOOKUP(WWWW[[#This Row],[Village  Name]],SiteDB6[[Site Name]:[Ethnic or GCA/NGCA]],11,FALSE)</f>
        <v>0</v>
      </c>
      <c r="BX114" s="480">
        <f>VLOOKUP(WWWW[[#This Row],[Village  Name]],SiteDB6[[Site Name]:[Lat]],12,FALSE)</f>
        <v>20.422460556030298</v>
      </c>
      <c r="BY114" s="480">
        <f>VLOOKUP(WWWW[[#This Row],[Village  Name]],SiteDB6[[Site Name]:[Long]],13,FALSE)</f>
        <v>93.317733764648395</v>
      </c>
      <c r="BZ114" s="480">
        <f>VLOOKUP(WWWW[[#This Row],[Village  Name]],SiteDB6[[Site Name]:[Pcode]],3,FALSE)</f>
        <v>197089</v>
      </c>
      <c r="CA114" s="480" t="str">
        <f t="shared" si="5"/>
        <v>Covered</v>
      </c>
      <c r="CB114" s="505"/>
    </row>
    <row r="115" spans="1:80">
      <c r="A115" s="774" t="s">
        <v>3150</v>
      </c>
      <c r="B115" s="774" t="s">
        <v>314</v>
      </c>
      <c r="C115" s="415" t="s">
        <v>314</v>
      </c>
      <c r="D115" s="415" t="s">
        <v>307</v>
      </c>
      <c r="E115" s="415" t="s">
        <v>2648</v>
      </c>
      <c r="F115" s="415" t="s">
        <v>312</v>
      </c>
      <c r="G115" s="644" t="str">
        <f>VLOOKUP(WWWW[[#This Row],[Village  Name]],SiteDB6[[Site Name]:[Location Type]],8,FALSE)</f>
        <v>Village</v>
      </c>
      <c r="H115" s="415" t="s">
        <v>2610</v>
      </c>
      <c r="I115" s="524">
        <v>135</v>
      </c>
      <c r="J115" s="524">
        <v>593</v>
      </c>
      <c r="K115" s="418">
        <v>42736</v>
      </c>
      <c r="L115" s="55">
        <v>44551</v>
      </c>
      <c r="M115" s="524"/>
      <c r="N115" s="524"/>
      <c r="O115" s="524">
        <v>7</v>
      </c>
      <c r="P115" s="524">
        <v>55</v>
      </c>
      <c r="Q115" s="524">
        <v>2</v>
      </c>
      <c r="R115" s="524"/>
      <c r="S115" s="524"/>
      <c r="T115" s="524"/>
      <c r="U115" s="551"/>
      <c r="V115" s="524">
        <v>114</v>
      </c>
      <c r="W115" s="524" t="s">
        <v>130</v>
      </c>
      <c r="X115" s="524"/>
      <c r="Y115" s="524"/>
      <c r="Z115" s="524"/>
      <c r="AA115" s="524"/>
      <c r="AB115" s="524"/>
      <c r="AC115" s="551"/>
      <c r="AD115" s="524"/>
      <c r="AE115" s="524"/>
      <c r="AF115" s="524"/>
      <c r="AG115" s="524"/>
      <c r="AH115" s="524"/>
      <c r="AI115" s="524"/>
      <c r="AJ115" s="524"/>
      <c r="AK115" s="524"/>
      <c r="AL115" s="524"/>
      <c r="AM115" s="524"/>
      <c r="AN115" s="551"/>
      <c r="AO115" s="477"/>
      <c r="AP115" s="477"/>
      <c r="AQ115" s="524"/>
      <c r="AR115" s="524"/>
      <c r="AS115" s="524"/>
      <c r="AT11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15" s="483">
        <f>WWWW[[#This Row],[%Equitable and continuous access to sufficient quantity of safe drinking water]]*WWWW[[#This Row],[Total PoP ]]</f>
        <v>593</v>
      </c>
      <c r="AV11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15" s="483">
        <f>WWWW[[#This Row],[% Access to unimproved water points]]*WWWW[[#This Row],[Total PoP ]]</f>
        <v>593</v>
      </c>
      <c r="AX11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1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593</v>
      </c>
      <c r="AZ115" s="483">
        <f>WWWW[[#This Row],[HRP1]]/250</f>
        <v>2.3719999999999999</v>
      </c>
      <c r="BA115" s="476">
        <f>1-WWWW[[#This Row],[% Equitable and continuous access to sufficient quantity of domestic water]]</f>
        <v>0</v>
      </c>
      <c r="BB115" s="483">
        <f>WWWW[[#This Row],[%equitable and continuous access to sufficient quantity of safe drinking and domestic water''s GAP]]*WWWW[[#This Row],[Total PoP ]]</f>
        <v>0</v>
      </c>
      <c r="BC115" s="478">
        <f>IF(WWWW[[#This Row],[Total required water points]]-WWWW[[#This Row],['#Water points coverage]]&lt;0,0,WWWW[[#This Row],[Total required water points]]-WWWW[[#This Row],['#Water points coverage]])</f>
        <v>0</v>
      </c>
      <c r="BD115" s="478">
        <f>ROUND(IF(WWWW[[#This Row],[Total PoP ]]&lt;250,1,WWWW[[#This Row],[Total PoP ]]/250),0)</f>
        <v>2</v>
      </c>
      <c r="BE11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15" s="483">
        <f>WWWW[[#This Row],[% people access to functioning Latrine]]*WWWW[[#This Row],[Total PoP ]]</f>
        <v>593</v>
      </c>
      <c r="BG115" s="478">
        <f>WWWW[[#This Row],['#_of_Functioning_latrines_in_school]]*50</f>
        <v>0</v>
      </c>
      <c r="BH115" s="478">
        <f>ROUND((WWWW[[#This Row],[Total PoP ]]/6),0)</f>
        <v>99</v>
      </c>
      <c r="BI115" s="478">
        <f>IF(WWWW[[#This Row],[Total required Latrines]]-(WWWW[[#This Row],['#_of_sanitary_fly-proof_HH_latrines]])&lt;0,0,WWWW[[#This Row],[Total required Latrines]]-(WWWW[[#This Row],['#_of_sanitary_fly-proof_HH_latrines]]))</f>
        <v>0</v>
      </c>
      <c r="BJ115" s="479">
        <f>1-WWWW[[#This Row],[% people access to functioning Latrine]]</f>
        <v>0</v>
      </c>
      <c r="BK11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15" s="483">
        <f>IF(WWWW[[#This Row],['#_of_functional_handwashing_facilities_at_HH_level]]*6&gt;WWWW[[#This Row],[Total PoP ]],WWWW[[#This Row],[Total PoP ]],WWWW[[#This Row],['#_of_functional_handwashing_facilities_at_HH_level]]*6)</f>
        <v>0</v>
      </c>
      <c r="BM115" s="478">
        <f>IF(WWWW[[#This Row],['# people reached by regular dedicated hygiene promotion]]&gt;WWWW[[#This Row],['# People received regular supply of hygiene items]],WWWW[[#This Row],['# people reached by regular dedicated hygiene promotion]],WWWW[[#This Row],['# People received regular supply of hygiene items]])</f>
        <v>0</v>
      </c>
      <c r="BN115" s="476">
        <f>IF(WWWW[[#This Row],[HRP3]]/WWWW[[#This Row],[Total PoP ]]&gt;100%,100%,WWWW[[#This Row],[HRP3]]/WWWW[[#This Row],[Total PoP ]])</f>
        <v>0</v>
      </c>
      <c r="BO115" s="479">
        <f>1-WWWW[[#This Row],[Hygiene Coverage%]]</f>
        <v>1</v>
      </c>
      <c r="BP115" s="477">
        <f>WWWW[[#This Row],['# people reached by regular dedicated hygiene promotion]]/WWWW[[#This Row],[Total PoP ]]</f>
        <v>0</v>
      </c>
      <c r="BQ11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15" s="478">
        <f>WWWW[[#This Row],['#_of_affected_women_and_girls_receiving_a_sufficient_quantity_of_sanitary_pads]]</f>
        <v>0</v>
      </c>
      <c r="BS115" s="524">
        <f>IF(WWWW[[#This Row],['# People with access to soap]]&gt;WWWW[[#This Row],['# People with access to Sanity Pads]],WWWW[[#This Row],['# People with access to soap]],WWWW[[#This Row],['# People with access to Sanity Pads]])</f>
        <v>0</v>
      </c>
      <c r="BT115" s="483" t="str">
        <f>IF(OR(WWWW[[#This Row],['#of students in school]]="",WWWW[[#This Row],['#of students in school]]=0),"No","Yes")</f>
        <v>No</v>
      </c>
      <c r="BU115" s="480" t="str">
        <f>VLOOKUP(WWWW[[#This Row],[Village  Name]],SiteDB6[[Site Name]:[Location Type 1]],9,FALSE)</f>
        <v>Village</v>
      </c>
      <c r="BV115" s="480" t="str">
        <f>VLOOKUP(WWWW[[#This Row],[Village  Name]],SiteDB6[[Site Name]:[Type of Accommodation]],10,FALSE)</f>
        <v>Village</v>
      </c>
      <c r="BW115" s="480">
        <f>VLOOKUP(WWWW[[#This Row],[Village  Name]],SiteDB6[[Site Name]:[Ethnic or GCA/NGCA]],11,FALSE)</f>
        <v>0</v>
      </c>
      <c r="BX115" s="480">
        <f>VLOOKUP(WWWW[[#This Row],[Village  Name]],SiteDB6[[Site Name]:[Lat]],12,FALSE)</f>
        <v>20.445030212402301</v>
      </c>
      <c r="BY115" s="480">
        <f>VLOOKUP(WWWW[[#This Row],[Village  Name]],SiteDB6[[Site Name]:[Long]],13,FALSE)</f>
        <v>93.312812805175795</v>
      </c>
      <c r="BZ115" s="480">
        <f>VLOOKUP(WWWW[[#This Row],[Village  Name]],SiteDB6[[Site Name]:[Pcode]],3,FALSE)</f>
        <v>197090</v>
      </c>
      <c r="CA115" s="480" t="str">
        <f t="shared" si="5"/>
        <v>Covered</v>
      </c>
      <c r="CB115" s="505"/>
    </row>
    <row r="116" spans="1:80">
      <c r="A116" s="774" t="s">
        <v>3150</v>
      </c>
      <c r="B116" s="774" t="s">
        <v>314</v>
      </c>
      <c r="C116" s="415" t="s">
        <v>314</v>
      </c>
      <c r="D116" s="415" t="s">
        <v>307</v>
      </c>
      <c r="E116" s="415" t="s">
        <v>2648</v>
      </c>
      <c r="F116" s="415" t="s">
        <v>312</v>
      </c>
      <c r="G116" s="644" t="str">
        <f>VLOOKUP(WWWW[[#This Row],[Village  Name]],SiteDB6[[Site Name]:[Location Type]],8,FALSE)</f>
        <v>Village</v>
      </c>
      <c r="H116" s="415" t="s">
        <v>876</v>
      </c>
      <c r="I116" s="524">
        <v>139</v>
      </c>
      <c r="J116" s="524">
        <v>585</v>
      </c>
      <c r="K116" s="418">
        <v>42736</v>
      </c>
      <c r="L116" s="55">
        <v>44551</v>
      </c>
      <c r="M116" s="524"/>
      <c r="N116" s="524"/>
      <c r="O116" s="524">
        <v>3</v>
      </c>
      <c r="P116" s="524">
        <v>69</v>
      </c>
      <c r="Q116" s="524">
        <v>1</v>
      </c>
      <c r="R116" s="524"/>
      <c r="S116" s="524"/>
      <c r="T116" s="524"/>
      <c r="U116" s="551"/>
      <c r="V116" s="524">
        <v>54</v>
      </c>
      <c r="W116" s="524" t="s">
        <v>130</v>
      </c>
      <c r="X116" s="524"/>
      <c r="Y116" s="524"/>
      <c r="Z116" s="524"/>
      <c r="AA116" s="524"/>
      <c r="AB116" s="524"/>
      <c r="AC116" s="551"/>
      <c r="AD116" s="524"/>
      <c r="AE116" s="524"/>
      <c r="AF116" s="524"/>
      <c r="AG116" s="524"/>
      <c r="AH116" s="524"/>
      <c r="AI116" s="524"/>
      <c r="AJ116" s="524"/>
      <c r="AK116" s="524"/>
      <c r="AL116" s="524"/>
      <c r="AM116" s="524"/>
      <c r="AN116" s="551"/>
      <c r="AO116" s="477"/>
      <c r="AP116" s="477"/>
      <c r="AQ116" s="524"/>
      <c r="AR116" s="524"/>
      <c r="AS116" s="524"/>
      <c r="AT11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16" s="483">
        <f>WWWW[[#This Row],[%Equitable and continuous access to sufficient quantity of safe drinking water]]*WWWW[[#This Row],[Total PoP ]]</f>
        <v>585</v>
      </c>
      <c r="AV11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16" s="483">
        <f>WWWW[[#This Row],[% Access to unimproved water points]]*WWWW[[#This Row],[Total PoP ]]</f>
        <v>585</v>
      </c>
      <c r="AX11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1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585</v>
      </c>
      <c r="AZ116" s="483">
        <f>WWWW[[#This Row],[HRP1]]/250</f>
        <v>2.34</v>
      </c>
      <c r="BA116" s="476">
        <f>1-WWWW[[#This Row],[% Equitable and continuous access to sufficient quantity of domestic water]]</f>
        <v>0</v>
      </c>
      <c r="BB116" s="483">
        <f>WWWW[[#This Row],[%equitable and continuous access to sufficient quantity of safe drinking and domestic water''s GAP]]*WWWW[[#This Row],[Total PoP ]]</f>
        <v>0</v>
      </c>
      <c r="BC116" s="478">
        <f>IF(WWWW[[#This Row],[Total required water points]]-WWWW[[#This Row],['#Water points coverage]]&lt;0,0,WWWW[[#This Row],[Total required water points]]-WWWW[[#This Row],['#Water points coverage]])</f>
        <v>0</v>
      </c>
      <c r="BD116" s="478">
        <f>ROUND(IF(WWWW[[#This Row],[Total PoP ]]&lt;250,1,WWWW[[#This Row],[Total PoP ]]/250),0)</f>
        <v>2</v>
      </c>
      <c r="BE11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0.55384615384615388</v>
      </c>
      <c r="BF116" s="483">
        <f>WWWW[[#This Row],[% people access to functioning Latrine]]*WWWW[[#This Row],[Total PoP ]]</f>
        <v>324</v>
      </c>
      <c r="BG116" s="478">
        <f>WWWW[[#This Row],['#_of_Functioning_latrines_in_school]]*50</f>
        <v>0</v>
      </c>
      <c r="BH116" s="478">
        <f>ROUND((WWWW[[#This Row],[Total PoP ]]/6),0)</f>
        <v>98</v>
      </c>
      <c r="BI116" s="478">
        <f>IF(WWWW[[#This Row],[Total required Latrines]]-(WWWW[[#This Row],['#_of_sanitary_fly-proof_HH_latrines]])&lt;0,0,WWWW[[#This Row],[Total required Latrines]]-(WWWW[[#This Row],['#_of_sanitary_fly-proof_HH_latrines]]))</f>
        <v>44</v>
      </c>
      <c r="BJ116" s="479">
        <f>1-WWWW[[#This Row],[% people access to functioning Latrine]]</f>
        <v>0.44615384615384612</v>
      </c>
      <c r="BK11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16" s="483">
        <f>IF(WWWW[[#This Row],['#_of_functional_handwashing_facilities_at_HH_level]]*6&gt;WWWW[[#This Row],[Total PoP ]],WWWW[[#This Row],[Total PoP ]],WWWW[[#This Row],['#_of_functional_handwashing_facilities_at_HH_level]]*6)</f>
        <v>0</v>
      </c>
      <c r="BM116" s="478">
        <f>IF(WWWW[[#This Row],['# people reached by regular dedicated hygiene promotion]]&gt;WWWW[[#This Row],['# People received regular supply of hygiene items]],WWWW[[#This Row],['# people reached by regular dedicated hygiene promotion]],WWWW[[#This Row],['# People received regular supply of hygiene items]])</f>
        <v>0</v>
      </c>
      <c r="BN116" s="476">
        <f>IF(WWWW[[#This Row],[HRP3]]/WWWW[[#This Row],[Total PoP ]]&gt;100%,100%,WWWW[[#This Row],[HRP3]]/WWWW[[#This Row],[Total PoP ]])</f>
        <v>0</v>
      </c>
      <c r="BO116" s="479">
        <f>1-WWWW[[#This Row],[Hygiene Coverage%]]</f>
        <v>1</v>
      </c>
      <c r="BP116" s="477">
        <f>WWWW[[#This Row],['# people reached by regular dedicated hygiene promotion]]/WWWW[[#This Row],[Total PoP ]]</f>
        <v>0</v>
      </c>
      <c r="BQ11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16" s="478">
        <f>WWWW[[#This Row],['#_of_affected_women_and_girls_receiving_a_sufficient_quantity_of_sanitary_pads]]</f>
        <v>0</v>
      </c>
      <c r="BS116" s="524">
        <f>IF(WWWW[[#This Row],['# People with access to soap]]&gt;WWWW[[#This Row],['# People with access to Sanity Pads]],WWWW[[#This Row],['# People with access to soap]],WWWW[[#This Row],['# People with access to Sanity Pads]])</f>
        <v>0</v>
      </c>
      <c r="BT116" s="483" t="str">
        <f>IF(OR(WWWW[[#This Row],['#of students in school]]="",WWWW[[#This Row],['#of students in school]]=0),"No","Yes")</f>
        <v>No</v>
      </c>
      <c r="BU116" s="480" t="str">
        <f>VLOOKUP(WWWW[[#This Row],[Village  Name]],SiteDB6[[Site Name]:[Location Type 1]],9,FALSE)</f>
        <v>Village</v>
      </c>
      <c r="BV116" s="480" t="str">
        <f>VLOOKUP(WWWW[[#This Row],[Village  Name]],SiteDB6[[Site Name]:[Type of Accommodation]],10,FALSE)</f>
        <v>Village</v>
      </c>
      <c r="BW116" s="480">
        <f>VLOOKUP(WWWW[[#This Row],[Village  Name]],SiteDB6[[Site Name]:[Ethnic or GCA/NGCA]],11,FALSE)</f>
        <v>0</v>
      </c>
      <c r="BX116" s="480">
        <f>VLOOKUP(WWWW[[#This Row],[Village  Name]],SiteDB6[[Site Name]:[Lat]],12,FALSE)</f>
        <v>20.466840744018601</v>
      </c>
      <c r="BY116" s="480">
        <f>VLOOKUP(WWWW[[#This Row],[Village  Name]],SiteDB6[[Site Name]:[Long]],13,FALSE)</f>
        <v>93.304931640625</v>
      </c>
      <c r="BZ116" s="480">
        <f>VLOOKUP(WWWW[[#This Row],[Village  Name]],SiteDB6[[Site Name]:[Pcode]],3,FALSE)</f>
        <v>197149</v>
      </c>
      <c r="CA116" s="480" t="str">
        <f t="shared" si="5"/>
        <v>Covered</v>
      </c>
      <c r="CB116" s="505"/>
    </row>
    <row r="117" spans="1:80">
      <c r="A117" s="774" t="s">
        <v>3150</v>
      </c>
      <c r="B117" s="774" t="s">
        <v>314</v>
      </c>
      <c r="C117" s="415" t="s">
        <v>314</v>
      </c>
      <c r="D117" s="415" t="s">
        <v>307</v>
      </c>
      <c r="E117" s="415" t="s">
        <v>2648</v>
      </c>
      <c r="F117" s="415" t="s">
        <v>312</v>
      </c>
      <c r="G117" s="644" t="str">
        <f>VLOOKUP(WWWW[[#This Row],[Village  Name]],SiteDB6[[Site Name]:[Location Type]],8,FALSE)</f>
        <v>Village</v>
      </c>
      <c r="H117" s="415" t="s">
        <v>895</v>
      </c>
      <c r="I117" s="524">
        <v>408</v>
      </c>
      <c r="J117" s="524">
        <v>2009</v>
      </c>
      <c r="K117" s="418">
        <v>42736</v>
      </c>
      <c r="L117" s="55">
        <v>44551</v>
      </c>
      <c r="M117" s="524"/>
      <c r="N117" s="524"/>
      <c r="O117" s="524">
        <v>1</v>
      </c>
      <c r="P117" s="524">
        <v>14</v>
      </c>
      <c r="Q117" s="524">
        <v>1</v>
      </c>
      <c r="R117" s="524"/>
      <c r="S117" s="524"/>
      <c r="T117" s="524"/>
      <c r="U117" s="551"/>
      <c r="V117" s="524">
        <v>20</v>
      </c>
      <c r="W117" s="524" t="s">
        <v>130</v>
      </c>
      <c r="X117" s="524"/>
      <c r="Y117" s="524"/>
      <c r="Z117" s="524"/>
      <c r="AA117" s="524"/>
      <c r="AB117" s="524"/>
      <c r="AC117" s="551"/>
      <c r="AD117" s="524"/>
      <c r="AE117" s="524"/>
      <c r="AF117" s="524"/>
      <c r="AG117" s="524"/>
      <c r="AH117" s="524"/>
      <c r="AI117" s="524"/>
      <c r="AJ117" s="524"/>
      <c r="AK117" s="524"/>
      <c r="AL117" s="524"/>
      <c r="AM117" s="524"/>
      <c r="AN117" s="551"/>
      <c r="AO117" s="477"/>
      <c r="AP117" s="477"/>
      <c r="AQ117" s="524"/>
      <c r="AR117" s="524"/>
      <c r="AS117" s="524"/>
      <c r="AT11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17" s="483">
        <f>WWWW[[#This Row],[%Equitable and continuous access to sufficient quantity of safe drinking water]]*WWWW[[#This Row],[Total PoP ]]</f>
        <v>2009</v>
      </c>
      <c r="AV11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17" s="483">
        <f>WWWW[[#This Row],[% Access to unimproved water points]]*WWWW[[#This Row],[Total PoP ]]</f>
        <v>2009</v>
      </c>
      <c r="AX11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1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2009</v>
      </c>
      <c r="AZ117" s="483">
        <f>WWWW[[#This Row],[HRP1]]/250</f>
        <v>8.0359999999999996</v>
      </c>
      <c r="BA117" s="476">
        <f>1-WWWW[[#This Row],[% Equitable and continuous access to sufficient quantity of domestic water]]</f>
        <v>0</v>
      </c>
      <c r="BB117" s="483">
        <f>WWWW[[#This Row],[%equitable and continuous access to sufficient quantity of safe drinking and domestic water''s GAP]]*WWWW[[#This Row],[Total PoP ]]</f>
        <v>0</v>
      </c>
      <c r="BC117" s="478">
        <f>IF(WWWW[[#This Row],[Total required water points]]-WWWW[[#This Row],['#Water points coverage]]&lt;0,0,WWWW[[#This Row],[Total required water points]]-WWWW[[#This Row],['#Water points coverage]])</f>
        <v>0</v>
      </c>
      <c r="BD117" s="478">
        <f>ROUND(IF(WWWW[[#This Row],[Total PoP ]]&lt;250,1,WWWW[[#This Row],[Total PoP ]]/250),0)</f>
        <v>8</v>
      </c>
      <c r="BE11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5.9731209556993528E-2</v>
      </c>
      <c r="BF117" s="483">
        <f>WWWW[[#This Row],[% people access to functioning Latrine]]*WWWW[[#This Row],[Total PoP ]]</f>
        <v>120</v>
      </c>
      <c r="BG117" s="478">
        <f>WWWW[[#This Row],['#_of_Functioning_latrines_in_school]]*50</f>
        <v>0</v>
      </c>
      <c r="BH117" s="478">
        <f>ROUND((WWWW[[#This Row],[Total PoP ]]/6),0)</f>
        <v>335</v>
      </c>
      <c r="BI117" s="478">
        <f>IF(WWWW[[#This Row],[Total required Latrines]]-(WWWW[[#This Row],['#_of_sanitary_fly-proof_HH_latrines]])&lt;0,0,WWWW[[#This Row],[Total required Latrines]]-(WWWW[[#This Row],['#_of_sanitary_fly-proof_HH_latrines]]))</f>
        <v>315</v>
      </c>
      <c r="BJ117" s="479">
        <f>1-WWWW[[#This Row],[% people access to functioning Latrine]]</f>
        <v>0.94026879044300649</v>
      </c>
      <c r="BK11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17" s="483">
        <f>IF(WWWW[[#This Row],['#_of_functional_handwashing_facilities_at_HH_level]]*6&gt;WWWW[[#This Row],[Total PoP ]],WWWW[[#This Row],[Total PoP ]],WWWW[[#This Row],['#_of_functional_handwashing_facilities_at_HH_level]]*6)</f>
        <v>0</v>
      </c>
      <c r="BM117" s="478">
        <f>IF(WWWW[[#This Row],['# people reached by regular dedicated hygiene promotion]]&gt;WWWW[[#This Row],['# People received regular supply of hygiene items]],WWWW[[#This Row],['# people reached by regular dedicated hygiene promotion]],WWWW[[#This Row],['# People received regular supply of hygiene items]])</f>
        <v>0</v>
      </c>
      <c r="BN117" s="476">
        <f>IF(WWWW[[#This Row],[HRP3]]/WWWW[[#This Row],[Total PoP ]]&gt;100%,100%,WWWW[[#This Row],[HRP3]]/WWWW[[#This Row],[Total PoP ]])</f>
        <v>0</v>
      </c>
      <c r="BO117" s="479">
        <f>1-WWWW[[#This Row],[Hygiene Coverage%]]</f>
        <v>1</v>
      </c>
      <c r="BP117" s="477">
        <f>WWWW[[#This Row],['# people reached by regular dedicated hygiene promotion]]/WWWW[[#This Row],[Total PoP ]]</f>
        <v>0</v>
      </c>
      <c r="BQ11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17" s="478">
        <f>WWWW[[#This Row],['#_of_affected_women_and_girls_receiving_a_sufficient_quantity_of_sanitary_pads]]</f>
        <v>0</v>
      </c>
      <c r="BS117" s="524">
        <f>IF(WWWW[[#This Row],['# People with access to soap]]&gt;WWWW[[#This Row],['# People with access to Sanity Pads]],WWWW[[#This Row],['# People with access to soap]],WWWW[[#This Row],['# People with access to Sanity Pads]])</f>
        <v>0</v>
      </c>
      <c r="BT117" s="483" t="str">
        <f>IF(OR(WWWW[[#This Row],['#of students in school]]="",WWWW[[#This Row],['#of students in school]]=0),"No","Yes")</f>
        <v>No</v>
      </c>
      <c r="BU117" s="480" t="str">
        <f>VLOOKUP(WWWW[[#This Row],[Village  Name]],SiteDB6[[Site Name]:[Location Type 1]],9,FALSE)</f>
        <v>Village</v>
      </c>
      <c r="BV117" s="480" t="str">
        <f>VLOOKUP(WWWW[[#This Row],[Village  Name]],SiteDB6[[Site Name]:[Type of Accommodation]],10,FALSE)</f>
        <v>Returned</v>
      </c>
      <c r="BW117" s="480" t="str">
        <f>VLOOKUP(WWWW[[#This Row],[Village  Name]],SiteDB6[[Site Name]:[Ethnic or GCA/NGCA]],11,FALSE)</f>
        <v>Muslim</v>
      </c>
      <c r="BX117" s="480">
        <f>VLOOKUP(WWWW[[#This Row],[Village  Name]],SiteDB6[[Site Name]:[Lat]],12,FALSE)</f>
        <v>20.480898</v>
      </c>
      <c r="BY117" s="480">
        <f>VLOOKUP(WWWW[[#This Row],[Village  Name]],SiteDB6[[Site Name]:[Long]],13,FALSE)</f>
        <v>93.299485000000004</v>
      </c>
      <c r="BZ117" s="480" t="str">
        <f>VLOOKUP(WWWW[[#This Row],[Village  Name]],SiteDB6[[Site Name]:[Pcode]],3,FALSE)</f>
        <v>MMR012CMP006</v>
      </c>
      <c r="CA117" s="480" t="str">
        <f t="shared" si="5"/>
        <v>Covered</v>
      </c>
      <c r="CB117" s="505"/>
    </row>
    <row r="118" spans="1:80">
      <c r="A118" s="774" t="s">
        <v>3150</v>
      </c>
      <c r="B118" s="774" t="s">
        <v>314</v>
      </c>
      <c r="C118" s="415" t="s">
        <v>314</v>
      </c>
      <c r="D118" s="415" t="s">
        <v>307</v>
      </c>
      <c r="E118" s="415" t="s">
        <v>2648</v>
      </c>
      <c r="F118" s="415" t="s">
        <v>312</v>
      </c>
      <c r="G118" s="644" t="str">
        <f>VLOOKUP(WWWW[[#This Row],[Village  Name]],SiteDB6[[Site Name]:[Location Type]],8,FALSE)</f>
        <v>Village</v>
      </c>
      <c r="H118" s="415" t="s">
        <v>2611</v>
      </c>
      <c r="I118" s="524">
        <v>47</v>
      </c>
      <c r="J118" s="524">
        <v>190</v>
      </c>
      <c r="K118" s="418">
        <v>42736</v>
      </c>
      <c r="L118" s="55">
        <v>44551</v>
      </c>
      <c r="M118" s="524"/>
      <c r="N118" s="524"/>
      <c r="O118" s="524">
        <v>3</v>
      </c>
      <c r="P118" s="524">
        <v>60</v>
      </c>
      <c r="Q118" s="524">
        <v>2</v>
      </c>
      <c r="R118" s="524"/>
      <c r="S118" s="524"/>
      <c r="T118" s="524"/>
      <c r="U118" s="551"/>
      <c r="V118" s="524">
        <v>43</v>
      </c>
      <c r="W118" s="524" t="s">
        <v>130</v>
      </c>
      <c r="X118" s="524"/>
      <c r="Y118" s="524"/>
      <c r="Z118" s="524"/>
      <c r="AA118" s="524"/>
      <c r="AB118" s="524"/>
      <c r="AC118" s="551"/>
      <c r="AD118" s="524"/>
      <c r="AE118" s="524"/>
      <c r="AF118" s="524"/>
      <c r="AG118" s="524"/>
      <c r="AH118" s="524"/>
      <c r="AI118" s="524"/>
      <c r="AJ118" s="524"/>
      <c r="AK118" s="524"/>
      <c r="AL118" s="524"/>
      <c r="AM118" s="524"/>
      <c r="AN118" s="551"/>
      <c r="AO118" s="477"/>
      <c r="AP118" s="477"/>
      <c r="AQ118" s="524"/>
      <c r="AR118" s="524"/>
      <c r="AS118" s="524"/>
      <c r="AT11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18" s="483">
        <f>WWWW[[#This Row],[%Equitable and continuous access to sufficient quantity of safe drinking water]]*WWWW[[#This Row],[Total PoP ]]</f>
        <v>190</v>
      </c>
      <c r="AV11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18" s="483">
        <f>WWWW[[#This Row],[% Access to unimproved water points]]*WWWW[[#This Row],[Total PoP ]]</f>
        <v>190</v>
      </c>
      <c r="AX11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1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190</v>
      </c>
      <c r="AZ118" s="483">
        <f>WWWW[[#This Row],[HRP1]]/250</f>
        <v>0.76</v>
      </c>
      <c r="BA118" s="476">
        <f>1-WWWW[[#This Row],[% Equitable and continuous access to sufficient quantity of domestic water]]</f>
        <v>0</v>
      </c>
      <c r="BB118" s="483">
        <f>WWWW[[#This Row],[%equitable and continuous access to sufficient quantity of safe drinking and domestic water''s GAP]]*WWWW[[#This Row],[Total PoP ]]</f>
        <v>0</v>
      </c>
      <c r="BC118" s="478">
        <f>IF(WWWW[[#This Row],[Total required water points]]-WWWW[[#This Row],['#Water points coverage]]&lt;0,0,WWWW[[#This Row],[Total required water points]]-WWWW[[#This Row],['#Water points coverage]])</f>
        <v>0.24</v>
      </c>
      <c r="BD118" s="478">
        <f>ROUND(IF(WWWW[[#This Row],[Total PoP ]]&lt;250,1,WWWW[[#This Row],[Total PoP ]]/250),0)</f>
        <v>1</v>
      </c>
      <c r="BE11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18" s="483">
        <f>WWWW[[#This Row],[% people access to functioning Latrine]]*WWWW[[#This Row],[Total PoP ]]</f>
        <v>190</v>
      </c>
      <c r="BG118" s="478">
        <f>WWWW[[#This Row],['#_of_Functioning_latrines_in_school]]*50</f>
        <v>0</v>
      </c>
      <c r="BH118" s="478">
        <f>ROUND((WWWW[[#This Row],[Total PoP ]]/6),0)</f>
        <v>32</v>
      </c>
      <c r="BI118" s="478">
        <f>IF(WWWW[[#This Row],[Total required Latrines]]-(WWWW[[#This Row],['#_of_sanitary_fly-proof_HH_latrines]])&lt;0,0,WWWW[[#This Row],[Total required Latrines]]-(WWWW[[#This Row],['#_of_sanitary_fly-proof_HH_latrines]]))</f>
        <v>0</v>
      </c>
      <c r="BJ118" s="479">
        <f>1-WWWW[[#This Row],[% people access to functioning Latrine]]</f>
        <v>0</v>
      </c>
      <c r="BK11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18" s="483">
        <f>IF(WWWW[[#This Row],['#_of_functional_handwashing_facilities_at_HH_level]]*6&gt;WWWW[[#This Row],[Total PoP ]],WWWW[[#This Row],[Total PoP ]],WWWW[[#This Row],['#_of_functional_handwashing_facilities_at_HH_level]]*6)</f>
        <v>0</v>
      </c>
      <c r="BM118" s="478">
        <f>IF(WWWW[[#This Row],['# people reached by regular dedicated hygiene promotion]]&gt;WWWW[[#This Row],['# People received regular supply of hygiene items]],WWWW[[#This Row],['# people reached by regular dedicated hygiene promotion]],WWWW[[#This Row],['# People received regular supply of hygiene items]])</f>
        <v>0</v>
      </c>
      <c r="BN118" s="476">
        <f>IF(WWWW[[#This Row],[HRP3]]/WWWW[[#This Row],[Total PoP ]]&gt;100%,100%,WWWW[[#This Row],[HRP3]]/WWWW[[#This Row],[Total PoP ]])</f>
        <v>0</v>
      </c>
      <c r="BO118" s="479">
        <f>1-WWWW[[#This Row],[Hygiene Coverage%]]</f>
        <v>1</v>
      </c>
      <c r="BP118" s="477">
        <f>WWWW[[#This Row],['# people reached by regular dedicated hygiene promotion]]/WWWW[[#This Row],[Total PoP ]]</f>
        <v>0</v>
      </c>
      <c r="BQ11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18" s="478">
        <f>WWWW[[#This Row],['#_of_affected_women_and_girls_receiving_a_sufficient_quantity_of_sanitary_pads]]</f>
        <v>0</v>
      </c>
      <c r="BS118" s="524">
        <f>IF(WWWW[[#This Row],['# People with access to soap]]&gt;WWWW[[#This Row],['# People with access to Sanity Pads]],WWWW[[#This Row],['# People with access to soap]],WWWW[[#This Row],['# People with access to Sanity Pads]])</f>
        <v>0</v>
      </c>
      <c r="BT118" s="483" t="str">
        <f>IF(OR(WWWW[[#This Row],['#of students in school]]="",WWWW[[#This Row],['#of students in school]]=0),"No","Yes")</f>
        <v>No</v>
      </c>
      <c r="BU118" s="480" t="str">
        <f>VLOOKUP(WWWW[[#This Row],[Village  Name]],SiteDB6[[Site Name]:[Location Type 1]],9,FALSE)</f>
        <v>Village</v>
      </c>
      <c r="BV118" s="480" t="str">
        <f>VLOOKUP(WWWW[[#This Row],[Village  Name]],SiteDB6[[Site Name]:[Type of Accommodation]],10,FALSE)</f>
        <v>Village</v>
      </c>
      <c r="BW118" s="480">
        <f>VLOOKUP(WWWW[[#This Row],[Village  Name]],SiteDB6[[Site Name]:[Ethnic or GCA/NGCA]],11,FALSE)</f>
        <v>0</v>
      </c>
      <c r="BX118" s="480">
        <f>VLOOKUP(WWWW[[#This Row],[Village  Name]],SiteDB6[[Site Name]:[Lat]],12,FALSE)</f>
        <v>0</v>
      </c>
      <c r="BY118" s="480">
        <f>VLOOKUP(WWWW[[#This Row],[Village  Name]],SiteDB6[[Site Name]:[Long]],13,FALSE)</f>
        <v>0</v>
      </c>
      <c r="BZ118" s="480">
        <f>VLOOKUP(WWWW[[#This Row],[Village  Name]],SiteDB6[[Site Name]:[Pcode]],3,FALSE)</f>
        <v>0</v>
      </c>
      <c r="CA118" s="480" t="str">
        <f t="shared" si="5"/>
        <v>Covered</v>
      </c>
      <c r="CB118" s="505"/>
    </row>
    <row r="119" spans="1:80">
      <c r="A119" s="774" t="s">
        <v>3150</v>
      </c>
      <c r="B119" s="774" t="s">
        <v>314</v>
      </c>
      <c r="C119" s="415" t="s">
        <v>314</v>
      </c>
      <c r="D119" s="415" t="s">
        <v>307</v>
      </c>
      <c r="E119" s="415" t="s">
        <v>2648</v>
      </c>
      <c r="F119" s="415" t="s">
        <v>312</v>
      </c>
      <c r="G119" s="644" t="str">
        <f>VLOOKUP(WWWW[[#This Row],[Village  Name]],SiteDB6[[Site Name]:[Location Type]],8,FALSE)</f>
        <v>Village</v>
      </c>
      <c r="H119" s="415" t="s">
        <v>2612</v>
      </c>
      <c r="I119" s="524">
        <v>150</v>
      </c>
      <c r="J119" s="524">
        <v>532</v>
      </c>
      <c r="K119" s="418">
        <v>42736</v>
      </c>
      <c r="L119" s="55">
        <v>44551</v>
      </c>
      <c r="M119" s="524"/>
      <c r="N119" s="524"/>
      <c r="O119" s="524">
        <v>0</v>
      </c>
      <c r="P119" s="524">
        <v>84</v>
      </c>
      <c r="Q119" s="524">
        <v>2</v>
      </c>
      <c r="R119" s="524"/>
      <c r="S119" s="524"/>
      <c r="T119" s="524"/>
      <c r="U119" s="551"/>
      <c r="V119" s="524">
        <v>45</v>
      </c>
      <c r="W119" s="524" t="s">
        <v>130</v>
      </c>
      <c r="X119" s="524"/>
      <c r="Y119" s="524"/>
      <c r="Z119" s="524"/>
      <c r="AA119" s="524"/>
      <c r="AB119" s="524"/>
      <c r="AC119" s="551"/>
      <c r="AD119" s="524"/>
      <c r="AE119" s="524"/>
      <c r="AF119" s="524"/>
      <c r="AG119" s="524"/>
      <c r="AH119" s="524"/>
      <c r="AI119" s="524"/>
      <c r="AJ119" s="524"/>
      <c r="AK119" s="524"/>
      <c r="AL119" s="524"/>
      <c r="AM119" s="524"/>
      <c r="AN119" s="551"/>
      <c r="AO119" s="477"/>
      <c r="AP119" s="477"/>
      <c r="AQ119" s="524"/>
      <c r="AR119" s="524"/>
      <c r="AS119" s="524"/>
      <c r="AT11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19" s="483">
        <f>WWWW[[#This Row],[%Equitable and continuous access to sufficient quantity of safe drinking water]]*WWWW[[#This Row],[Total PoP ]]</f>
        <v>532</v>
      </c>
      <c r="AV11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19" s="483">
        <f>WWWW[[#This Row],[% Access to unimproved water points]]*WWWW[[#This Row],[Total PoP ]]</f>
        <v>532</v>
      </c>
      <c r="AX11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1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532</v>
      </c>
      <c r="AZ119" s="483">
        <f>WWWW[[#This Row],[HRP1]]/250</f>
        <v>2.1280000000000001</v>
      </c>
      <c r="BA119" s="476">
        <f>1-WWWW[[#This Row],[% Equitable and continuous access to sufficient quantity of domestic water]]</f>
        <v>0</v>
      </c>
      <c r="BB119" s="483">
        <f>WWWW[[#This Row],[%equitable and continuous access to sufficient quantity of safe drinking and domestic water''s GAP]]*WWWW[[#This Row],[Total PoP ]]</f>
        <v>0</v>
      </c>
      <c r="BC119" s="478">
        <f>IF(WWWW[[#This Row],[Total required water points]]-WWWW[[#This Row],['#Water points coverage]]&lt;0,0,WWWW[[#This Row],[Total required water points]]-WWWW[[#This Row],['#Water points coverage]])</f>
        <v>0</v>
      </c>
      <c r="BD119" s="478">
        <f>ROUND(IF(WWWW[[#This Row],[Total PoP ]]&lt;250,1,WWWW[[#This Row],[Total PoP ]]/250),0)</f>
        <v>2</v>
      </c>
      <c r="BE11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0.50751879699248126</v>
      </c>
      <c r="BF119" s="483">
        <f>WWWW[[#This Row],[% people access to functioning Latrine]]*WWWW[[#This Row],[Total PoP ]]</f>
        <v>270.00000000000006</v>
      </c>
      <c r="BG119" s="478">
        <f>WWWW[[#This Row],['#_of_Functioning_latrines_in_school]]*50</f>
        <v>0</v>
      </c>
      <c r="BH119" s="478">
        <f>ROUND((WWWW[[#This Row],[Total PoP ]]/6),0)</f>
        <v>89</v>
      </c>
      <c r="BI119" s="478">
        <f>IF(WWWW[[#This Row],[Total required Latrines]]-(WWWW[[#This Row],['#_of_sanitary_fly-proof_HH_latrines]])&lt;0,0,WWWW[[#This Row],[Total required Latrines]]-(WWWW[[#This Row],['#_of_sanitary_fly-proof_HH_latrines]]))</f>
        <v>44</v>
      </c>
      <c r="BJ119" s="479">
        <f>1-WWWW[[#This Row],[% people access to functioning Latrine]]</f>
        <v>0.49248120300751874</v>
      </c>
      <c r="BK11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19" s="483">
        <f>IF(WWWW[[#This Row],['#_of_functional_handwashing_facilities_at_HH_level]]*6&gt;WWWW[[#This Row],[Total PoP ]],WWWW[[#This Row],[Total PoP ]],WWWW[[#This Row],['#_of_functional_handwashing_facilities_at_HH_level]]*6)</f>
        <v>0</v>
      </c>
      <c r="BM119" s="478">
        <f>IF(WWWW[[#This Row],['# people reached by regular dedicated hygiene promotion]]&gt;WWWW[[#This Row],['# People received regular supply of hygiene items]],WWWW[[#This Row],['# people reached by regular dedicated hygiene promotion]],WWWW[[#This Row],['# People received regular supply of hygiene items]])</f>
        <v>0</v>
      </c>
      <c r="BN119" s="476">
        <f>IF(WWWW[[#This Row],[HRP3]]/WWWW[[#This Row],[Total PoP ]]&gt;100%,100%,WWWW[[#This Row],[HRP3]]/WWWW[[#This Row],[Total PoP ]])</f>
        <v>0</v>
      </c>
      <c r="BO119" s="479">
        <f>1-WWWW[[#This Row],[Hygiene Coverage%]]</f>
        <v>1</v>
      </c>
      <c r="BP119" s="477">
        <f>WWWW[[#This Row],['# people reached by regular dedicated hygiene promotion]]/WWWW[[#This Row],[Total PoP ]]</f>
        <v>0</v>
      </c>
      <c r="BQ11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19" s="478">
        <f>WWWW[[#This Row],['#_of_affected_women_and_girls_receiving_a_sufficient_quantity_of_sanitary_pads]]</f>
        <v>0</v>
      </c>
      <c r="BS119" s="524">
        <f>IF(WWWW[[#This Row],['# People with access to soap]]&gt;WWWW[[#This Row],['# People with access to Sanity Pads]],WWWW[[#This Row],['# People with access to soap]],WWWW[[#This Row],['# People with access to Sanity Pads]])</f>
        <v>0</v>
      </c>
      <c r="BT119" s="483" t="str">
        <f>IF(OR(WWWW[[#This Row],['#of students in school]]="",WWWW[[#This Row],['#of students in school]]=0),"No","Yes")</f>
        <v>No</v>
      </c>
      <c r="BU119" s="480" t="str">
        <f>VLOOKUP(WWWW[[#This Row],[Village  Name]],SiteDB6[[Site Name]:[Location Type 1]],9,FALSE)</f>
        <v>Village</v>
      </c>
      <c r="BV119" s="480" t="str">
        <f>VLOOKUP(WWWW[[#This Row],[Village  Name]],SiteDB6[[Site Name]:[Type of Accommodation]],10,FALSE)</f>
        <v>Village</v>
      </c>
      <c r="BW119" s="480">
        <f>VLOOKUP(WWWW[[#This Row],[Village  Name]],SiteDB6[[Site Name]:[Ethnic or GCA/NGCA]],11,FALSE)</f>
        <v>0</v>
      </c>
      <c r="BX119" s="480">
        <f>VLOOKUP(WWWW[[#This Row],[Village  Name]],SiteDB6[[Site Name]:[Lat]],12,FALSE)</f>
        <v>20.440990447998001</v>
      </c>
      <c r="BY119" s="480">
        <f>VLOOKUP(WWWW[[#This Row],[Village  Name]],SiteDB6[[Site Name]:[Long]],13,FALSE)</f>
        <v>93.336273193359403</v>
      </c>
      <c r="BZ119" s="480">
        <f>VLOOKUP(WWWW[[#This Row],[Village  Name]],SiteDB6[[Site Name]:[Pcode]],3,FALSE)</f>
        <v>197092</v>
      </c>
      <c r="CA119" s="480" t="str">
        <f t="shared" si="5"/>
        <v>Covered</v>
      </c>
      <c r="CB119" s="505"/>
    </row>
    <row r="120" spans="1:80">
      <c r="A120" s="774" t="s">
        <v>3150</v>
      </c>
      <c r="B120" s="774" t="s">
        <v>314</v>
      </c>
      <c r="C120" s="415" t="s">
        <v>314</v>
      </c>
      <c r="D120" s="415" t="s">
        <v>307</v>
      </c>
      <c r="E120" s="415" t="s">
        <v>2648</v>
      </c>
      <c r="F120" s="415" t="s">
        <v>312</v>
      </c>
      <c r="G120" s="644" t="str">
        <f>VLOOKUP(WWWW[[#This Row],[Village  Name]],SiteDB6[[Site Name]:[Location Type]],8,FALSE)</f>
        <v>Village</v>
      </c>
      <c r="H120" s="415" t="s">
        <v>2613</v>
      </c>
      <c r="I120" s="524">
        <v>142</v>
      </c>
      <c r="J120" s="524">
        <v>542</v>
      </c>
      <c r="K120" s="418">
        <v>42736</v>
      </c>
      <c r="L120" s="55">
        <v>44551</v>
      </c>
      <c r="M120" s="524"/>
      <c r="N120" s="524"/>
      <c r="O120" s="524">
        <v>11</v>
      </c>
      <c r="P120" s="524">
        <v>65</v>
      </c>
      <c r="Q120" s="524">
        <v>2</v>
      </c>
      <c r="R120" s="524"/>
      <c r="S120" s="524"/>
      <c r="T120" s="524"/>
      <c r="U120" s="551"/>
      <c r="V120" s="524">
        <v>56</v>
      </c>
      <c r="W120" s="524" t="s">
        <v>130</v>
      </c>
      <c r="X120" s="524"/>
      <c r="Y120" s="524"/>
      <c r="Z120" s="524"/>
      <c r="AA120" s="524"/>
      <c r="AB120" s="524"/>
      <c r="AC120" s="551"/>
      <c r="AD120" s="524"/>
      <c r="AE120" s="524"/>
      <c r="AF120" s="524"/>
      <c r="AG120" s="524"/>
      <c r="AH120" s="524"/>
      <c r="AI120" s="524"/>
      <c r="AJ120" s="524"/>
      <c r="AK120" s="524"/>
      <c r="AL120" s="524"/>
      <c r="AM120" s="524"/>
      <c r="AN120" s="551"/>
      <c r="AO120" s="477"/>
      <c r="AP120" s="477"/>
      <c r="AQ120" s="524"/>
      <c r="AR120" s="524"/>
      <c r="AS120" s="524"/>
      <c r="AT12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20" s="483">
        <f>WWWW[[#This Row],[%Equitable and continuous access to sufficient quantity of safe drinking water]]*WWWW[[#This Row],[Total PoP ]]</f>
        <v>542</v>
      </c>
      <c r="AV12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20" s="483">
        <f>WWWW[[#This Row],[% Access to unimproved water points]]*WWWW[[#This Row],[Total PoP ]]</f>
        <v>542</v>
      </c>
      <c r="AX12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2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542</v>
      </c>
      <c r="AZ120" s="483">
        <f>WWWW[[#This Row],[HRP1]]/250</f>
        <v>2.1680000000000001</v>
      </c>
      <c r="BA120" s="476">
        <f>1-WWWW[[#This Row],[% Equitable and continuous access to sufficient quantity of domestic water]]</f>
        <v>0</v>
      </c>
      <c r="BB120" s="483">
        <f>WWWW[[#This Row],[%equitable and continuous access to sufficient quantity of safe drinking and domestic water''s GAP]]*WWWW[[#This Row],[Total PoP ]]</f>
        <v>0</v>
      </c>
      <c r="BC120" s="478">
        <f>IF(WWWW[[#This Row],[Total required water points]]-WWWW[[#This Row],['#Water points coverage]]&lt;0,0,WWWW[[#This Row],[Total required water points]]-WWWW[[#This Row],['#Water points coverage]])</f>
        <v>0</v>
      </c>
      <c r="BD120" s="478">
        <f>ROUND(IF(WWWW[[#This Row],[Total PoP ]]&lt;250,1,WWWW[[#This Row],[Total PoP ]]/250),0)</f>
        <v>2</v>
      </c>
      <c r="BE12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0.61992619926199266</v>
      </c>
      <c r="BF120" s="483">
        <f>WWWW[[#This Row],[% people access to functioning Latrine]]*WWWW[[#This Row],[Total PoP ]]</f>
        <v>336</v>
      </c>
      <c r="BG120" s="478">
        <f>WWWW[[#This Row],['#_of_Functioning_latrines_in_school]]*50</f>
        <v>0</v>
      </c>
      <c r="BH120" s="478">
        <f>ROUND((WWWW[[#This Row],[Total PoP ]]/6),0)</f>
        <v>90</v>
      </c>
      <c r="BI120" s="478">
        <f>IF(WWWW[[#This Row],[Total required Latrines]]-(WWWW[[#This Row],['#_of_sanitary_fly-proof_HH_latrines]])&lt;0,0,WWWW[[#This Row],[Total required Latrines]]-(WWWW[[#This Row],['#_of_sanitary_fly-proof_HH_latrines]]))</f>
        <v>34</v>
      </c>
      <c r="BJ120" s="479">
        <f>1-WWWW[[#This Row],[% people access to functioning Latrine]]</f>
        <v>0.38007380073800734</v>
      </c>
      <c r="BK12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20" s="483">
        <f>IF(WWWW[[#This Row],['#_of_functional_handwashing_facilities_at_HH_level]]*6&gt;WWWW[[#This Row],[Total PoP ]],WWWW[[#This Row],[Total PoP ]],WWWW[[#This Row],['#_of_functional_handwashing_facilities_at_HH_level]]*6)</f>
        <v>0</v>
      </c>
      <c r="BM120" s="478">
        <f>IF(WWWW[[#This Row],['# people reached by regular dedicated hygiene promotion]]&gt;WWWW[[#This Row],['# People received regular supply of hygiene items]],WWWW[[#This Row],['# people reached by regular dedicated hygiene promotion]],WWWW[[#This Row],['# People received regular supply of hygiene items]])</f>
        <v>0</v>
      </c>
      <c r="BN120" s="476">
        <f>IF(WWWW[[#This Row],[HRP3]]/WWWW[[#This Row],[Total PoP ]]&gt;100%,100%,WWWW[[#This Row],[HRP3]]/WWWW[[#This Row],[Total PoP ]])</f>
        <v>0</v>
      </c>
      <c r="BO120" s="479">
        <f>1-WWWW[[#This Row],[Hygiene Coverage%]]</f>
        <v>1</v>
      </c>
      <c r="BP120" s="477">
        <f>WWWW[[#This Row],['# people reached by regular dedicated hygiene promotion]]/WWWW[[#This Row],[Total PoP ]]</f>
        <v>0</v>
      </c>
      <c r="BQ12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20" s="478">
        <f>WWWW[[#This Row],['#_of_affected_women_and_girls_receiving_a_sufficient_quantity_of_sanitary_pads]]</f>
        <v>0</v>
      </c>
      <c r="BS120" s="524">
        <f>IF(WWWW[[#This Row],['# People with access to soap]]&gt;WWWW[[#This Row],['# People with access to Sanity Pads]],WWWW[[#This Row],['# People with access to soap]],WWWW[[#This Row],['# People with access to Sanity Pads]])</f>
        <v>0</v>
      </c>
      <c r="BT120" s="483" t="str">
        <f>IF(OR(WWWW[[#This Row],['#of students in school]]="",WWWW[[#This Row],['#of students in school]]=0),"No","Yes")</f>
        <v>No</v>
      </c>
      <c r="BU120" s="480" t="str">
        <f>VLOOKUP(WWWW[[#This Row],[Village  Name]],SiteDB6[[Site Name]:[Location Type 1]],9,FALSE)</f>
        <v>Village</v>
      </c>
      <c r="BV120" s="480" t="str">
        <f>VLOOKUP(WWWW[[#This Row],[Village  Name]],SiteDB6[[Site Name]:[Type of Accommodation]],10,FALSE)</f>
        <v>Village</v>
      </c>
      <c r="BW120" s="480">
        <f>VLOOKUP(WWWW[[#This Row],[Village  Name]],SiteDB6[[Site Name]:[Ethnic or GCA/NGCA]],11,FALSE)</f>
        <v>0</v>
      </c>
      <c r="BX120" s="480">
        <f>VLOOKUP(WWWW[[#This Row],[Village  Name]],SiteDB6[[Site Name]:[Lat]],12,FALSE)</f>
        <v>20.438470840454102</v>
      </c>
      <c r="BY120" s="480">
        <f>VLOOKUP(WWWW[[#This Row],[Village  Name]],SiteDB6[[Site Name]:[Long]],13,FALSE)</f>
        <v>93.344322204589801</v>
      </c>
      <c r="BZ120" s="480">
        <f>VLOOKUP(WWWW[[#This Row],[Village  Name]],SiteDB6[[Site Name]:[Pcode]],3,FALSE)</f>
        <v>197100</v>
      </c>
      <c r="CA120" s="480" t="str">
        <f t="shared" si="5"/>
        <v>Covered</v>
      </c>
      <c r="CB120" s="505"/>
    </row>
    <row r="121" spans="1:80">
      <c r="A121" s="774" t="s">
        <v>3150</v>
      </c>
      <c r="B121" s="774" t="s">
        <v>314</v>
      </c>
      <c r="C121" s="415" t="s">
        <v>314</v>
      </c>
      <c r="D121" s="415" t="s">
        <v>307</v>
      </c>
      <c r="E121" s="415" t="s">
        <v>2648</v>
      </c>
      <c r="F121" s="415" t="s">
        <v>312</v>
      </c>
      <c r="G121" s="644" t="str">
        <f>VLOOKUP(WWWW[[#This Row],[Village  Name]],SiteDB6[[Site Name]:[Location Type]],8,FALSE)</f>
        <v>Village</v>
      </c>
      <c r="H121" s="415" t="s">
        <v>2614</v>
      </c>
      <c r="I121" s="524">
        <v>290</v>
      </c>
      <c r="J121" s="524">
        <v>1314</v>
      </c>
      <c r="K121" s="418">
        <v>42736</v>
      </c>
      <c r="L121" s="55">
        <v>44551</v>
      </c>
      <c r="M121" s="524"/>
      <c r="N121" s="524"/>
      <c r="O121" s="524">
        <v>7</v>
      </c>
      <c r="P121" s="524">
        <v>135</v>
      </c>
      <c r="Q121" s="524">
        <v>3</v>
      </c>
      <c r="R121" s="524"/>
      <c r="S121" s="524"/>
      <c r="T121" s="524"/>
      <c r="U121" s="551"/>
      <c r="V121" s="524">
        <v>159</v>
      </c>
      <c r="W121" s="524" t="s">
        <v>130</v>
      </c>
      <c r="X121" s="524"/>
      <c r="Y121" s="524"/>
      <c r="Z121" s="524"/>
      <c r="AA121" s="524"/>
      <c r="AB121" s="524"/>
      <c r="AC121" s="551"/>
      <c r="AD121" s="524"/>
      <c r="AE121" s="524"/>
      <c r="AF121" s="524"/>
      <c r="AG121" s="524"/>
      <c r="AH121" s="524"/>
      <c r="AI121" s="524"/>
      <c r="AJ121" s="524"/>
      <c r="AK121" s="524"/>
      <c r="AL121" s="524"/>
      <c r="AM121" s="524"/>
      <c r="AN121" s="551"/>
      <c r="AO121" s="477"/>
      <c r="AP121" s="477"/>
      <c r="AQ121" s="524"/>
      <c r="AR121" s="524"/>
      <c r="AS121" s="524"/>
      <c r="AT121"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21" s="483">
        <f>WWWW[[#This Row],[%Equitable and continuous access to sufficient quantity of safe drinking water]]*WWWW[[#This Row],[Total PoP ]]</f>
        <v>1314</v>
      </c>
      <c r="AV121"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21" s="483">
        <f>WWWW[[#This Row],[% Access to unimproved water points]]*WWWW[[#This Row],[Total PoP ]]</f>
        <v>1314</v>
      </c>
      <c r="AX121"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21"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1314</v>
      </c>
      <c r="AZ121" s="483">
        <f>WWWW[[#This Row],[HRP1]]/250</f>
        <v>5.2560000000000002</v>
      </c>
      <c r="BA121" s="476">
        <f>1-WWWW[[#This Row],[% Equitable and continuous access to sufficient quantity of domestic water]]</f>
        <v>0</v>
      </c>
      <c r="BB121" s="483">
        <f>WWWW[[#This Row],[%equitable and continuous access to sufficient quantity of safe drinking and domestic water''s GAP]]*WWWW[[#This Row],[Total PoP ]]</f>
        <v>0</v>
      </c>
      <c r="BC121" s="478">
        <f>IF(WWWW[[#This Row],[Total required water points]]-WWWW[[#This Row],['#Water points coverage]]&lt;0,0,WWWW[[#This Row],[Total required water points]]-WWWW[[#This Row],['#Water points coverage]])</f>
        <v>0</v>
      </c>
      <c r="BD121" s="478">
        <f>ROUND(IF(WWWW[[#This Row],[Total PoP ]]&lt;250,1,WWWW[[#This Row],[Total PoP ]]/250),0)</f>
        <v>5</v>
      </c>
      <c r="BE12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0.72602739726027399</v>
      </c>
      <c r="BF121" s="483">
        <f>WWWW[[#This Row],[% people access to functioning Latrine]]*WWWW[[#This Row],[Total PoP ]]</f>
        <v>954</v>
      </c>
      <c r="BG121" s="478">
        <f>WWWW[[#This Row],['#_of_Functioning_latrines_in_school]]*50</f>
        <v>0</v>
      </c>
      <c r="BH121" s="478">
        <f>ROUND((WWWW[[#This Row],[Total PoP ]]/6),0)</f>
        <v>219</v>
      </c>
      <c r="BI121" s="478">
        <f>IF(WWWW[[#This Row],[Total required Latrines]]-(WWWW[[#This Row],['#_of_sanitary_fly-proof_HH_latrines]])&lt;0,0,WWWW[[#This Row],[Total required Latrines]]-(WWWW[[#This Row],['#_of_sanitary_fly-proof_HH_latrines]]))</f>
        <v>60</v>
      </c>
      <c r="BJ121" s="479">
        <f>1-WWWW[[#This Row],[% people access to functioning Latrine]]</f>
        <v>0.27397260273972601</v>
      </c>
      <c r="BK121"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21" s="483">
        <f>IF(WWWW[[#This Row],['#_of_functional_handwashing_facilities_at_HH_level]]*6&gt;WWWW[[#This Row],[Total PoP ]],WWWW[[#This Row],[Total PoP ]],WWWW[[#This Row],['#_of_functional_handwashing_facilities_at_HH_level]]*6)</f>
        <v>0</v>
      </c>
      <c r="BM121" s="478">
        <f>IF(WWWW[[#This Row],['# people reached by regular dedicated hygiene promotion]]&gt;WWWW[[#This Row],['# People received regular supply of hygiene items]],WWWW[[#This Row],['# people reached by regular dedicated hygiene promotion]],WWWW[[#This Row],['# People received regular supply of hygiene items]])</f>
        <v>0</v>
      </c>
      <c r="BN121" s="476">
        <f>IF(WWWW[[#This Row],[HRP3]]/WWWW[[#This Row],[Total PoP ]]&gt;100%,100%,WWWW[[#This Row],[HRP3]]/WWWW[[#This Row],[Total PoP ]])</f>
        <v>0</v>
      </c>
      <c r="BO121" s="479">
        <f>1-WWWW[[#This Row],[Hygiene Coverage%]]</f>
        <v>1</v>
      </c>
      <c r="BP121" s="477">
        <f>WWWW[[#This Row],['# people reached by regular dedicated hygiene promotion]]/WWWW[[#This Row],[Total PoP ]]</f>
        <v>0</v>
      </c>
      <c r="BQ12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21" s="478">
        <f>WWWW[[#This Row],['#_of_affected_women_and_girls_receiving_a_sufficient_quantity_of_sanitary_pads]]</f>
        <v>0</v>
      </c>
      <c r="BS121" s="524">
        <f>IF(WWWW[[#This Row],['# People with access to soap]]&gt;WWWW[[#This Row],['# People with access to Sanity Pads]],WWWW[[#This Row],['# People with access to soap]],WWWW[[#This Row],['# People with access to Sanity Pads]])</f>
        <v>0</v>
      </c>
      <c r="BT121" s="483" t="str">
        <f>IF(OR(WWWW[[#This Row],['#of students in school]]="",WWWW[[#This Row],['#of students in school]]=0),"No","Yes")</f>
        <v>No</v>
      </c>
      <c r="BU121" s="480" t="str">
        <f>VLOOKUP(WWWW[[#This Row],[Village  Name]],SiteDB6[[Site Name]:[Location Type 1]],9,FALSE)</f>
        <v>Village</v>
      </c>
      <c r="BV121" s="480" t="str">
        <f>VLOOKUP(WWWW[[#This Row],[Village  Name]],SiteDB6[[Site Name]:[Type of Accommodation]],10,FALSE)</f>
        <v>Village</v>
      </c>
      <c r="BW121" s="480">
        <f>VLOOKUP(WWWW[[#This Row],[Village  Name]],SiteDB6[[Site Name]:[Ethnic or GCA/NGCA]],11,FALSE)</f>
        <v>0</v>
      </c>
      <c r="BX121" s="480">
        <f>VLOOKUP(WWWW[[#This Row],[Village  Name]],SiteDB6[[Site Name]:[Lat]],12,FALSE)</f>
        <v>20.424299240112301</v>
      </c>
      <c r="BY121" s="480">
        <f>VLOOKUP(WWWW[[#This Row],[Village  Name]],SiteDB6[[Site Name]:[Long]],13,FALSE)</f>
        <v>93.337341308593807</v>
      </c>
      <c r="BZ121" s="480">
        <f>VLOOKUP(WWWW[[#This Row],[Village  Name]],SiteDB6[[Site Name]:[Pcode]],3,FALSE)</f>
        <v>197099</v>
      </c>
      <c r="CA121" s="480" t="str">
        <f t="shared" si="5"/>
        <v>Covered</v>
      </c>
      <c r="CB121" s="505"/>
    </row>
    <row r="122" spans="1:80">
      <c r="A122" s="774" t="s">
        <v>3150</v>
      </c>
      <c r="B122" s="774" t="s">
        <v>314</v>
      </c>
      <c r="C122" s="415" t="s">
        <v>314</v>
      </c>
      <c r="D122" s="415" t="s">
        <v>307</v>
      </c>
      <c r="E122" s="415" t="s">
        <v>2648</v>
      </c>
      <c r="F122" s="415" t="s">
        <v>312</v>
      </c>
      <c r="G122" s="644" t="str">
        <f>VLOOKUP(WWWW[[#This Row],[Village  Name]],SiteDB6[[Site Name]:[Location Type]],8,FALSE)</f>
        <v>Village</v>
      </c>
      <c r="H122" s="415" t="s">
        <v>2615</v>
      </c>
      <c r="I122" s="524">
        <v>215</v>
      </c>
      <c r="J122" s="524">
        <v>1125</v>
      </c>
      <c r="K122" s="418">
        <v>42736</v>
      </c>
      <c r="L122" s="55">
        <v>44551</v>
      </c>
      <c r="M122" s="524"/>
      <c r="N122" s="524"/>
      <c r="O122" s="524">
        <v>0</v>
      </c>
      <c r="P122" s="524">
        <v>40</v>
      </c>
      <c r="Q122" s="524">
        <v>1</v>
      </c>
      <c r="R122" s="524"/>
      <c r="S122" s="524"/>
      <c r="T122" s="524"/>
      <c r="U122" s="551"/>
      <c r="V122" s="524">
        <v>36</v>
      </c>
      <c r="W122" s="524" t="s">
        <v>130</v>
      </c>
      <c r="X122" s="524"/>
      <c r="Y122" s="524"/>
      <c r="Z122" s="524"/>
      <c r="AA122" s="524"/>
      <c r="AB122" s="524"/>
      <c r="AC122" s="551"/>
      <c r="AD122" s="524"/>
      <c r="AE122" s="524"/>
      <c r="AF122" s="524"/>
      <c r="AG122" s="524"/>
      <c r="AH122" s="524"/>
      <c r="AI122" s="524"/>
      <c r="AJ122" s="524"/>
      <c r="AK122" s="524"/>
      <c r="AL122" s="524"/>
      <c r="AM122" s="524"/>
      <c r="AN122" s="551"/>
      <c r="AO122" s="477"/>
      <c r="AP122" s="477"/>
      <c r="AQ122" s="524"/>
      <c r="AR122" s="524"/>
      <c r="AS122" s="524"/>
      <c r="AT12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22" s="483">
        <f>WWWW[[#This Row],[%Equitable and continuous access to sufficient quantity of safe drinking water]]*WWWW[[#This Row],[Total PoP ]]</f>
        <v>1125</v>
      </c>
      <c r="AV12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22" s="483">
        <f>WWWW[[#This Row],[% Access to unimproved water points]]*WWWW[[#This Row],[Total PoP ]]</f>
        <v>1125</v>
      </c>
      <c r="AX12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2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1125</v>
      </c>
      <c r="AZ122" s="483">
        <f>WWWW[[#This Row],[HRP1]]/250</f>
        <v>4.5</v>
      </c>
      <c r="BA122" s="476">
        <f>1-WWWW[[#This Row],[% Equitable and continuous access to sufficient quantity of domestic water]]</f>
        <v>0</v>
      </c>
      <c r="BB122" s="483">
        <f>WWWW[[#This Row],[%equitable and continuous access to sufficient quantity of safe drinking and domestic water''s GAP]]*WWWW[[#This Row],[Total PoP ]]</f>
        <v>0</v>
      </c>
      <c r="BC122" s="478">
        <f>IF(WWWW[[#This Row],[Total required water points]]-WWWW[[#This Row],['#Water points coverage]]&lt;0,0,WWWW[[#This Row],[Total required water points]]-WWWW[[#This Row],['#Water points coverage]])</f>
        <v>0.5</v>
      </c>
      <c r="BD122" s="478">
        <f>ROUND(IF(WWWW[[#This Row],[Total PoP ]]&lt;250,1,WWWW[[#This Row],[Total PoP ]]/250),0)</f>
        <v>5</v>
      </c>
      <c r="BE12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0.192</v>
      </c>
      <c r="BF122" s="483">
        <f>WWWW[[#This Row],[% people access to functioning Latrine]]*WWWW[[#This Row],[Total PoP ]]</f>
        <v>216</v>
      </c>
      <c r="BG122" s="478">
        <f>WWWW[[#This Row],['#_of_Functioning_latrines_in_school]]*50</f>
        <v>0</v>
      </c>
      <c r="BH122" s="478">
        <f>ROUND((WWWW[[#This Row],[Total PoP ]]/6),0)</f>
        <v>188</v>
      </c>
      <c r="BI122" s="478">
        <f>IF(WWWW[[#This Row],[Total required Latrines]]-(WWWW[[#This Row],['#_of_sanitary_fly-proof_HH_latrines]])&lt;0,0,WWWW[[#This Row],[Total required Latrines]]-(WWWW[[#This Row],['#_of_sanitary_fly-proof_HH_latrines]]))</f>
        <v>152</v>
      </c>
      <c r="BJ122" s="479">
        <f>1-WWWW[[#This Row],[% people access to functioning Latrine]]</f>
        <v>0.80800000000000005</v>
      </c>
      <c r="BK12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22" s="483">
        <f>IF(WWWW[[#This Row],['#_of_functional_handwashing_facilities_at_HH_level]]*6&gt;WWWW[[#This Row],[Total PoP ]],WWWW[[#This Row],[Total PoP ]],WWWW[[#This Row],['#_of_functional_handwashing_facilities_at_HH_level]]*6)</f>
        <v>0</v>
      </c>
      <c r="BM122" s="478">
        <f>IF(WWWW[[#This Row],['# people reached by regular dedicated hygiene promotion]]&gt;WWWW[[#This Row],['# People received regular supply of hygiene items]],WWWW[[#This Row],['# people reached by regular dedicated hygiene promotion]],WWWW[[#This Row],['# People received regular supply of hygiene items]])</f>
        <v>0</v>
      </c>
      <c r="BN122" s="476">
        <f>IF(WWWW[[#This Row],[HRP3]]/WWWW[[#This Row],[Total PoP ]]&gt;100%,100%,WWWW[[#This Row],[HRP3]]/WWWW[[#This Row],[Total PoP ]])</f>
        <v>0</v>
      </c>
      <c r="BO122" s="479">
        <f>1-WWWW[[#This Row],[Hygiene Coverage%]]</f>
        <v>1</v>
      </c>
      <c r="BP122" s="477">
        <f>WWWW[[#This Row],['# people reached by regular dedicated hygiene promotion]]/WWWW[[#This Row],[Total PoP ]]</f>
        <v>0</v>
      </c>
      <c r="BQ12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22" s="478">
        <f>WWWW[[#This Row],['#_of_affected_women_and_girls_receiving_a_sufficient_quantity_of_sanitary_pads]]</f>
        <v>0</v>
      </c>
      <c r="BS122" s="524">
        <f>IF(WWWW[[#This Row],['# People with access to soap]]&gt;WWWW[[#This Row],['# People with access to Sanity Pads]],WWWW[[#This Row],['# People with access to soap]],WWWW[[#This Row],['# People with access to Sanity Pads]])</f>
        <v>0</v>
      </c>
      <c r="BT122" s="483" t="str">
        <f>IF(OR(WWWW[[#This Row],['#of students in school]]="",WWWW[[#This Row],['#of students in school]]=0),"No","Yes")</f>
        <v>No</v>
      </c>
      <c r="BU122" s="480" t="str">
        <f>VLOOKUP(WWWW[[#This Row],[Village  Name]],SiteDB6[[Site Name]:[Location Type 1]],9,FALSE)</f>
        <v>Village</v>
      </c>
      <c r="BV122" s="480" t="str">
        <f>VLOOKUP(WWWW[[#This Row],[Village  Name]],SiteDB6[[Site Name]:[Type of Accommodation]],10,FALSE)</f>
        <v>Village</v>
      </c>
      <c r="BW122" s="480">
        <f>VLOOKUP(WWWW[[#This Row],[Village  Name]],SiteDB6[[Site Name]:[Ethnic or GCA/NGCA]],11,FALSE)</f>
        <v>0</v>
      </c>
      <c r="BX122" s="480">
        <f>VLOOKUP(WWWW[[#This Row],[Village  Name]],SiteDB6[[Site Name]:[Lat]],12,FALSE)</f>
        <v>20.470190048217798</v>
      </c>
      <c r="BY122" s="480">
        <f>VLOOKUP(WWWW[[#This Row],[Village  Name]],SiteDB6[[Site Name]:[Long]],13,FALSE)</f>
        <v>93.3311767578125</v>
      </c>
      <c r="BZ122" s="480">
        <f>VLOOKUP(WWWW[[#This Row],[Village  Name]],SiteDB6[[Site Name]:[Pcode]],3,FALSE)</f>
        <v>197102</v>
      </c>
      <c r="CA122" s="480" t="str">
        <f t="shared" si="5"/>
        <v>Covered</v>
      </c>
      <c r="CB122" s="505"/>
    </row>
    <row r="123" spans="1:80">
      <c r="A123" s="774" t="s">
        <v>3150</v>
      </c>
      <c r="B123" s="774" t="s">
        <v>314</v>
      </c>
      <c r="C123" s="415" t="s">
        <v>314</v>
      </c>
      <c r="D123" s="415" t="s">
        <v>307</v>
      </c>
      <c r="E123" s="415" t="s">
        <v>2648</v>
      </c>
      <c r="F123" s="415" t="s">
        <v>312</v>
      </c>
      <c r="G123" s="644" t="str">
        <f>VLOOKUP(WWWW[[#This Row],[Village  Name]],SiteDB6[[Site Name]:[Location Type]],8,FALSE)</f>
        <v>Village</v>
      </c>
      <c r="H123" s="415" t="s">
        <v>2616</v>
      </c>
      <c r="I123" s="524">
        <v>181</v>
      </c>
      <c r="J123" s="524">
        <v>940</v>
      </c>
      <c r="K123" s="418">
        <v>42736</v>
      </c>
      <c r="L123" s="55">
        <v>44551</v>
      </c>
      <c r="M123" s="524"/>
      <c r="N123" s="524"/>
      <c r="O123" s="524">
        <v>0</v>
      </c>
      <c r="P123" s="524">
        <v>78</v>
      </c>
      <c r="Q123" s="524">
        <v>2</v>
      </c>
      <c r="R123" s="524"/>
      <c r="S123" s="524"/>
      <c r="T123" s="524"/>
      <c r="U123" s="551"/>
      <c r="V123" s="524">
        <v>88</v>
      </c>
      <c r="W123" s="524" t="s">
        <v>130</v>
      </c>
      <c r="X123" s="524"/>
      <c r="Y123" s="524"/>
      <c r="Z123" s="524"/>
      <c r="AA123" s="524"/>
      <c r="AB123" s="524"/>
      <c r="AC123" s="551"/>
      <c r="AD123" s="524"/>
      <c r="AE123" s="524"/>
      <c r="AF123" s="524"/>
      <c r="AG123" s="524"/>
      <c r="AH123" s="524"/>
      <c r="AI123" s="524"/>
      <c r="AJ123" s="524"/>
      <c r="AK123" s="524"/>
      <c r="AL123" s="524"/>
      <c r="AM123" s="524"/>
      <c r="AN123" s="551"/>
      <c r="AO123" s="477"/>
      <c r="AP123" s="477"/>
      <c r="AQ123" s="524"/>
      <c r="AR123" s="524"/>
      <c r="AS123" s="524"/>
      <c r="AT123"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23" s="483">
        <f>WWWW[[#This Row],[%Equitable and continuous access to sufficient quantity of safe drinking water]]*WWWW[[#This Row],[Total PoP ]]</f>
        <v>940</v>
      </c>
      <c r="AV123"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23" s="483">
        <f>WWWW[[#This Row],[% Access to unimproved water points]]*WWWW[[#This Row],[Total PoP ]]</f>
        <v>940</v>
      </c>
      <c r="AX123"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23"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940</v>
      </c>
      <c r="AZ123" s="483">
        <f>WWWW[[#This Row],[HRP1]]/250</f>
        <v>3.76</v>
      </c>
      <c r="BA123" s="476">
        <f>1-WWWW[[#This Row],[% Equitable and continuous access to sufficient quantity of domestic water]]</f>
        <v>0</v>
      </c>
      <c r="BB123" s="483">
        <f>WWWW[[#This Row],[%equitable and continuous access to sufficient quantity of safe drinking and domestic water''s GAP]]*WWWW[[#This Row],[Total PoP ]]</f>
        <v>0</v>
      </c>
      <c r="BC123" s="478">
        <f>IF(WWWW[[#This Row],[Total required water points]]-WWWW[[#This Row],['#Water points coverage]]&lt;0,0,WWWW[[#This Row],[Total required water points]]-WWWW[[#This Row],['#Water points coverage]])</f>
        <v>0.24000000000000021</v>
      </c>
      <c r="BD123" s="478">
        <f>ROUND(IF(WWWW[[#This Row],[Total PoP ]]&lt;250,1,WWWW[[#This Row],[Total PoP ]]/250),0)</f>
        <v>4</v>
      </c>
      <c r="BE12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0.5617021276595745</v>
      </c>
      <c r="BF123" s="483">
        <f>WWWW[[#This Row],[% people access to functioning Latrine]]*WWWW[[#This Row],[Total PoP ]]</f>
        <v>528</v>
      </c>
      <c r="BG123" s="478">
        <f>WWWW[[#This Row],['#_of_Functioning_latrines_in_school]]*50</f>
        <v>0</v>
      </c>
      <c r="BH123" s="478">
        <f>ROUND((WWWW[[#This Row],[Total PoP ]]/6),0)</f>
        <v>157</v>
      </c>
      <c r="BI123" s="478">
        <f>IF(WWWW[[#This Row],[Total required Latrines]]-(WWWW[[#This Row],['#_of_sanitary_fly-proof_HH_latrines]])&lt;0,0,WWWW[[#This Row],[Total required Latrines]]-(WWWW[[#This Row],['#_of_sanitary_fly-proof_HH_latrines]]))</f>
        <v>69</v>
      </c>
      <c r="BJ123" s="479">
        <f>1-WWWW[[#This Row],[% people access to functioning Latrine]]</f>
        <v>0.4382978723404255</v>
      </c>
      <c r="BK123"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23" s="483">
        <f>IF(WWWW[[#This Row],['#_of_functional_handwashing_facilities_at_HH_level]]*6&gt;WWWW[[#This Row],[Total PoP ]],WWWW[[#This Row],[Total PoP ]],WWWW[[#This Row],['#_of_functional_handwashing_facilities_at_HH_level]]*6)</f>
        <v>0</v>
      </c>
      <c r="BM123" s="478">
        <f>IF(WWWW[[#This Row],['# people reached by regular dedicated hygiene promotion]]&gt;WWWW[[#This Row],['# People received regular supply of hygiene items]],WWWW[[#This Row],['# people reached by regular dedicated hygiene promotion]],WWWW[[#This Row],['# People received regular supply of hygiene items]])</f>
        <v>0</v>
      </c>
      <c r="BN123" s="476">
        <f>IF(WWWW[[#This Row],[HRP3]]/WWWW[[#This Row],[Total PoP ]]&gt;100%,100%,WWWW[[#This Row],[HRP3]]/WWWW[[#This Row],[Total PoP ]])</f>
        <v>0</v>
      </c>
      <c r="BO123" s="479">
        <f>1-WWWW[[#This Row],[Hygiene Coverage%]]</f>
        <v>1</v>
      </c>
      <c r="BP123" s="477">
        <f>WWWW[[#This Row],['# people reached by regular dedicated hygiene promotion]]/WWWW[[#This Row],[Total PoP ]]</f>
        <v>0</v>
      </c>
      <c r="BQ12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23" s="478">
        <f>WWWW[[#This Row],['#_of_affected_women_and_girls_receiving_a_sufficient_quantity_of_sanitary_pads]]</f>
        <v>0</v>
      </c>
      <c r="BS123" s="524">
        <f>IF(WWWW[[#This Row],['# People with access to soap]]&gt;WWWW[[#This Row],['# People with access to Sanity Pads]],WWWW[[#This Row],['# People with access to soap]],WWWW[[#This Row],['# People with access to Sanity Pads]])</f>
        <v>0</v>
      </c>
      <c r="BT123" s="483" t="str">
        <f>IF(OR(WWWW[[#This Row],['#of students in school]]="",WWWW[[#This Row],['#of students in school]]=0),"No","Yes")</f>
        <v>No</v>
      </c>
      <c r="BU123" s="480" t="str">
        <f>VLOOKUP(WWWW[[#This Row],[Village  Name]],SiteDB6[[Site Name]:[Location Type 1]],9,FALSE)</f>
        <v>Village</v>
      </c>
      <c r="BV123" s="480" t="str">
        <f>VLOOKUP(WWWW[[#This Row],[Village  Name]],SiteDB6[[Site Name]:[Type of Accommodation]],10,FALSE)</f>
        <v>Village</v>
      </c>
      <c r="BW123" s="480">
        <f>VLOOKUP(WWWW[[#This Row],[Village  Name]],SiteDB6[[Site Name]:[Ethnic or GCA/NGCA]],11,FALSE)</f>
        <v>0</v>
      </c>
      <c r="BX123" s="480">
        <f>VLOOKUP(WWWW[[#This Row],[Village  Name]],SiteDB6[[Site Name]:[Lat]],12,FALSE)</f>
        <v>20.494003295898398</v>
      </c>
      <c r="BY123" s="480">
        <f>VLOOKUP(WWWW[[#This Row],[Village  Name]],SiteDB6[[Site Name]:[Long]],13,FALSE)</f>
        <v>93.324035644531307</v>
      </c>
      <c r="BZ123" s="480">
        <f>VLOOKUP(WWWW[[#This Row],[Village  Name]],SiteDB6[[Site Name]:[Pcode]],3,FALSE)</f>
        <v>220651</v>
      </c>
      <c r="CA123" s="480" t="str">
        <f t="shared" si="5"/>
        <v>Covered</v>
      </c>
      <c r="CB123" s="505"/>
    </row>
    <row r="124" spans="1:80">
      <c r="A124" s="774" t="s">
        <v>3150</v>
      </c>
      <c r="B124" s="774" t="s">
        <v>314</v>
      </c>
      <c r="C124" s="415" t="s">
        <v>314</v>
      </c>
      <c r="D124" s="415" t="s">
        <v>307</v>
      </c>
      <c r="E124" s="415" t="s">
        <v>2648</v>
      </c>
      <c r="F124" s="415" t="s">
        <v>312</v>
      </c>
      <c r="G124" s="644" t="str">
        <f>VLOOKUP(WWWW[[#This Row],[Village  Name]],SiteDB6[[Site Name]:[Location Type]],8,FALSE)</f>
        <v>Village</v>
      </c>
      <c r="H124" s="415" t="s">
        <v>2617</v>
      </c>
      <c r="I124" s="524">
        <v>170</v>
      </c>
      <c r="J124" s="524">
        <v>743</v>
      </c>
      <c r="K124" s="418">
        <v>42736</v>
      </c>
      <c r="L124" s="55">
        <v>44551</v>
      </c>
      <c r="M124" s="524"/>
      <c r="N124" s="524"/>
      <c r="O124" s="524">
        <v>14</v>
      </c>
      <c r="P124" s="524">
        <v>69</v>
      </c>
      <c r="Q124" s="524">
        <v>3</v>
      </c>
      <c r="R124" s="524"/>
      <c r="S124" s="524"/>
      <c r="T124" s="524"/>
      <c r="U124" s="551"/>
      <c r="V124" s="524">
        <v>71</v>
      </c>
      <c r="W124" s="524" t="s">
        <v>130</v>
      </c>
      <c r="X124" s="524"/>
      <c r="Y124" s="524"/>
      <c r="Z124" s="524"/>
      <c r="AA124" s="524"/>
      <c r="AB124" s="524"/>
      <c r="AC124" s="551"/>
      <c r="AD124" s="524"/>
      <c r="AE124" s="524"/>
      <c r="AF124" s="524"/>
      <c r="AG124" s="524"/>
      <c r="AH124" s="524"/>
      <c r="AI124" s="524"/>
      <c r="AJ124" s="524"/>
      <c r="AK124" s="524"/>
      <c r="AL124" s="524"/>
      <c r="AM124" s="524"/>
      <c r="AN124" s="551"/>
      <c r="AO124" s="477"/>
      <c r="AP124" s="477"/>
      <c r="AQ124" s="524"/>
      <c r="AR124" s="524"/>
      <c r="AS124" s="524"/>
      <c r="AT12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24" s="483">
        <f>WWWW[[#This Row],[%Equitable and continuous access to sufficient quantity of safe drinking water]]*WWWW[[#This Row],[Total PoP ]]</f>
        <v>743</v>
      </c>
      <c r="AV12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24" s="483">
        <f>WWWW[[#This Row],[% Access to unimproved water points]]*WWWW[[#This Row],[Total PoP ]]</f>
        <v>743</v>
      </c>
      <c r="AX12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2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743</v>
      </c>
      <c r="AZ124" s="483">
        <f>WWWW[[#This Row],[HRP1]]/250</f>
        <v>2.972</v>
      </c>
      <c r="BA124" s="476">
        <f>1-WWWW[[#This Row],[% Equitable and continuous access to sufficient quantity of domestic water]]</f>
        <v>0</v>
      </c>
      <c r="BB124" s="483">
        <f>WWWW[[#This Row],[%equitable and continuous access to sufficient quantity of safe drinking and domestic water''s GAP]]*WWWW[[#This Row],[Total PoP ]]</f>
        <v>0</v>
      </c>
      <c r="BC124" s="478">
        <f>IF(WWWW[[#This Row],[Total required water points]]-WWWW[[#This Row],['#Water points coverage]]&lt;0,0,WWWW[[#This Row],[Total required water points]]-WWWW[[#This Row],['#Water points coverage]])</f>
        <v>2.8000000000000025E-2</v>
      </c>
      <c r="BD124" s="478">
        <f>ROUND(IF(WWWW[[#This Row],[Total PoP ]]&lt;250,1,WWWW[[#This Row],[Total PoP ]]/250),0)</f>
        <v>3</v>
      </c>
      <c r="BE12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0.57335127860026913</v>
      </c>
      <c r="BF124" s="483">
        <f>WWWW[[#This Row],[% people access to functioning Latrine]]*WWWW[[#This Row],[Total PoP ]]</f>
        <v>425.99999999999994</v>
      </c>
      <c r="BG124" s="478">
        <f>WWWW[[#This Row],['#_of_Functioning_latrines_in_school]]*50</f>
        <v>0</v>
      </c>
      <c r="BH124" s="478">
        <f>ROUND((WWWW[[#This Row],[Total PoP ]]/6),0)</f>
        <v>124</v>
      </c>
      <c r="BI124" s="478">
        <f>IF(WWWW[[#This Row],[Total required Latrines]]-(WWWW[[#This Row],['#_of_sanitary_fly-proof_HH_latrines]])&lt;0,0,WWWW[[#This Row],[Total required Latrines]]-(WWWW[[#This Row],['#_of_sanitary_fly-proof_HH_latrines]]))</f>
        <v>53</v>
      </c>
      <c r="BJ124" s="479">
        <f>1-WWWW[[#This Row],[% people access to functioning Latrine]]</f>
        <v>0.42664872139973087</v>
      </c>
      <c r="BK12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24" s="483">
        <f>IF(WWWW[[#This Row],['#_of_functional_handwashing_facilities_at_HH_level]]*6&gt;WWWW[[#This Row],[Total PoP ]],WWWW[[#This Row],[Total PoP ]],WWWW[[#This Row],['#_of_functional_handwashing_facilities_at_HH_level]]*6)</f>
        <v>0</v>
      </c>
      <c r="BM124" s="478">
        <f>IF(WWWW[[#This Row],['# people reached by regular dedicated hygiene promotion]]&gt;WWWW[[#This Row],['# People received regular supply of hygiene items]],WWWW[[#This Row],['# people reached by regular dedicated hygiene promotion]],WWWW[[#This Row],['# People received regular supply of hygiene items]])</f>
        <v>0</v>
      </c>
      <c r="BN124" s="476">
        <f>IF(WWWW[[#This Row],[HRP3]]/WWWW[[#This Row],[Total PoP ]]&gt;100%,100%,WWWW[[#This Row],[HRP3]]/WWWW[[#This Row],[Total PoP ]])</f>
        <v>0</v>
      </c>
      <c r="BO124" s="479">
        <f>1-WWWW[[#This Row],[Hygiene Coverage%]]</f>
        <v>1</v>
      </c>
      <c r="BP124" s="477">
        <f>WWWW[[#This Row],['# people reached by regular dedicated hygiene promotion]]/WWWW[[#This Row],[Total PoP ]]</f>
        <v>0</v>
      </c>
      <c r="BQ12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24" s="478">
        <f>WWWW[[#This Row],['#_of_affected_women_and_girls_receiving_a_sufficient_quantity_of_sanitary_pads]]</f>
        <v>0</v>
      </c>
      <c r="BS124" s="524">
        <f>IF(WWWW[[#This Row],['# People with access to soap]]&gt;WWWW[[#This Row],['# People with access to Sanity Pads]],WWWW[[#This Row],['# People with access to soap]],WWWW[[#This Row],['# People with access to Sanity Pads]])</f>
        <v>0</v>
      </c>
      <c r="BT124" s="483" t="str">
        <f>IF(OR(WWWW[[#This Row],['#of students in school]]="",WWWW[[#This Row],['#of students in school]]=0),"No","Yes")</f>
        <v>No</v>
      </c>
      <c r="BU124" s="480" t="str">
        <f>VLOOKUP(WWWW[[#This Row],[Village  Name]],SiteDB6[[Site Name]:[Location Type 1]],9,FALSE)</f>
        <v>Village</v>
      </c>
      <c r="BV124" s="480" t="str">
        <f>VLOOKUP(WWWW[[#This Row],[Village  Name]],SiteDB6[[Site Name]:[Type of Accommodation]],10,FALSE)</f>
        <v>Village</v>
      </c>
      <c r="BW124" s="480">
        <f>VLOOKUP(WWWW[[#This Row],[Village  Name]],SiteDB6[[Site Name]:[Ethnic or GCA/NGCA]],11,FALSE)</f>
        <v>0</v>
      </c>
      <c r="BX124" s="480">
        <f>VLOOKUP(WWWW[[#This Row],[Village  Name]],SiteDB6[[Site Name]:[Lat]],12,FALSE)</f>
        <v>20.476139068603501</v>
      </c>
      <c r="BY124" s="480">
        <f>VLOOKUP(WWWW[[#This Row],[Village  Name]],SiteDB6[[Site Name]:[Long]],13,FALSE)</f>
        <v>93.338516235351605</v>
      </c>
      <c r="BZ124" s="480">
        <f>VLOOKUP(WWWW[[#This Row],[Village  Name]],SiteDB6[[Site Name]:[Pcode]],3,FALSE)</f>
        <v>197103</v>
      </c>
      <c r="CA124" s="480" t="str">
        <f t="shared" si="5"/>
        <v>Covered</v>
      </c>
      <c r="CB124" s="505"/>
    </row>
    <row r="125" spans="1:80">
      <c r="A125" s="774" t="s">
        <v>3150</v>
      </c>
      <c r="B125" s="774" t="s">
        <v>314</v>
      </c>
      <c r="C125" s="415" t="s">
        <v>314</v>
      </c>
      <c r="D125" s="415" t="s">
        <v>307</v>
      </c>
      <c r="E125" s="415" t="s">
        <v>2648</v>
      </c>
      <c r="F125" s="415" t="s">
        <v>312</v>
      </c>
      <c r="G125" s="644" t="str">
        <f>VLOOKUP(WWWW[[#This Row],[Village  Name]],SiteDB6[[Site Name]:[Location Type]],8,FALSE)</f>
        <v>Village</v>
      </c>
      <c r="H125" s="415" t="s">
        <v>462</v>
      </c>
      <c r="I125" s="524">
        <v>121</v>
      </c>
      <c r="J125" s="524">
        <v>421</v>
      </c>
      <c r="K125" s="418">
        <v>42736</v>
      </c>
      <c r="L125" s="55">
        <v>44551</v>
      </c>
      <c r="M125" s="524"/>
      <c r="N125" s="524"/>
      <c r="O125" s="524">
        <v>0</v>
      </c>
      <c r="P125" s="524">
        <v>98</v>
      </c>
      <c r="Q125" s="524">
        <v>2</v>
      </c>
      <c r="R125" s="524"/>
      <c r="S125" s="524"/>
      <c r="T125" s="524"/>
      <c r="U125" s="551"/>
      <c r="V125" s="524">
        <v>112</v>
      </c>
      <c r="W125" s="524" t="s">
        <v>130</v>
      </c>
      <c r="X125" s="524"/>
      <c r="Y125" s="524"/>
      <c r="Z125" s="524"/>
      <c r="AA125" s="524"/>
      <c r="AB125" s="524"/>
      <c r="AC125" s="551"/>
      <c r="AD125" s="524"/>
      <c r="AE125" s="524"/>
      <c r="AF125" s="524"/>
      <c r="AG125" s="524"/>
      <c r="AH125" s="524"/>
      <c r="AI125" s="524"/>
      <c r="AJ125" s="524"/>
      <c r="AK125" s="524"/>
      <c r="AL125" s="524"/>
      <c r="AM125" s="524"/>
      <c r="AN125" s="551"/>
      <c r="AO125" s="477"/>
      <c r="AP125" s="477"/>
      <c r="AQ125" s="524"/>
      <c r="AR125" s="524"/>
      <c r="AS125" s="524"/>
      <c r="AT12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25" s="483">
        <f>WWWW[[#This Row],[%Equitable and continuous access to sufficient quantity of safe drinking water]]*WWWW[[#This Row],[Total PoP ]]</f>
        <v>421</v>
      </c>
      <c r="AV12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25" s="483">
        <f>WWWW[[#This Row],[% Access to unimproved water points]]*WWWW[[#This Row],[Total PoP ]]</f>
        <v>421</v>
      </c>
      <c r="AX12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2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421</v>
      </c>
      <c r="AZ125" s="483">
        <f>WWWW[[#This Row],[HRP1]]/250</f>
        <v>1.6839999999999999</v>
      </c>
      <c r="BA125" s="476">
        <f>1-WWWW[[#This Row],[% Equitable and continuous access to sufficient quantity of domestic water]]</f>
        <v>0</v>
      </c>
      <c r="BB125" s="483">
        <f>WWWW[[#This Row],[%equitable and continuous access to sufficient quantity of safe drinking and domestic water''s GAP]]*WWWW[[#This Row],[Total PoP ]]</f>
        <v>0</v>
      </c>
      <c r="BC125" s="478">
        <f>IF(WWWW[[#This Row],[Total required water points]]-WWWW[[#This Row],['#Water points coverage]]&lt;0,0,WWWW[[#This Row],[Total required water points]]-WWWW[[#This Row],['#Water points coverage]])</f>
        <v>0.31600000000000006</v>
      </c>
      <c r="BD125" s="478">
        <f>ROUND(IF(WWWW[[#This Row],[Total PoP ]]&lt;250,1,WWWW[[#This Row],[Total PoP ]]/250),0)</f>
        <v>2</v>
      </c>
      <c r="BE12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25" s="483">
        <f>WWWW[[#This Row],[% people access to functioning Latrine]]*WWWW[[#This Row],[Total PoP ]]</f>
        <v>421</v>
      </c>
      <c r="BG125" s="478">
        <f>WWWW[[#This Row],['#_of_Functioning_latrines_in_school]]*50</f>
        <v>0</v>
      </c>
      <c r="BH125" s="478">
        <f>ROUND((WWWW[[#This Row],[Total PoP ]]/6),0)</f>
        <v>70</v>
      </c>
      <c r="BI125" s="478">
        <f>IF(WWWW[[#This Row],[Total required Latrines]]-(WWWW[[#This Row],['#_of_sanitary_fly-proof_HH_latrines]])&lt;0,0,WWWW[[#This Row],[Total required Latrines]]-(WWWW[[#This Row],['#_of_sanitary_fly-proof_HH_latrines]]))</f>
        <v>0</v>
      </c>
      <c r="BJ125" s="479">
        <f>1-WWWW[[#This Row],[% people access to functioning Latrine]]</f>
        <v>0</v>
      </c>
      <c r="BK12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25" s="483">
        <f>IF(WWWW[[#This Row],['#_of_functional_handwashing_facilities_at_HH_level]]*6&gt;WWWW[[#This Row],[Total PoP ]],WWWW[[#This Row],[Total PoP ]],WWWW[[#This Row],['#_of_functional_handwashing_facilities_at_HH_level]]*6)</f>
        <v>0</v>
      </c>
      <c r="BM125" s="478">
        <f>IF(WWWW[[#This Row],['# people reached by regular dedicated hygiene promotion]]&gt;WWWW[[#This Row],['# People received regular supply of hygiene items]],WWWW[[#This Row],['# people reached by regular dedicated hygiene promotion]],WWWW[[#This Row],['# People received regular supply of hygiene items]])</f>
        <v>0</v>
      </c>
      <c r="BN125" s="476">
        <f>IF(WWWW[[#This Row],[HRP3]]/WWWW[[#This Row],[Total PoP ]]&gt;100%,100%,WWWW[[#This Row],[HRP3]]/WWWW[[#This Row],[Total PoP ]])</f>
        <v>0</v>
      </c>
      <c r="BO125" s="479">
        <f>1-WWWW[[#This Row],[Hygiene Coverage%]]</f>
        <v>1</v>
      </c>
      <c r="BP125" s="477">
        <f>WWWW[[#This Row],['# people reached by regular dedicated hygiene promotion]]/WWWW[[#This Row],[Total PoP ]]</f>
        <v>0</v>
      </c>
      <c r="BQ12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25" s="478">
        <f>WWWW[[#This Row],['#_of_affected_women_and_girls_receiving_a_sufficient_quantity_of_sanitary_pads]]</f>
        <v>0</v>
      </c>
      <c r="BS125" s="524">
        <f>IF(WWWW[[#This Row],['# People with access to soap]]&gt;WWWW[[#This Row],['# People with access to Sanity Pads]],WWWW[[#This Row],['# People with access to soap]],WWWW[[#This Row],['# People with access to Sanity Pads]])</f>
        <v>0</v>
      </c>
      <c r="BT125" s="483" t="str">
        <f>IF(OR(WWWW[[#This Row],['#of students in school]]="",WWWW[[#This Row],['#of students in school]]=0),"No","Yes")</f>
        <v>No</v>
      </c>
      <c r="BU125" s="480" t="str">
        <f>VLOOKUP(WWWW[[#This Row],[Village  Name]],SiteDB6[[Site Name]:[Location Type 1]],9,FALSE)</f>
        <v>Village</v>
      </c>
      <c r="BV125" s="480" t="str">
        <f>VLOOKUP(WWWW[[#This Row],[Village  Name]],SiteDB6[[Site Name]:[Type of Accommodation]],10,FALSE)</f>
        <v>Village</v>
      </c>
      <c r="BW125" s="480" t="str">
        <f>VLOOKUP(WWWW[[#This Row],[Village  Name]],SiteDB6[[Site Name]:[Ethnic or GCA/NGCA]],11,FALSE)</f>
        <v>Mixed</v>
      </c>
      <c r="BX125" s="480">
        <f>VLOOKUP(WWWW[[#This Row],[Village  Name]],SiteDB6[[Site Name]:[Lat]],12,FALSE)</f>
        <v>20.394809720000001</v>
      </c>
      <c r="BY125" s="480">
        <f>VLOOKUP(WWWW[[#This Row],[Village  Name]],SiteDB6[[Site Name]:[Long]],13,FALSE)</f>
        <v>93.251609799999997</v>
      </c>
      <c r="BZ125" s="480">
        <f>VLOOKUP(WWWW[[#This Row],[Village  Name]],SiteDB6[[Site Name]:[Pcode]],3,FALSE)</f>
        <v>196994</v>
      </c>
      <c r="CA125" s="480" t="str">
        <f t="shared" si="5"/>
        <v>Covered</v>
      </c>
      <c r="CB125" s="505"/>
    </row>
    <row r="126" spans="1:80">
      <c r="A126" s="774" t="s">
        <v>3150</v>
      </c>
      <c r="B126" s="774" t="s">
        <v>314</v>
      </c>
      <c r="C126" s="415" t="s">
        <v>314</v>
      </c>
      <c r="D126" s="415" t="s">
        <v>307</v>
      </c>
      <c r="E126" s="415" t="s">
        <v>2648</v>
      </c>
      <c r="F126" s="415" t="s">
        <v>312</v>
      </c>
      <c r="G126" s="644" t="str">
        <f>VLOOKUP(WWWW[[#This Row],[Village  Name]],SiteDB6[[Site Name]:[Location Type]],8,FALSE)</f>
        <v>Village</v>
      </c>
      <c r="H126" s="415" t="s">
        <v>1747</v>
      </c>
      <c r="I126" s="524">
        <v>203</v>
      </c>
      <c r="J126" s="524">
        <v>1118</v>
      </c>
      <c r="K126" s="418">
        <v>42736</v>
      </c>
      <c r="L126" s="55">
        <v>44551</v>
      </c>
      <c r="M126" s="524"/>
      <c r="N126" s="524"/>
      <c r="O126" s="524">
        <v>18</v>
      </c>
      <c r="P126" s="524">
        <v>111</v>
      </c>
      <c r="Q126" s="524">
        <v>2</v>
      </c>
      <c r="R126" s="524"/>
      <c r="S126" s="524"/>
      <c r="T126" s="524"/>
      <c r="U126" s="551"/>
      <c r="V126" s="524">
        <v>97</v>
      </c>
      <c r="W126" s="524" t="s">
        <v>130</v>
      </c>
      <c r="X126" s="524"/>
      <c r="Y126" s="524"/>
      <c r="Z126" s="524"/>
      <c r="AA126" s="524"/>
      <c r="AB126" s="524"/>
      <c r="AC126" s="551"/>
      <c r="AD126" s="524"/>
      <c r="AE126" s="524"/>
      <c r="AF126" s="524"/>
      <c r="AG126" s="524"/>
      <c r="AH126" s="524"/>
      <c r="AI126" s="524"/>
      <c r="AJ126" s="524"/>
      <c r="AK126" s="524"/>
      <c r="AL126" s="524"/>
      <c r="AM126" s="524"/>
      <c r="AN126" s="551"/>
      <c r="AO126" s="477"/>
      <c r="AP126" s="477"/>
      <c r="AQ126" s="524"/>
      <c r="AR126" s="524"/>
      <c r="AS126" s="524"/>
      <c r="AT12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26" s="483">
        <f>WWWW[[#This Row],[%Equitable and continuous access to sufficient quantity of safe drinking water]]*WWWW[[#This Row],[Total PoP ]]</f>
        <v>1118</v>
      </c>
      <c r="AV12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26" s="483">
        <f>WWWW[[#This Row],[% Access to unimproved water points]]*WWWW[[#This Row],[Total PoP ]]</f>
        <v>1118</v>
      </c>
      <c r="AX12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2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1118</v>
      </c>
      <c r="AZ126" s="483">
        <f>WWWW[[#This Row],[HRP1]]/250</f>
        <v>4.4720000000000004</v>
      </c>
      <c r="BA126" s="476">
        <f>1-WWWW[[#This Row],[% Equitable and continuous access to sufficient quantity of domestic water]]</f>
        <v>0</v>
      </c>
      <c r="BB126" s="483">
        <f>WWWW[[#This Row],[%equitable and continuous access to sufficient quantity of safe drinking and domestic water''s GAP]]*WWWW[[#This Row],[Total PoP ]]</f>
        <v>0</v>
      </c>
      <c r="BC126" s="478">
        <f>IF(WWWW[[#This Row],[Total required water points]]-WWWW[[#This Row],['#Water points coverage]]&lt;0,0,WWWW[[#This Row],[Total required water points]]-WWWW[[#This Row],['#Water points coverage]])</f>
        <v>0</v>
      </c>
      <c r="BD126" s="478">
        <f>ROUND(IF(WWWW[[#This Row],[Total PoP ]]&lt;250,1,WWWW[[#This Row],[Total PoP ]]/250),0)</f>
        <v>4</v>
      </c>
      <c r="BE12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0.52057245080500891</v>
      </c>
      <c r="BF126" s="483">
        <f>WWWW[[#This Row],[% people access to functioning Latrine]]*WWWW[[#This Row],[Total PoP ]]</f>
        <v>582</v>
      </c>
      <c r="BG126" s="478">
        <f>WWWW[[#This Row],['#_of_Functioning_latrines_in_school]]*50</f>
        <v>0</v>
      </c>
      <c r="BH126" s="478">
        <f>ROUND((WWWW[[#This Row],[Total PoP ]]/6),0)</f>
        <v>186</v>
      </c>
      <c r="BI126" s="478">
        <f>IF(WWWW[[#This Row],[Total required Latrines]]-(WWWW[[#This Row],['#_of_sanitary_fly-proof_HH_latrines]])&lt;0,0,WWWW[[#This Row],[Total required Latrines]]-(WWWW[[#This Row],['#_of_sanitary_fly-proof_HH_latrines]]))</f>
        <v>89</v>
      </c>
      <c r="BJ126" s="479">
        <f>1-WWWW[[#This Row],[% people access to functioning Latrine]]</f>
        <v>0.47942754919499109</v>
      </c>
      <c r="BK12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26" s="483">
        <f>IF(WWWW[[#This Row],['#_of_functional_handwashing_facilities_at_HH_level]]*6&gt;WWWW[[#This Row],[Total PoP ]],WWWW[[#This Row],[Total PoP ]],WWWW[[#This Row],['#_of_functional_handwashing_facilities_at_HH_level]]*6)</f>
        <v>0</v>
      </c>
      <c r="BM126" s="478">
        <f>IF(WWWW[[#This Row],['# people reached by regular dedicated hygiene promotion]]&gt;WWWW[[#This Row],['# People received regular supply of hygiene items]],WWWW[[#This Row],['# people reached by regular dedicated hygiene promotion]],WWWW[[#This Row],['# People received regular supply of hygiene items]])</f>
        <v>0</v>
      </c>
      <c r="BN126" s="476">
        <f>IF(WWWW[[#This Row],[HRP3]]/WWWW[[#This Row],[Total PoP ]]&gt;100%,100%,WWWW[[#This Row],[HRP3]]/WWWW[[#This Row],[Total PoP ]])</f>
        <v>0</v>
      </c>
      <c r="BO126" s="479">
        <f>1-WWWW[[#This Row],[Hygiene Coverage%]]</f>
        <v>1</v>
      </c>
      <c r="BP126" s="477">
        <f>WWWW[[#This Row],['# people reached by regular dedicated hygiene promotion]]/WWWW[[#This Row],[Total PoP ]]</f>
        <v>0</v>
      </c>
      <c r="BQ12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26" s="478">
        <f>WWWW[[#This Row],['#_of_affected_women_and_girls_receiving_a_sufficient_quantity_of_sanitary_pads]]</f>
        <v>0</v>
      </c>
      <c r="BS126" s="524">
        <f>IF(WWWW[[#This Row],['# People with access to soap]]&gt;WWWW[[#This Row],['# People with access to Sanity Pads]],WWWW[[#This Row],['# People with access to soap]],WWWW[[#This Row],['# People with access to Sanity Pads]])</f>
        <v>0</v>
      </c>
      <c r="BT126" s="483" t="str">
        <f>IF(OR(WWWW[[#This Row],['#of students in school]]="",WWWW[[#This Row],['#of students in school]]=0),"No","Yes")</f>
        <v>No</v>
      </c>
      <c r="BU126" s="480" t="str">
        <f>VLOOKUP(WWWW[[#This Row],[Village  Name]],SiteDB6[[Site Name]:[Location Type 1]],9,FALSE)</f>
        <v>Village</v>
      </c>
      <c r="BV126" s="480" t="str">
        <f>VLOOKUP(WWWW[[#This Row],[Village  Name]],SiteDB6[[Site Name]:[Type of Accommodation]],10,FALSE)</f>
        <v>Village</v>
      </c>
      <c r="BW126" s="480">
        <f>VLOOKUP(WWWW[[#This Row],[Village  Name]],SiteDB6[[Site Name]:[Ethnic or GCA/NGCA]],11,FALSE)</f>
        <v>0</v>
      </c>
      <c r="BX126" s="480">
        <f>VLOOKUP(WWWW[[#This Row],[Village  Name]],SiteDB6[[Site Name]:[Lat]],12,FALSE)</f>
        <v>20.391029357910199</v>
      </c>
      <c r="BY126" s="480">
        <f>VLOOKUP(WWWW[[#This Row],[Village  Name]],SiteDB6[[Site Name]:[Long]],13,FALSE)</f>
        <v>93.257637023925795</v>
      </c>
      <c r="BZ126" s="480">
        <f>VLOOKUP(WWWW[[#This Row],[Village  Name]],SiteDB6[[Site Name]:[Pcode]],3,FALSE)</f>
        <v>196997</v>
      </c>
      <c r="CA126" s="480" t="str">
        <f t="shared" si="5"/>
        <v>Covered</v>
      </c>
      <c r="CB126" s="505"/>
    </row>
    <row r="127" spans="1:80">
      <c r="A127" s="774" t="s">
        <v>3150</v>
      </c>
      <c r="B127" s="774" t="s">
        <v>314</v>
      </c>
      <c r="C127" s="415" t="s">
        <v>314</v>
      </c>
      <c r="D127" s="415" t="s">
        <v>307</v>
      </c>
      <c r="E127" s="415" t="s">
        <v>2648</v>
      </c>
      <c r="F127" s="415" t="s">
        <v>312</v>
      </c>
      <c r="G127" s="644" t="str">
        <f>VLOOKUP(WWWW[[#This Row],[Village  Name]],SiteDB6[[Site Name]:[Location Type]],8,FALSE)</f>
        <v>Village</v>
      </c>
      <c r="H127" s="415" t="s">
        <v>463</v>
      </c>
      <c r="I127" s="524">
        <v>31</v>
      </c>
      <c r="J127" s="524">
        <v>170</v>
      </c>
      <c r="K127" s="418">
        <v>42736</v>
      </c>
      <c r="L127" s="55">
        <v>44551</v>
      </c>
      <c r="M127" s="524"/>
      <c r="N127" s="524"/>
      <c r="O127" s="524">
        <v>0</v>
      </c>
      <c r="P127" s="524">
        <v>54</v>
      </c>
      <c r="Q127" s="524">
        <v>4</v>
      </c>
      <c r="R127" s="524"/>
      <c r="S127" s="524"/>
      <c r="T127" s="524"/>
      <c r="U127" s="551"/>
      <c r="V127" s="524">
        <v>154</v>
      </c>
      <c r="W127" s="524" t="s">
        <v>130</v>
      </c>
      <c r="X127" s="524"/>
      <c r="Y127" s="524"/>
      <c r="Z127" s="524"/>
      <c r="AA127" s="524"/>
      <c r="AB127" s="524"/>
      <c r="AC127" s="551"/>
      <c r="AD127" s="524"/>
      <c r="AE127" s="524"/>
      <c r="AF127" s="524"/>
      <c r="AG127" s="524"/>
      <c r="AH127" s="524"/>
      <c r="AI127" s="524"/>
      <c r="AJ127" s="524"/>
      <c r="AK127" s="524"/>
      <c r="AL127" s="524"/>
      <c r="AM127" s="524"/>
      <c r="AN127" s="551"/>
      <c r="AO127" s="477"/>
      <c r="AP127" s="477"/>
      <c r="AQ127" s="524"/>
      <c r="AR127" s="524"/>
      <c r="AS127" s="524"/>
      <c r="AT12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27" s="483">
        <f>WWWW[[#This Row],[%Equitable and continuous access to sufficient quantity of safe drinking water]]*WWWW[[#This Row],[Total PoP ]]</f>
        <v>170</v>
      </c>
      <c r="AV12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27" s="483">
        <f>WWWW[[#This Row],[% Access to unimproved water points]]*WWWW[[#This Row],[Total PoP ]]</f>
        <v>170</v>
      </c>
      <c r="AX12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2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170</v>
      </c>
      <c r="AZ127" s="483">
        <f>WWWW[[#This Row],[HRP1]]/250</f>
        <v>0.68</v>
      </c>
      <c r="BA127" s="476">
        <f>1-WWWW[[#This Row],[% Equitable and continuous access to sufficient quantity of domestic water]]</f>
        <v>0</v>
      </c>
      <c r="BB127" s="483">
        <f>WWWW[[#This Row],[%equitable and continuous access to sufficient quantity of safe drinking and domestic water''s GAP]]*WWWW[[#This Row],[Total PoP ]]</f>
        <v>0</v>
      </c>
      <c r="BC127" s="478">
        <f>IF(WWWW[[#This Row],[Total required water points]]-WWWW[[#This Row],['#Water points coverage]]&lt;0,0,WWWW[[#This Row],[Total required water points]]-WWWW[[#This Row],['#Water points coverage]])</f>
        <v>0.31999999999999995</v>
      </c>
      <c r="BD127" s="478">
        <f>ROUND(IF(WWWW[[#This Row],[Total PoP ]]&lt;250,1,WWWW[[#This Row],[Total PoP ]]/250),0)</f>
        <v>1</v>
      </c>
      <c r="BE12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27" s="483">
        <f>WWWW[[#This Row],[% people access to functioning Latrine]]*WWWW[[#This Row],[Total PoP ]]</f>
        <v>170</v>
      </c>
      <c r="BG127" s="478">
        <f>WWWW[[#This Row],['#_of_Functioning_latrines_in_school]]*50</f>
        <v>0</v>
      </c>
      <c r="BH127" s="478">
        <f>ROUND((WWWW[[#This Row],[Total PoP ]]/6),0)</f>
        <v>28</v>
      </c>
      <c r="BI127" s="478">
        <f>IF(WWWW[[#This Row],[Total required Latrines]]-(WWWW[[#This Row],['#_of_sanitary_fly-proof_HH_latrines]])&lt;0,0,WWWW[[#This Row],[Total required Latrines]]-(WWWW[[#This Row],['#_of_sanitary_fly-proof_HH_latrines]]))</f>
        <v>0</v>
      </c>
      <c r="BJ127" s="479">
        <f>1-WWWW[[#This Row],[% people access to functioning Latrine]]</f>
        <v>0</v>
      </c>
      <c r="BK12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27" s="483">
        <f>IF(WWWW[[#This Row],['#_of_functional_handwashing_facilities_at_HH_level]]*6&gt;WWWW[[#This Row],[Total PoP ]],WWWW[[#This Row],[Total PoP ]],WWWW[[#This Row],['#_of_functional_handwashing_facilities_at_HH_level]]*6)</f>
        <v>0</v>
      </c>
      <c r="BM127" s="478">
        <f>IF(WWWW[[#This Row],['# people reached by regular dedicated hygiene promotion]]&gt;WWWW[[#This Row],['# People received regular supply of hygiene items]],WWWW[[#This Row],['# people reached by regular dedicated hygiene promotion]],WWWW[[#This Row],['# People received regular supply of hygiene items]])</f>
        <v>0</v>
      </c>
      <c r="BN127" s="476">
        <f>IF(WWWW[[#This Row],[HRP3]]/WWWW[[#This Row],[Total PoP ]]&gt;100%,100%,WWWW[[#This Row],[HRP3]]/WWWW[[#This Row],[Total PoP ]])</f>
        <v>0</v>
      </c>
      <c r="BO127" s="479">
        <f>1-WWWW[[#This Row],[Hygiene Coverage%]]</f>
        <v>1</v>
      </c>
      <c r="BP127" s="477">
        <f>WWWW[[#This Row],['# people reached by regular dedicated hygiene promotion]]/WWWW[[#This Row],[Total PoP ]]</f>
        <v>0</v>
      </c>
      <c r="BQ12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27" s="478">
        <f>WWWW[[#This Row],['#_of_affected_women_and_girls_receiving_a_sufficient_quantity_of_sanitary_pads]]</f>
        <v>0</v>
      </c>
      <c r="BS127" s="524">
        <f>IF(WWWW[[#This Row],['# People with access to soap]]&gt;WWWW[[#This Row],['# People with access to Sanity Pads]],WWWW[[#This Row],['# People with access to soap]],WWWW[[#This Row],['# People with access to Sanity Pads]])</f>
        <v>0</v>
      </c>
      <c r="BT127" s="483" t="str">
        <f>IF(OR(WWWW[[#This Row],['#of students in school]]="",WWWW[[#This Row],['#of students in school]]=0),"No","Yes")</f>
        <v>No</v>
      </c>
      <c r="BU127" s="480" t="str">
        <f>VLOOKUP(WWWW[[#This Row],[Village  Name]],SiteDB6[[Site Name]:[Location Type 1]],9,FALSE)</f>
        <v>Village</v>
      </c>
      <c r="BV127" s="480" t="str">
        <f>VLOOKUP(WWWW[[#This Row],[Village  Name]],SiteDB6[[Site Name]:[Type of Accommodation]],10,FALSE)</f>
        <v>Village</v>
      </c>
      <c r="BW127" s="480" t="str">
        <f>VLOOKUP(WWWW[[#This Row],[Village  Name]],SiteDB6[[Site Name]:[Ethnic or GCA/NGCA]],11,FALSE)</f>
        <v>Rakhine</v>
      </c>
      <c r="BX127" s="480">
        <f>VLOOKUP(WWWW[[#This Row],[Village  Name]],SiteDB6[[Site Name]:[Lat]],12,FALSE)</f>
        <v>20.396680830000001</v>
      </c>
      <c r="BY127" s="480">
        <f>VLOOKUP(WWWW[[#This Row],[Village  Name]],SiteDB6[[Site Name]:[Long]],13,FALSE)</f>
        <v>93.252868649999996</v>
      </c>
      <c r="BZ127" s="480">
        <f>VLOOKUP(WWWW[[#This Row],[Village  Name]],SiteDB6[[Site Name]:[Pcode]],3,FALSE)</f>
        <v>196998</v>
      </c>
      <c r="CA127" s="480" t="str">
        <f t="shared" si="5"/>
        <v>Covered</v>
      </c>
      <c r="CB127" s="505"/>
    </row>
    <row r="128" spans="1:80">
      <c r="A128" s="774" t="s">
        <v>3150</v>
      </c>
      <c r="B128" s="774" t="s">
        <v>314</v>
      </c>
      <c r="C128" s="415" t="s">
        <v>314</v>
      </c>
      <c r="D128" s="415" t="s">
        <v>327</v>
      </c>
      <c r="E128" s="415" t="s">
        <v>2648</v>
      </c>
      <c r="F128" s="415" t="s">
        <v>312</v>
      </c>
      <c r="G128" s="644" t="str">
        <f>VLOOKUP(WWWW[[#This Row],[Village  Name]],SiteDB6[[Site Name]:[Location Type]],8,FALSE)</f>
        <v>Village</v>
      </c>
      <c r="H128" s="415" t="s">
        <v>2618</v>
      </c>
      <c r="I128" s="524">
        <v>180</v>
      </c>
      <c r="J128" s="524">
        <v>964</v>
      </c>
      <c r="K128" s="418">
        <v>42736</v>
      </c>
      <c r="L128" s="55">
        <v>44551</v>
      </c>
      <c r="M128" s="524"/>
      <c r="N128" s="524"/>
      <c r="O128" s="524">
        <v>3</v>
      </c>
      <c r="P128" s="524">
        <v>76</v>
      </c>
      <c r="Q128" s="524">
        <v>3</v>
      </c>
      <c r="R128" s="524"/>
      <c r="S128" s="524"/>
      <c r="T128" s="524"/>
      <c r="U128" s="551"/>
      <c r="V128" s="524">
        <v>116</v>
      </c>
      <c r="W128" s="524" t="s">
        <v>130</v>
      </c>
      <c r="X128" s="524"/>
      <c r="Y128" s="524"/>
      <c r="Z128" s="524"/>
      <c r="AA128" s="524"/>
      <c r="AB128" s="524"/>
      <c r="AC128" s="551"/>
      <c r="AD128" s="524"/>
      <c r="AE128" s="524"/>
      <c r="AF128" s="524"/>
      <c r="AG128" s="524"/>
      <c r="AH128" s="524"/>
      <c r="AI128" s="524"/>
      <c r="AJ128" s="524"/>
      <c r="AK128" s="524"/>
      <c r="AL128" s="524"/>
      <c r="AM128" s="524"/>
      <c r="AN128" s="551"/>
      <c r="AO128" s="477"/>
      <c r="AP128" s="477"/>
      <c r="AQ128" s="524"/>
      <c r="AR128" s="524"/>
      <c r="AS128" s="524"/>
      <c r="AT12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28" s="483">
        <f>WWWW[[#This Row],[%Equitable and continuous access to sufficient quantity of safe drinking water]]*WWWW[[#This Row],[Total PoP ]]</f>
        <v>964</v>
      </c>
      <c r="AV12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28" s="483">
        <f>WWWW[[#This Row],[% Access to unimproved water points]]*WWWW[[#This Row],[Total PoP ]]</f>
        <v>964</v>
      </c>
      <c r="AX12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2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964</v>
      </c>
      <c r="AZ128" s="483">
        <f>WWWW[[#This Row],[HRP1]]/250</f>
        <v>3.8559999999999999</v>
      </c>
      <c r="BA128" s="476">
        <f>1-WWWW[[#This Row],[% Equitable and continuous access to sufficient quantity of domestic water]]</f>
        <v>0</v>
      </c>
      <c r="BB128" s="483">
        <f>WWWW[[#This Row],[%equitable and continuous access to sufficient quantity of safe drinking and domestic water''s GAP]]*WWWW[[#This Row],[Total PoP ]]</f>
        <v>0</v>
      </c>
      <c r="BC128" s="478">
        <f>IF(WWWW[[#This Row],[Total required water points]]-WWWW[[#This Row],['#Water points coverage]]&lt;0,0,WWWW[[#This Row],[Total required water points]]-WWWW[[#This Row],['#Water points coverage]])</f>
        <v>0.14400000000000013</v>
      </c>
      <c r="BD128" s="478">
        <f>ROUND(IF(WWWW[[#This Row],[Total PoP ]]&lt;250,1,WWWW[[#This Row],[Total PoP ]]/250),0)</f>
        <v>4</v>
      </c>
      <c r="BE12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0.72199170124481327</v>
      </c>
      <c r="BF128" s="483">
        <f>WWWW[[#This Row],[% people access to functioning Latrine]]*WWWW[[#This Row],[Total PoP ]]</f>
        <v>696</v>
      </c>
      <c r="BG128" s="478">
        <f>WWWW[[#This Row],['#_of_Functioning_latrines_in_school]]*50</f>
        <v>0</v>
      </c>
      <c r="BH128" s="478">
        <f>ROUND((WWWW[[#This Row],[Total PoP ]]/6),0)</f>
        <v>161</v>
      </c>
      <c r="BI128" s="478">
        <f>IF(WWWW[[#This Row],[Total required Latrines]]-(WWWW[[#This Row],['#_of_sanitary_fly-proof_HH_latrines]])&lt;0,0,WWWW[[#This Row],[Total required Latrines]]-(WWWW[[#This Row],['#_of_sanitary_fly-proof_HH_latrines]]))</f>
        <v>45</v>
      </c>
      <c r="BJ128" s="479">
        <f>1-WWWW[[#This Row],[% people access to functioning Latrine]]</f>
        <v>0.27800829875518673</v>
      </c>
      <c r="BK12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28" s="483">
        <f>IF(WWWW[[#This Row],['#_of_functional_handwashing_facilities_at_HH_level]]*6&gt;WWWW[[#This Row],[Total PoP ]],WWWW[[#This Row],[Total PoP ]],WWWW[[#This Row],['#_of_functional_handwashing_facilities_at_HH_level]]*6)</f>
        <v>0</v>
      </c>
      <c r="BM128" s="478">
        <f>IF(WWWW[[#This Row],['# people reached by regular dedicated hygiene promotion]]&gt;WWWW[[#This Row],['# People received regular supply of hygiene items]],WWWW[[#This Row],['# people reached by regular dedicated hygiene promotion]],WWWW[[#This Row],['# People received regular supply of hygiene items]])</f>
        <v>0</v>
      </c>
      <c r="BN128" s="476">
        <f>IF(WWWW[[#This Row],[HRP3]]/WWWW[[#This Row],[Total PoP ]]&gt;100%,100%,WWWW[[#This Row],[HRP3]]/WWWW[[#This Row],[Total PoP ]])</f>
        <v>0</v>
      </c>
      <c r="BO128" s="479">
        <f>1-WWWW[[#This Row],[Hygiene Coverage%]]</f>
        <v>1</v>
      </c>
      <c r="BP128" s="477">
        <f>WWWW[[#This Row],['# people reached by regular dedicated hygiene promotion]]/WWWW[[#This Row],[Total PoP ]]</f>
        <v>0</v>
      </c>
      <c r="BQ12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28" s="478">
        <f>WWWW[[#This Row],['#_of_affected_women_and_girls_receiving_a_sufficient_quantity_of_sanitary_pads]]</f>
        <v>0</v>
      </c>
      <c r="BS128" s="524">
        <f>IF(WWWW[[#This Row],['# People with access to soap]]&gt;WWWW[[#This Row],['# People with access to Sanity Pads]],WWWW[[#This Row],['# People with access to soap]],WWWW[[#This Row],['# People with access to Sanity Pads]])</f>
        <v>0</v>
      </c>
      <c r="BT128" s="483" t="str">
        <f>IF(OR(WWWW[[#This Row],['#of students in school]]="",WWWW[[#This Row],['#of students in school]]=0),"No","Yes")</f>
        <v>No</v>
      </c>
      <c r="BU128" s="480" t="str">
        <f>VLOOKUP(WWWW[[#This Row],[Village  Name]],SiteDB6[[Site Name]:[Location Type 1]],9,FALSE)</f>
        <v>Village</v>
      </c>
      <c r="BV128" s="480" t="str">
        <f>VLOOKUP(WWWW[[#This Row],[Village  Name]],SiteDB6[[Site Name]:[Type of Accommodation]],10,FALSE)</f>
        <v>Village</v>
      </c>
      <c r="BW128" s="480">
        <f>VLOOKUP(WWWW[[#This Row],[Village  Name]],SiteDB6[[Site Name]:[Ethnic or GCA/NGCA]],11,FALSE)</f>
        <v>0</v>
      </c>
      <c r="BX128" s="480">
        <f>VLOOKUP(WWWW[[#This Row],[Village  Name]],SiteDB6[[Site Name]:[Lat]],12,FALSE)</f>
        <v>20.410079956054702</v>
      </c>
      <c r="BY128" s="480">
        <f>VLOOKUP(WWWW[[#This Row],[Village  Name]],SiteDB6[[Site Name]:[Long]],13,FALSE)</f>
        <v>93.37109375</v>
      </c>
      <c r="BZ128" s="480">
        <f>VLOOKUP(WWWW[[#This Row],[Village  Name]],SiteDB6[[Site Name]:[Pcode]],3,FALSE)</f>
        <v>197114</v>
      </c>
      <c r="CA128" s="480" t="str">
        <f t="shared" si="5"/>
        <v>Covered</v>
      </c>
      <c r="CB128" s="505"/>
    </row>
    <row r="129" spans="1:96">
      <c r="A129" s="774" t="s">
        <v>3150</v>
      </c>
      <c r="B129" s="774" t="s">
        <v>314</v>
      </c>
      <c r="C129" s="415" t="s">
        <v>314</v>
      </c>
      <c r="D129" s="415" t="s">
        <v>327</v>
      </c>
      <c r="E129" s="415" t="s">
        <v>2648</v>
      </c>
      <c r="F129" s="415" t="s">
        <v>312</v>
      </c>
      <c r="G129" s="644" t="str">
        <f>VLOOKUP(WWWW[[#This Row],[Village  Name]],SiteDB6[[Site Name]:[Location Type]],8,FALSE)</f>
        <v>Village</v>
      </c>
      <c r="H129" s="415" t="s">
        <v>2619</v>
      </c>
      <c r="I129" s="524">
        <v>130</v>
      </c>
      <c r="J129" s="524">
        <v>398</v>
      </c>
      <c r="K129" s="418">
        <v>42736</v>
      </c>
      <c r="L129" s="55">
        <v>44551</v>
      </c>
      <c r="M129" s="524"/>
      <c r="N129" s="524"/>
      <c r="O129" s="524">
        <v>43</v>
      </c>
      <c r="P129" s="524">
        <v>48</v>
      </c>
      <c r="Q129" s="524">
        <v>2</v>
      </c>
      <c r="R129" s="524"/>
      <c r="S129" s="524"/>
      <c r="T129" s="524"/>
      <c r="U129" s="551"/>
      <c r="V129" s="524">
        <v>78</v>
      </c>
      <c r="W129" s="524" t="s">
        <v>130</v>
      </c>
      <c r="X129" s="524"/>
      <c r="Y129" s="524"/>
      <c r="Z129" s="524"/>
      <c r="AA129" s="524"/>
      <c r="AB129" s="524"/>
      <c r="AC129" s="551"/>
      <c r="AD129" s="524"/>
      <c r="AE129" s="524"/>
      <c r="AF129" s="524"/>
      <c r="AG129" s="524"/>
      <c r="AH129" s="524"/>
      <c r="AI129" s="524"/>
      <c r="AJ129" s="524"/>
      <c r="AK129" s="524"/>
      <c r="AL129" s="524"/>
      <c r="AM129" s="524"/>
      <c r="AN129" s="551"/>
      <c r="AO129" s="477"/>
      <c r="AP129" s="477"/>
      <c r="AQ129" s="524"/>
      <c r="AR129" s="524"/>
      <c r="AS129" s="524"/>
      <c r="AT12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29" s="483">
        <f>WWWW[[#This Row],[%Equitable and continuous access to sufficient quantity of safe drinking water]]*WWWW[[#This Row],[Total PoP ]]</f>
        <v>398</v>
      </c>
      <c r="AV12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29" s="483">
        <f>WWWW[[#This Row],[% Access to unimproved water points]]*WWWW[[#This Row],[Total PoP ]]</f>
        <v>398</v>
      </c>
      <c r="AX12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2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398</v>
      </c>
      <c r="AZ129" s="483">
        <f>WWWW[[#This Row],[HRP1]]/250</f>
        <v>1.5920000000000001</v>
      </c>
      <c r="BA129" s="476">
        <f>1-WWWW[[#This Row],[% Equitable and continuous access to sufficient quantity of domestic water]]</f>
        <v>0</v>
      </c>
      <c r="BB129" s="483">
        <f>WWWW[[#This Row],[%equitable and continuous access to sufficient quantity of safe drinking and domestic water''s GAP]]*WWWW[[#This Row],[Total PoP ]]</f>
        <v>0</v>
      </c>
      <c r="BC129" s="478">
        <f>IF(WWWW[[#This Row],[Total required water points]]-WWWW[[#This Row],['#Water points coverage]]&lt;0,0,WWWW[[#This Row],[Total required water points]]-WWWW[[#This Row],['#Water points coverage]])</f>
        <v>0.40799999999999992</v>
      </c>
      <c r="BD129" s="478">
        <f>ROUND(IF(WWWW[[#This Row],[Total PoP ]]&lt;250,1,WWWW[[#This Row],[Total PoP ]]/250),0)</f>
        <v>2</v>
      </c>
      <c r="BE12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29" s="483">
        <f>WWWW[[#This Row],[% people access to functioning Latrine]]*WWWW[[#This Row],[Total PoP ]]</f>
        <v>398</v>
      </c>
      <c r="BG129" s="478">
        <f>WWWW[[#This Row],['#_of_Functioning_latrines_in_school]]*50</f>
        <v>0</v>
      </c>
      <c r="BH129" s="478">
        <f>ROUND((WWWW[[#This Row],[Total PoP ]]/6),0)</f>
        <v>66</v>
      </c>
      <c r="BI129" s="478">
        <f>IF(WWWW[[#This Row],[Total required Latrines]]-(WWWW[[#This Row],['#_of_sanitary_fly-proof_HH_latrines]])&lt;0,0,WWWW[[#This Row],[Total required Latrines]]-(WWWW[[#This Row],['#_of_sanitary_fly-proof_HH_latrines]]))</f>
        <v>0</v>
      </c>
      <c r="BJ129" s="479">
        <f>1-WWWW[[#This Row],[% people access to functioning Latrine]]</f>
        <v>0</v>
      </c>
      <c r="BK12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29" s="483">
        <f>IF(WWWW[[#This Row],['#_of_functional_handwashing_facilities_at_HH_level]]*6&gt;WWWW[[#This Row],[Total PoP ]],WWWW[[#This Row],[Total PoP ]],WWWW[[#This Row],['#_of_functional_handwashing_facilities_at_HH_level]]*6)</f>
        <v>0</v>
      </c>
      <c r="BM129" s="478">
        <f>IF(WWWW[[#This Row],['# people reached by regular dedicated hygiene promotion]]&gt;WWWW[[#This Row],['# People received regular supply of hygiene items]],WWWW[[#This Row],['# people reached by regular dedicated hygiene promotion]],WWWW[[#This Row],['# People received regular supply of hygiene items]])</f>
        <v>0</v>
      </c>
      <c r="BN129" s="476">
        <f>IF(WWWW[[#This Row],[HRP3]]/WWWW[[#This Row],[Total PoP ]]&gt;100%,100%,WWWW[[#This Row],[HRP3]]/WWWW[[#This Row],[Total PoP ]])</f>
        <v>0</v>
      </c>
      <c r="BO129" s="479">
        <f>1-WWWW[[#This Row],[Hygiene Coverage%]]</f>
        <v>1</v>
      </c>
      <c r="BP129" s="477">
        <f>WWWW[[#This Row],['# people reached by regular dedicated hygiene promotion]]/WWWW[[#This Row],[Total PoP ]]</f>
        <v>0</v>
      </c>
      <c r="BQ12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29" s="478">
        <f>WWWW[[#This Row],['#_of_affected_women_and_girls_receiving_a_sufficient_quantity_of_sanitary_pads]]</f>
        <v>0</v>
      </c>
      <c r="BS129" s="524">
        <f>IF(WWWW[[#This Row],['# People with access to soap]]&gt;WWWW[[#This Row],['# People with access to Sanity Pads]],WWWW[[#This Row],['# People with access to soap]],WWWW[[#This Row],['# People with access to Sanity Pads]])</f>
        <v>0</v>
      </c>
      <c r="BT129" s="483" t="str">
        <f>IF(OR(WWWW[[#This Row],['#of students in school]]="",WWWW[[#This Row],['#of students in school]]=0),"No","Yes")</f>
        <v>No</v>
      </c>
      <c r="BU129" s="480" t="str">
        <f>VLOOKUP(WWWW[[#This Row],[Village  Name]],SiteDB6[[Site Name]:[Location Type 1]],9,FALSE)</f>
        <v>Village</v>
      </c>
      <c r="BV129" s="480" t="str">
        <f>VLOOKUP(WWWW[[#This Row],[Village  Name]],SiteDB6[[Site Name]:[Type of Accommodation]],10,FALSE)</f>
        <v>Village</v>
      </c>
      <c r="BW129" s="480">
        <f>VLOOKUP(WWWW[[#This Row],[Village  Name]],SiteDB6[[Site Name]:[Ethnic or GCA/NGCA]],11,FALSE)</f>
        <v>0</v>
      </c>
      <c r="BX129" s="480">
        <f>VLOOKUP(WWWW[[#This Row],[Village  Name]],SiteDB6[[Site Name]:[Lat]],12,FALSE)</f>
        <v>20.382389068603501</v>
      </c>
      <c r="BY129" s="480">
        <f>VLOOKUP(WWWW[[#This Row],[Village  Name]],SiteDB6[[Site Name]:[Long]],13,FALSE)</f>
        <v>93.373863220214801</v>
      </c>
      <c r="BZ129" s="480">
        <f>VLOOKUP(WWWW[[#This Row],[Village  Name]],SiteDB6[[Site Name]:[Pcode]],3,FALSE)</f>
        <v>197111</v>
      </c>
      <c r="CA129" s="480" t="str">
        <f t="shared" si="5"/>
        <v>Covered</v>
      </c>
      <c r="CB129" s="505"/>
    </row>
    <row r="130" spans="1:96">
      <c r="A130" s="774" t="s">
        <v>3150</v>
      </c>
      <c r="B130" s="774" t="s">
        <v>314</v>
      </c>
      <c r="C130" s="415" t="s">
        <v>314</v>
      </c>
      <c r="D130" s="415" t="s">
        <v>327</v>
      </c>
      <c r="E130" s="415" t="s">
        <v>2648</v>
      </c>
      <c r="F130" s="415" t="s">
        <v>312</v>
      </c>
      <c r="G130" s="644" t="str">
        <f>VLOOKUP(WWWW[[#This Row],[Village  Name]],SiteDB6[[Site Name]:[Location Type]],8,FALSE)</f>
        <v>Village</v>
      </c>
      <c r="H130" s="415" t="s">
        <v>2620</v>
      </c>
      <c r="I130" s="524">
        <v>191</v>
      </c>
      <c r="J130" s="524">
        <v>713</v>
      </c>
      <c r="K130" s="418">
        <v>42736</v>
      </c>
      <c r="L130" s="55">
        <v>44551</v>
      </c>
      <c r="M130" s="524"/>
      <c r="N130" s="524"/>
      <c r="O130" s="524">
        <v>11</v>
      </c>
      <c r="P130" s="524">
        <v>93</v>
      </c>
      <c r="Q130" s="524">
        <v>2</v>
      </c>
      <c r="R130" s="524"/>
      <c r="S130" s="524"/>
      <c r="T130" s="524"/>
      <c r="U130" s="551"/>
      <c r="V130" s="524">
        <v>89</v>
      </c>
      <c r="W130" s="524" t="s">
        <v>130</v>
      </c>
      <c r="X130" s="524"/>
      <c r="Y130" s="524"/>
      <c r="Z130" s="524"/>
      <c r="AA130" s="524"/>
      <c r="AB130" s="524"/>
      <c r="AC130" s="551"/>
      <c r="AD130" s="524"/>
      <c r="AE130" s="524"/>
      <c r="AF130" s="524"/>
      <c r="AG130" s="524"/>
      <c r="AH130" s="524"/>
      <c r="AI130" s="524"/>
      <c r="AJ130" s="524"/>
      <c r="AK130" s="524"/>
      <c r="AL130" s="524"/>
      <c r="AM130" s="524"/>
      <c r="AN130" s="551"/>
      <c r="AO130" s="477"/>
      <c r="AP130" s="477"/>
      <c r="AQ130" s="524"/>
      <c r="AR130" s="524"/>
      <c r="AS130" s="524"/>
      <c r="AT13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30" s="483">
        <f>WWWW[[#This Row],[%Equitable and continuous access to sufficient quantity of safe drinking water]]*WWWW[[#This Row],[Total PoP ]]</f>
        <v>713</v>
      </c>
      <c r="AV13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30" s="483">
        <f>WWWW[[#This Row],[% Access to unimproved water points]]*WWWW[[#This Row],[Total PoP ]]</f>
        <v>713</v>
      </c>
      <c r="AX13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3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713</v>
      </c>
      <c r="AZ130" s="483">
        <f>WWWW[[#This Row],[HRP1]]/250</f>
        <v>2.8519999999999999</v>
      </c>
      <c r="BA130" s="476">
        <f>1-WWWW[[#This Row],[% Equitable and continuous access to sufficient quantity of domestic water]]</f>
        <v>0</v>
      </c>
      <c r="BB130" s="483">
        <f>WWWW[[#This Row],[%equitable and continuous access to sufficient quantity of safe drinking and domestic water''s GAP]]*WWWW[[#This Row],[Total PoP ]]</f>
        <v>0</v>
      </c>
      <c r="BC130" s="478">
        <f>IF(WWWW[[#This Row],[Total required water points]]-WWWW[[#This Row],['#Water points coverage]]&lt;0,0,WWWW[[#This Row],[Total required water points]]-WWWW[[#This Row],['#Water points coverage]])</f>
        <v>0.14800000000000013</v>
      </c>
      <c r="BD130" s="478">
        <f>ROUND(IF(WWWW[[#This Row],[Total PoP ]]&lt;250,1,WWWW[[#This Row],[Total PoP ]]/250),0)</f>
        <v>3</v>
      </c>
      <c r="BE13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0.74894810659186539</v>
      </c>
      <c r="BF130" s="483">
        <f>WWWW[[#This Row],[% people access to functioning Latrine]]*WWWW[[#This Row],[Total PoP ]]</f>
        <v>534</v>
      </c>
      <c r="BG130" s="478">
        <f>WWWW[[#This Row],['#_of_Functioning_latrines_in_school]]*50</f>
        <v>0</v>
      </c>
      <c r="BH130" s="478">
        <f>ROUND((WWWW[[#This Row],[Total PoP ]]/6),0)</f>
        <v>119</v>
      </c>
      <c r="BI130" s="478">
        <f>IF(WWWW[[#This Row],[Total required Latrines]]-(WWWW[[#This Row],['#_of_sanitary_fly-proof_HH_latrines]])&lt;0,0,WWWW[[#This Row],[Total required Latrines]]-(WWWW[[#This Row],['#_of_sanitary_fly-proof_HH_latrines]]))</f>
        <v>30</v>
      </c>
      <c r="BJ130" s="479">
        <f>1-WWWW[[#This Row],[% people access to functioning Latrine]]</f>
        <v>0.25105189340813461</v>
      </c>
      <c r="BK13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30" s="483">
        <f>IF(WWWW[[#This Row],['#_of_functional_handwashing_facilities_at_HH_level]]*6&gt;WWWW[[#This Row],[Total PoP ]],WWWW[[#This Row],[Total PoP ]],WWWW[[#This Row],['#_of_functional_handwashing_facilities_at_HH_level]]*6)</f>
        <v>0</v>
      </c>
      <c r="BM130" s="478">
        <f>IF(WWWW[[#This Row],['# people reached by regular dedicated hygiene promotion]]&gt;WWWW[[#This Row],['# People received regular supply of hygiene items]],WWWW[[#This Row],['# people reached by regular dedicated hygiene promotion]],WWWW[[#This Row],['# People received regular supply of hygiene items]])</f>
        <v>0</v>
      </c>
      <c r="BN130" s="476">
        <f>IF(WWWW[[#This Row],[HRP3]]/WWWW[[#This Row],[Total PoP ]]&gt;100%,100%,WWWW[[#This Row],[HRP3]]/WWWW[[#This Row],[Total PoP ]])</f>
        <v>0</v>
      </c>
      <c r="BO130" s="479">
        <f>1-WWWW[[#This Row],[Hygiene Coverage%]]</f>
        <v>1</v>
      </c>
      <c r="BP130" s="477">
        <f>WWWW[[#This Row],['# people reached by regular dedicated hygiene promotion]]/WWWW[[#This Row],[Total PoP ]]</f>
        <v>0</v>
      </c>
      <c r="BQ13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30" s="478">
        <f>WWWW[[#This Row],['#_of_affected_women_and_girls_receiving_a_sufficient_quantity_of_sanitary_pads]]</f>
        <v>0</v>
      </c>
      <c r="BS130" s="524">
        <f>IF(WWWW[[#This Row],['# People with access to soap]]&gt;WWWW[[#This Row],['# People with access to Sanity Pads]],WWWW[[#This Row],['# People with access to soap]],WWWW[[#This Row],['# People with access to Sanity Pads]])</f>
        <v>0</v>
      </c>
      <c r="BT130" s="483" t="str">
        <f>IF(OR(WWWW[[#This Row],['#of students in school]]="",WWWW[[#This Row],['#of students in school]]=0),"No","Yes")</f>
        <v>No</v>
      </c>
      <c r="BU130" s="480" t="str">
        <f>VLOOKUP(WWWW[[#This Row],[Village  Name]],SiteDB6[[Site Name]:[Location Type 1]],9,FALSE)</f>
        <v>Village</v>
      </c>
      <c r="BV130" s="480" t="str">
        <f>VLOOKUP(WWWW[[#This Row],[Village  Name]],SiteDB6[[Site Name]:[Type of Accommodation]],10,FALSE)</f>
        <v>Village</v>
      </c>
      <c r="BW130" s="480">
        <f>VLOOKUP(WWWW[[#This Row],[Village  Name]],SiteDB6[[Site Name]:[Ethnic or GCA/NGCA]],11,FALSE)</f>
        <v>0</v>
      </c>
      <c r="BX130" s="480">
        <f>VLOOKUP(WWWW[[#This Row],[Village  Name]],SiteDB6[[Site Name]:[Lat]],12,FALSE)</f>
        <v>20.389610290527301</v>
      </c>
      <c r="BY130" s="480">
        <f>VLOOKUP(WWWW[[#This Row],[Village  Name]],SiteDB6[[Site Name]:[Long]],13,FALSE)</f>
        <v>93.371490478515597</v>
      </c>
      <c r="BZ130" s="480">
        <f>VLOOKUP(WWWW[[#This Row],[Village  Name]],SiteDB6[[Site Name]:[Pcode]],3,FALSE)</f>
        <v>197112</v>
      </c>
      <c r="CA130" s="480" t="str">
        <f t="shared" si="5"/>
        <v>Covered</v>
      </c>
      <c r="CB130" s="505"/>
    </row>
    <row r="131" spans="1:96">
      <c r="A131" s="774" t="s">
        <v>3150</v>
      </c>
      <c r="B131" s="774" t="s">
        <v>314</v>
      </c>
      <c r="C131" s="415" t="s">
        <v>314</v>
      </c>
      <c r="D131" s="415" t="s">
        <v>327</v>
      </c>
      <c r="E131" s="415" t="s">
        <v>2648</v>
      </c>
      <c r="F131" s="415" t="s">
        <v>312</v>
      </c>
      <c r="G131" s="644" t="str">
        <f>VLOOKUP(WWWW[[#This Row],[Village  Name]],SiteDB6[[Site Name]:[Location Type]],8,FALSE)</f>
        <v>Village</v>
      </c>
      <c r="H131" s="415" t="s">
        <v>2621</v>
      </c>
      <c r="I131" s="524">
        <v>27</v>
      </c>
      <c r="J131" s="524">
        <v>53</v>
      </c>
      <c r="K131" s="418">
        <v>42736</v>
      </c>
      <c r="L131" s="55">
        <v>44551</v>
      </c>
      <c r="M131" s="524"/>
      <c r="N131" s="524"/>
      <c r="O131" s="524">
        <v>2</v>
      </c>
      <c r="P131" s="524">
        <v>23</v>
      </c>
      <c r="Q131" s="524">
        <v>1</v>
      </c>
      <c r="R131" s="524"/>
      <c r="S131" s="524"/>
      <c r="T131" s="524"/>
      <c r="U131" s="551"/>
      <c r="V131" s="524">
        <v>22</v>
      </c>
      <c r="W131" s="524" t="s">
        <v>130</v>
      </c>
      <c r="X131" s="524"/>
      <c r="Y131" s="524"/>
      <c r="Z131" s="524"/>
      <c r="AA131" s="524"/>
      <c r="AB131" s="524"/>
      <c r="AC131" s="551"/>
      <c r="AD131" s="524"/>
      <c r="AE131" s="524"/>
      <c r="AF131" s="524"/>
      <c r="AG131" s="524"/>
      <c r="AH131" s="524"/>
      <c r="AI131" s="524"/>
      <c r="AJ131" s="524"/>
      <c r="AK131" s="524"/>
      <c r="AL131" s="524"/>
      <c r="AM131" s="524"/>
      <c r="AN131" s="551"/>
      <c r="AO131" s="477"/>
      <c r="AP131" s="477"/>
      <c r="AQ131" s="524"/>
      <c r="AR131" s="524"/>
      <c r="AS131" s="524"/>
      <c r="AT131"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31" s="483">
        <f>WWWW[[#This Row],[%Equitable and continuous access to sufficient quantity of safe drinking water]]*WWWW[[#This Row],[Total PoP ]]</f>
        <v>53</v>
      </c>
      <c r="AV131"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31" s="483">
        <f>WWWW[[#This Row],[% Access to unimproved water points]]*WWWW[[#This Row],[Total PoP ]]</f>
        <v>53</v>
      </c>
      <c r="AX131"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31"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v>
      </c>
      <c r="AZ131" s="483">
        <f>WWWW[[#This Row],[HRP1]]/250</f>
        <v>0.21199999999999999</v>
      </c>
      <c r="BA131" s="476">
        <f>1-WWWW[[#This Row],[% Equitable and continuous access to sufficient quantity of domestic water]]</f>
        <v>0</v>
      </c>
      <c r="BB131" s="483">
        <f>WWWW[[#This Row],[%equitable and continuous access to sufficient quantity of safe drinking and domestic water''s GAP]]*WWWW[[#This Row],[Total PoP ]]</f>
        <v>0</v>
      </c>
      <c r="BC131" s="478">
        <f>IF(WWWW[[#This Row],[Total required water points]]-WWWW[[#This Row],['#Water points coverage]]&lt;0,0,WWWW[[#This Row],[Total required water points]]-WWWW[[#This Row],['#Water points coverage]])</f>
        <v>0.78800000000000003</v>
      </c>
      <c r="BD131" s="478">
        <f>ROUND(IF(WWWW[[#This Row],[Total PoP ]]&lt;250,1,WWWW[[#This Row],[Total PoP ]]/250),0)</f>
        <v>1</v>
      </c>
      <c r="BE13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31" s="483">
        <f>WWWW[[#This Row],[% people access to functioning Latrine]]*WWWW[[#This Row],[Total PoP ]]</f>
        <v>53</v>
      </c>
      <c r="BG131" s="478">
        <f>WWWW[[#This Row],['#_of_Functioning_latrines_in_school]]*50</f>
        <v>0</v>
      </c>
      <c r="BH131" s="478">
        <f>ROUND((WWWW[[#This Row],[Total PoP ]]/6),0)</f>
        <v>9</v>
      </c>
      <c r="BI131" s="478">
        <f>IF(WWWW[[#This Row],[Total required Latrines]]-(WWWW[[#This Row],['#_of_sanitary_fly-proof_HH_latrines]])&lt;0,0,WWWW[[#This Row],[Total required Latrines]]-(WWWW[[#This Row],['#_of_sanitary_fly-proof_HH_latrines]]))</f>
        <v>0</v>
      </c>
      <c r="BJ131" s="479">
        <f>1-WWWW[[#This Row],[% people access to functioning Latrine]]</f>
        <v>0</v>
      </c>
      <c r="BK131"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31" s="483">
        <f>IF(WWWW[[#This Row],['#_of_functional_handwashing_facilities_at_HH_level]]*6&gt;WWWW[[#This Row],[Total PoP ]],WWWW[[#This Row],[Total PoP ]],WWWW[[#This Row],['#_of_functional_handwashing_facilities_at_HH_level]]*6)</f>
        <v>0</v>
      </c>
      <c r="BM131" s="478">
        <f>IF(WWWW[[#This Row],['# people reached by regular dedicated hygiene promotion]]&gt;WWWW[[#This Row],['# People received regular supply of hygiene items]],WWWW[[#This Row],['# people reached by regular dedicated hygiene promotion]],WWWW[[#This Row],['# People received regular supply of hygiene items]])</f>
        <v>0</v>
      </c>
      <c r="BN131" s="476">
        <f>IF(WWWW[[#This Row],[HRP3]]/WWWW[[#This Row],[Total PoP ]]&gt;100%,100%,WWWW[[#This Row],[HRP3]]/WWWW[[#This Row],[Total PoP ]])</f>
        <v>0</v>
      </c>
      <c r="BO131" s="479">
        <f>1-WWWW[[#This Row],[Hygiene Coverage%]]</f>
        <v>1</v>
      </c>
      <c r="BP131" s="477">
        <f>WWWW[[#This Row],['# people reached by regular dedicated hygiene promotion]]/WWWW[[#This Row],[Total PoP ]]</f>
        <v>0</v>
      </c>
      <c r="BQ13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31" s="478">
        <f>WWWW[[#This Row],['#_of_affected_women_and_girls_receiving_a_sufficient_quantity_of_sanitary_pads]]</f>
        <v>0</v>
      </c>
      <c r="BS131" s="524">
        <f>IF(WWWW[[#This Row],['# People with access to soap]]&gt;WWWW[[#This Row],['# People with access to Sanity Pads]],WWWW[[#This Row],['# People with access to soap]],WWWW[[#This Row],['# People with access to Sanity Pads]])</f>
        <v>0</v>
      </c>
      <c r="BT131" s="483" t="str">
        <f>IF(OR(WWWW[[#This Row],['#of students in school]]="",WWWW[[#This Row],['#of students in school]]=0),"No","Yes")</f>
        <v>No</v>
      </c>
      <c r="BU131" s="480" t="str">
        <f>VLOOKUP(WWWW[[#This Row],[Village  Name]],SiteDB6[[Site Name]:[Location Type 1]],9,FALSE)</f>
        <v>Village</v>
      </c>
      <c r="BV131" s="480" t="str">
        <f>VLOOKUP(WWWW[[#This Row],[Village  Name]],SiteDB6[[Site Name]:[Type of Accommodation]],10,FALSE)</f>
        <v>Village</v>
      </c>
      <c r="BW131" s="480">
        <f>VLOOKUP(WWWW[[#This Row],[Village  Name]],SiteDB6[[Site Name]:[Ethnic or GCA/NGCA]],11,FALSE)</f>
        <v>0</v>
      </c>
      <c r="BX131" s="480">
        <f>VLOOKUP(WWWW[[#This Row],[Village  Name]],SiteDB6[[Site Name]:[Lat]],12,FALSE)</f>
        <v>20.384975433349599</v>
      </c>
      <c r="BY131" s="480">
        <f>VLOOKUP(WWWW[[#This Row],[Village  Name]],SiteDB6[[Site Name]:[Long]],13,FALSE)</f>
        <v>93.373054504394503</v>
      </c>
      <c r="BZ131" s="480">
        <f>VLOOKUP(WWWW[[#This Row],[Village  Name]],SiteDB6[[Site Name]:[Pcode]],3,FALSE)</f>
        <v>220653</v>
      </c>
      <c r="CA131" s="480" t="str">
        <f t="shared" si="5"/>
        <v>Covered</v>
      </c>
      <c r="CB131" s="505"/>
    </row>
    <row r="132" spans="1:96">
      <c r="A132" s="774" t="s">
        <v>3150</v>
      </c>
      <c r="B132" s="774" t="s">
        <v>314</v>
      </c>
      <c r="C132" s="415" t="s">
        <v>314</v>
      </c>
      <c r="D132" s="415" t="s">
        <v>327</v>
      </c>
      <c r="E132" s="415" t="s">
        <v>2648</v>
      </c>
      <c r="F132" s="415" t="s">
        <v>312</v>
      </c>
      <c r="G132" s="644" t="str">
        <f>VLOOKUP(WWWW[[#This Row],[Village  Name]],SiteDB6[[Site Name]:[Location Type]],8,FALSE)</f>
        <v>Village</v>
      </c>
      <c r="H132" s="415" t="s">
        <v>658</v>
      </c>
      <c r="I132" s="524">
        <v>63</v>
      </c>
      <c r="J132" s="524">
        <v>249</v>
      </c>
      <c r="K132" s="418">
        <v>42736</v>
      </c>
      <c r="L132" s="55">
        <v>44551</v>
      </c>
      <c r="M132" s="524"/>
      <c r="N132" s="524"/>
      <c r="O132" s="524">
        <v>0</v>
      </c>
      <c r="P132" s="524">
        <v>88</v>
      </c>
      <c r="Q132" s="524">
        <v>2</v>
      </c>
      <c r="R132" s="524"/>
      <c r="S132" s="524"/>
      <c r="T132" s="524"/>
      <c r="U132" s="551"/>
      <c r="V132" s="524">
        <v>108</v>
      </c>
      <c r="W132" s="524" t="s">
        <v>130</v>
      </c>
      <c r="X132" s="524"/>
      <c r="Y132" s="524"/>
      <c r="Z132" s="524"/>
      <c r="AA132" s="524"/>
      <c r="AB132" s="524"/>
      <c r="AC132" s="551"/>
      <c r="AD132" s="524"/>
      <c r="AE132" s="524"/>
      <c r="AF132" s="524"/>
      <c r="AG132" s="524"/>
      <c r="AH132" s="524"/>
      <c r="AI132" s="524"/>
      <c r="AJ132" s="524"/>
      <c r="AK132" s="524"/>
      <c r="AL132" s="524"/>
      <c r="AM132" s="524"/>
      <c r="AN132" s="551"/>
      <c r="AO132" s="477"/>
      <c r="AP132" s="477"/>
      <c r="AQ132" s="524"/>
      <c r="AR132" s="524"/>
      <c r="AS132" s="524"/>
      <c r="AT13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32" s="483">
        <f>WWWW[[#This Row],[%Equitable and continuous access to sufficient quantity of safe drinking water]]*WWWW[[#This Row],[Total PoP ]]</f>
        <v>249</v>
      </c>
      <c r="AV13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32" s="483">
        <f>WWWW[[#This Row],[% Access to unimproved water points]]*WWWW[[#This Row],[Total PoP ]]</f>
        <v>249</v>
      </c>
      <c r="AX13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3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249</v>
      </c>
      <c r="AZ132" s="483">
        <f>WWWW[[#This Row],[HRP1]]/250</f>
        <v>0.996</v>
      </c>
      <c r="BA132" s="476">
        <f>1-WWWW[[#This Row],[% Equitable and continuous access to sufficient quantity of domestic water]]</f>
        <v>0</v>
      </c>
      <c r="BB132" s="483">
        <f>WWWW[[#This Row],[%equitable and continuous access to sufficient quantity of safe drinking and domestic water''s GAP]]*WWWW[[#This Row],[Total PoP ]]</f>
        <v>0</v>
      </c>
      <c r="BC132" s="478">
        <f>IF(WWWW[[#This Row],[Total required water points]]-WWWW[[#This Row],['#Water points coverage]]&lt;0,0,WWWW[[#This Row],[Total required water points]]-WWWW[[#This Row],['#Water points coverage]])</f>
        <v>4.0000000000000036E-3</v>
      </c>
      <c r="BD132" s="478">
        <f>ROUND(IF(WWWW[[#This Row],[Total PoP ]]&lt;250,1,WWWW[[#This Row],[Total PoP ]]/250),0)</f>
        <v>1</v>
      </c>
      <c r="BE13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32" s="483">
        <f>WWWW[[#This Row],[% people access to functioning Latrine]]*WWWW[[#This Row],[Total PoP ]]</f>
        <v>249</v>
      </c>
      <c r="BG132" s="478">
        <f>WWWW[[#This Row],['#_of_Functioning_latrines_in_school]]*50</f>
        <v>0</v>
      </c>
      <c r="BH132" s="478">
        <f>ROUND((WWWW[[#This Row],[Total PoP ]]/6),0)</f>
        <v>42</v>
      </c>
      <c r="BI132" s="478">
        <f>IF(WWWW[[#This Row],[Total required Latrines]]-(WWWW[[#This Row],['#_of_sanitary_fly-proof_HH_latrines]])&lt;0,0,WWWW[[#This Row],[Total required Latrines]]-(WWWW[[#This Row],['#_of_sanitary_fly-proof_HH_latrines]]))</f>
        <v>0</v>
      </c>
      <c r="BJ132" s="479">
        <f>1-WWWW[[#This Row],[% people access to functioning Latrine]]</f>
        <v>0</v>
      </c>
      <c r="BK13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32" s="483">
        <f>IF(WWWW[[#This Row],['#_of_functional_handwashing_facilities_at_HH_level]]*6&gt;WWWW[[#This Row],[Total PoP ]],WWWW[[#This Row],[Total PoP ]],WWWW[[#This Row],['#_of_functional_handwashing_facilities_at_HH_level]]*6)</f>
        <v>0</v>
      </c>
      <c r="BM132" s="478">
        <f>IF(WWWW[[#This Row],['# people reached by regular dedicated hygiene promotion]]&gt;WWWW[[#This Row],['# People received regular supply of hygiene items]],WWWW[[#This Row],['# people reached by regular dedicated hygiene promotion]],WWWW[[#This Row],['# People received regular supply of hygiene items]])</f>
        <v>0</v>
      </c>
      <c r="BN132" s="476">
        <f>IF(WWWW[[#This Row],[HRP3]]/WWWW[[#This Row],[Total PoP ]]&gt;100%,100%,WWWW[[#This Row],[HRP3]]/WWWW[[#This Row],[Total PoP ]])</f>
        <v>0</v>
      </c>
      <c r="BO132" s="479">
        <f>1-WWWW[[#This Row],[Hygiene Coverage%]]</f>
        <v>1</v>
      </c>
      <c r="BP132" s="477">
        <f>WWWW[[#This Row],['# people reached by regular dedicated hygiene promotion]]/WWWW[[#This Row],[Total PoP ]]</f>
        <v>0</v>
      </c>
      <c r="BQ13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32" s="478">
        <f>WWWW[[#This Row],['#_of_affected_women_and_girls_receiving_a_sufficient_quantity_of_sanitary_pads]]</f>
        <v>0</v>
      </c>
      <c r="BS132" s="524">
        <f>IF(WWWW[[#This Row],['# People with access to soap]]&gt;WWWW[[#This Row],['# People with access to Sanity Pads]],WWWW[[#This Row],['# People with access to soap]],WWWW[[#This Row],['# People with access to Sanity Pads]])</f>
        <v>0</v>
      </c>
      <c r="BT132" s="483" t="str">
        <f>IF(OR(WWWW[[#This Row],['#of students in school]]="",WWWW[[#This Row],['#of students in school]]=0),"No","Yes")</f>
        <v>No</v>
      </c>
      <c r="BU132" s="480" t="str">
        <f>VLOOKUP(WWWW[[#This Row],[Village  Name]],SiteDB6[[Site Name]:[Location Type 1]],9,FALSE)</f>
        <v>Village</v>
      </c>
      <c r="BV132" s="480" t="str">
        <f>VLOOKUP(WWWW[[#This Row],[Village  Name]],SiteDB6[[Site Name]:[Type of Accommodation]],10,FALSE)</f>
        <v>Village</v>
      </c>
      <c r="BW132" s="480">
        <f>VLOOKUP(WWWW[[#This Row],[Village  Name]],SiteDB6[[Site Name]:[Ethnic or GCA/NGCA]],11,FALSE)</f>
        <v>0</v>
      </c>
      <c r="BX132" s="480">
        <f>VLOOKUP(WWWW[[#This Row],[Village  Name]],SiteDB6[[Site Name]:[Lat]],12,FALSE)</f>
        <v>0</v>
      </c>
      <c r="BY132" s="480">
        <f>VLOOKUP(WWWW[[#This Row],[Village  Name]],SiteDB6[[Site Name]:[Long]],13,FALSE)</f>
        <v>0</v>
      </c>
      <c r="BZ132" s="480">
        <f>VLOOKUP(WWWW[[#This Row],[Village  Name]],SiteDB6[[Site Name]:[Pcode]],3,FALSE)</f>
        <v>197110</v>
      </c>
      <c r="CA132" s="480" t="str">
        <f t="shared" si="5"/>
        <v>Covered</v>
      </c>
      <c r="CB132" s="505"/>
    </row>
    <row r="133" spans="1:96" s="472" customFormat="1">
      <c r="A133" s="727" t="s">
        <v>3150</v>
      </c>
      <c r="B133" s="727" t="s">
        <v>398</v>
      </c>
      <c r="C133" s="728" t="s">
        <v>398</v>
      </c>
      <c r="D133" s="728" t="s">
        <v>231</v>
      </c>
      <c r="E133" s="728" t="s">
        <v>2648</v>
      </c>
      <c r="F133" s="728" t="s">
        <v>399</v>
      </c>
      <c r="G133" s="644" t="str">
        <f>VLOOKUP(WWWW[[#This Row],[Village  Name]],SiteDB6[[Site Name]:[Location Type]],8,FALSE)</f>
        <v>Village</v>
      </c>
      <c r="H133" s="728" t="s">
        <v>401</v>
      </c>
      <c r="I133" s="729">
        <v>40</v>
      </c>
      <c r="J133" s="729">
        <v>217</v>
      </c>
      <c r="K133" s="730">
        <v>43530</v>
      </c>
      <c r="L133" s="731">
        <v>43951</v>
      </c>
      <c r="M133" s="729">
        <v>107</v>
      </c>
      <c r="N133" s="729"/>
      <c r="O133" s="524"/>
      <c r="P133" s="729">
        <v>8</v>
      </c>
      <c r="Q133" s="729"/>
      <c r="R133" s="729"/>
      <c r="S133" s="729"/>
      <c r="T133" s="729">
        <v>2</v>
      </c>
      <c r="U133" s="732"/>
      <c r="V133" s="729">
        <v>40</v>
      </c>
      <c r="W133" s="729" t="s">
        <v>40</v>
      </c>
      <c r="X133" s="729">
        <v>2</v>
      </c>
      <c r="Y133" s="729"/>
      <c r="Z133" s="729"/>
      <c r="AA133" s="729">
        <v>1</v>
      </c>
      <c r="AB133" s="729"/>
      <c r="AC133" s="732"/>
      <c r="AD133" s="729">
        <v>41</v>
      </c>
      <c r="AE133" s="729">
        <v>145</v>
      </c>
      <c r="AF133" s="729">
        <v>72</v>
      </c>
      <c r="AG133" s="729">
        <v>114</v>
      </c>
      <c r="AH133" s="729">
        <v>56</v>
      </c>
      <c r="AI133" s="729">
        <v>51</v>
      </c>
      <c r="AJ133" s="524">
        <v>40</v>
      </c>
      <c r="AK133" s="729">
        <v>1</v>
      </c>
      <c r="AL133" s="524">
        <v>40</v>
      </c>
      <c r="AM133" s="524">
        <v>80</v>
      </c>
      <c r="AN133" s="732"/>
      <c r="AO133" s="477">
        <v>1</v>
      </c>
      <c r="AP133" s="477">
        <v>1</v>
      </c>
      <c r="AQ133" s="524"/>
      <c r="AR133" s="524"/>
      <c r="AS133" s="524"/>
      <c r="AT133" s="733">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33" s="734">
        <f>WWWW[[#This Row],[%Equitable and continuous access to sufficient quantity of safe drinking water]]*WWWW[[#This Row],[Total PoP ]]</f>
        <v>217</v>
      </c>
      <c r="AV133" s="733">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33" s="734">
        <f>WWWW[[#This Row],[% Access to unimproved water points]]*WWWW[[#This Row],[Total PoP ]]</f>
        <v>0</v>
      </c>
      <c r="AX133" s="73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33" s="7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217</v>
      </c>
      <c r="AZ133" s="734">
        <f>WWWW[[#This Row],[HRP1]]/250</f>
        <v>0.86799999999999999</v>
      </c>
      <c r="BA133" s="736">
        <f>1-WWWW[[#This Row],[% Equitable and continuous access to sufficient quantity of domestic water]]</f>
        <v>0</v>
      </c>
      <c r="BB133" s="734">
        <f>WWWW[[#This Row],[%equitable and continuous access to sufficient quantity of safe drinking and domestic water''s GAP]]*WWWW[[#This Row],[Total PoP ]]</f>
        <v>0</v>
      </c>
      <c r="BC133" s="737">
        <f>IF(WWWW[[#This Row],[Total required water points]]-WWWW[[#This Row],['#Water points coverage]]&lt;0,0,WWWW[[#This Row],[Total required water points]]-WWWW[[#This Row],['#Water points coverage]])</f>
        <v>0.13200000000000001</v>
      </c>
      <c r="BD133" s="737">
        <f>ROUND(IF(WWWW[[#This Row],[Total PoP ]]&lt;250,1,WWWW[[#This Row],[Total PoP ]]/250),0)</f>
        <v>1</v>
      </c>
      <c r="BE13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33" s="734">
        <f>WWWW[[#This Row],[% people access to functioning Latrine]]*WWWW[[#This Row],[Total PoP ]]</f>
        <v>217</v>
      </c>
      <c r="BG133" s="737">
        <f>WWWW[[#This Row],['#_of_Functioning_latrines_in_school]]*50</f>
        <v>100</v>
      </c>
      <c r="BH133" s="737">
        <f>ROUND((WWWW[[#This Row],[Total PoP ]]/6),0)</f>
        <v>36</v>
      </c>
      <c r="BI133" s="737">
        <f>IF(WWWW[[#This Row],[Total required Latrines]]-(WWWW[[#This Row],['#_of_sanitary_fly-proof_HH_latrines]])&lt;0,0,WWWW[[#This Row],[Total required Latrines]]-(WWWW[[#This Row],['#_of_sanitary_fly-proof_HH_latrines]]))</f>
        <v>0</v>
      </c>
      <c r="BJ133" s="733">
        <f>1-WWWW[[#This Row],[% people access to functioning Latrine]]</f>
        <v>0</v>
      </c>
      <c r="BK133" s="734">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217</v>
      </c>
      <c r="BL133" s="483">
        <f>IF(WWWW[[#This Row],['#_of_functional_handwashing_facilities_at_HH_level]]*6&gt;WWWW[[#This Row],[Total PoP ]],WWWW[[#This Row],[Total PoP ]],WWWW[[#This Row],['#_of_functional_handwashing_facilities_at_HH_level]]*6)</f>
        <v>217</v>
      </c>
      <c r="BM133" s="737">
        <f>IF(WWWW[[#This Row],['# people reached by regular dedicated hygiene promotion]]&gt;WWWW[[#This Row],['# People received regular supply of hygiene items]],WWWW[[#This Row],['# people reached by regular dedicated hygiene promotion]],WWWW[[#This Row],['# People received regular supply of hygiene items]])</f>
        <v>217</v>
      </c>
      <c r="BN133" s="736">
        <f>IF(WWWW[[#This Row],[HRP3]]/WWWW[[#This Row],[Total PoP ]]&gt;100%,100%,WWWW[[#This Row],[HRP3]]/WWWW[[#This Row],[Total PoP ]])</f>
        <v>1</v>
      </c>
      <c r="BO133" s="733">
        <f>1-WWWW[[#This Row],[Hygiene Coverage%]]</f>
        <v>0</v>
      </c>
      <c r="BP133" s="735">
        <f>WWWW[[#This Row],['# people reached by regular dedicated hygiene promotion]]/WWWW[[#This Row],[Total PoP ]]</f>
        <v>1</v>
      </c>
      <c r="BQ13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217</v>
      </c>
      <c r="BR133" s="478">
        <f>WWWW[[#This Row],['#_of_affected_women_and_girls_receiving_a_sufficient_quantity_of_sanitary_pads]]</f>
        <v>80</v>
      </c>
      <c r="BS133" s="524">
        <f>IF(WWWW[[#This Row],['# People with access to soap]]&gt;WWWW[[#This Row],['# People with access to Sanity Pads]],WWWW[[#This Row],['# People with access to soap]],WWWW[[#This Row],['# People with access to Sanity Pads]])</f>
        <v>217</v>
      </c>
      <c r="BT133" s="483" t="str">
        <f>IF(OR(WWWW[[#This Row],['#of students in school]]="",WWWW[[#This Row],['#of students in school]]=0),"No","Yes")</f>
        <v>Yes</v>
      </c>
      <c r="BU133" s="738" t="str">
        <f>VLOOKUP(WWWW[[#This Row],[Village  Name]],SiteDB6[[Site Name]:[Location Type 1]],9,FALSE)</f>
        <v>Village</v>
      </c>
      <c r="BV133" s="738" t="str">
        <f>VLOOKUP(WWWW[[#This Row],[Village  Name]],SiteDB6[[Site Name]:[Type of Accommodation]],10,FALSE)</f>
        <v>Relocated</v>
      </c>
      <c r="BW133" s="738" t="str">
        <f>VLOOKUP(WWWW[[#This Row],[Village  Name]],SiteDB6[[Site Name]:[Ethnic or GCA/NGCA]],11,FALSE)</f>
        <v>Rakhine</v>
      </c>
      <c r="BX133" s="738">
        <f>VLOOKUP(WWWW[[#This Row],[Village  Name]],SiteDB6[[Site Name]:[Lat]],12,FALSE)</f>
        <v>20.041981</v>
      </c>
      <c r="BY133" s="738">
        <f>VLOOKUP(WWWW[[#This Row],[Village  Name]],SiteDB6[[Site Name]:[Long]],13,FALSE)</f>
        <v>93.373951000000005</v>
      </c>
      <c r="BZ133" s="738" t="str">
        <f>VLOOKUP(WWWW[[#This Row],[Village  Name]],SiteDB6[[Site Name]:[Pcode]],3,FALSE)</f>
        <v>MMR012CMP013</v>
      </c>
      <c r="CA133" s="738" t="str">
        <f>IF(C133="none","Notcovered","Covered")</f>
        <v>Covered</v>
      </c>
      <c r="CB133" s="739"/>
      <c r="CC133" s="31"/>
      <c r="CD133" s="473"/>
      <c r="CE133" s="473"/>
      <c r="CF133" s="470"/>
      <c r="CG133" s="473"/>
      <c r="CH133" s="474"/>
      <c r="CI133" s="474"/>
      <c r="CJ133" s="475"/>
      <c r="CK133" s="475"/>
      <c r="CL133" s="475"/>
      <c r="CM133" s="475"/>
      <c r="CN133" s="475"/>
      <c r="CO133" s="475"/>
      <c r="CP133" s="475"/>
      <c r="CQ133" s="475"/>
      <c r="CR133" s="475"/>
    </row>
    <row r="134" spans="1:96">
      <c r="A134" s="774" t="s">
        <v>3150</v>
      </c>
      <c r="B134" s="774" t="s">
        <v>2283</v>
      </c>
      <c r="C134" s="415" t="s">
        <v>2283</v>
      </c>
      <c r="D134" s="415" t="s">
        <v>39</v>
      </c>
      <c r="E134" s="415" t="s">
        <v>2648</v>
      </c>
      <c r="F134" s="415" t="s">
        <v>295</v>
      </c>
      <c r="G134" s="644" t="str">
        <f>VLOOKUP(WWWW[[#This Row],[Village  Name]],SiteDB6[[Site Name]:[Location Type]],8,FALSE)</f>
        <v>Village</v>
      </c>
      <c r="H134" s="415" t="s">
        <v>418</v>
      </c>
      <c r="I134" s="524">
        <v>249</v>
      </c>
      <c r="J134" s="524">
        <v>1362</v>
      </c>
      <c r="K134" s="418">
        <v>43009</v>
      </c>
      <c r="L134" s="55">
        <v>44104</v>
      </c>
      <c r="M134" s="524"/>
      <c r="N134" s="524">
        <v>0</v>
      </c>
      <c r="O134" s="524"/>
      <c r="P134" s="524"/>
      <c r="Q134" s="524"/>
      <c r="R134" s="524"/>
      <c r="S134" s="524"/>
      <c r="T134" s="524"/>
      <c r="U134" s="551"/>
      <c r="V134" s="524"/>
      <c r="W134" s="524"/>
      <c r="X134" s="524"/>
      <c r="Y134" s="524"/>
      <c r="Z134" s="524"/>
      <c r="AA134" s="524"/>
      <c r="AB134" s="524"/>
      <c r="AC134" s="551"/>
      <c r="AD134" s="524"/>
      <c r="AE134" s="524"/>
      <c r="AF134" s="524"/>
      <c r="AG134" s="524"/>
      <c r="AH134" s="524"/>
      <c r="AI134" s="524"/>
      <c r="AJ134" s="524"/>
      <c r="AK134" s="524"/>
      <c r="AL134" s="524"/>
      <c r="AM134" s="524"/>
      <c r="AN134" s="551"/>
      <c r="AO134" s="477"/>
      <c r="AP134" s="477"/>
      <c r="AQ134" s="524"/>
      <c r="AR134" s="524"/>
      <c r="AS134" s="524"/>
      <c r="AT13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34" s="483">
        <f>WWWW[[#This Row],[%Equitable and continuous access to sufficient quantity of safe drinking water]]*WWWW[[#This Row],[Total PoP ]]</f>
        <v>0</v>
      </c>
      <c r="AV13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34" s="483">
        <f>WWWW[[#This Row],[% Access to unimproved water points]]*WWWW[[#This Row],[Total PoP ]]</f>
        <v>0</v>
      </c>
      <c r="AX13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3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34" s="483">
        <f>WWWW[[#This Row],[HRP1]]/250</f>
        <v>0</v>
      </c>
      <c r="BA134" s="476">
        <f>1-WWWW[[#This Row],[% Equitable and continuous access to sufficient quantity of domestic water]]</f>
        <v>1</v>
      </c>
      <c r="BB134" s="483">
        <f>WWWW[[#This Row],[%equitable and continuous access to sufficient quantity of safe drinking and domestic water''s GAP]]*WWWW[[#This Row],[Total PoP ]]</f>
        <v>1362</v>
      </c>
      <c r="BC134" s="478">
        <f>IF(WWWW[[#This Row],[Total required water points]]-WWWW[[#This Row],['#Water points coverage]]&lt;0,0,WWWW[[#This Row],[Total required water points]]-WWWW[[#This Row],['#Water points coverage]])</f>
        <v>5</v>
      </c>
      <c r="BD134" s="478">
        <f>ROUND(IF(WWWW[[#This Row],[Total PoP ]]&lt;250,1,WWWW[[#This Row],[Total PoP ]]/250),0)</f>
        <v>5</v>
      </c>
      <c r="BE13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34" s="483">
        <f>WWWW[[#This Row],[% people access to functioning Latrine]]*WWWW[[#This Row],[Total PoP ]]</f>
        <v>0</v>
      </c>
      <c r="BG134" s="478">
        <f>WWWW[[#This Row],['#_of_Functioning_latrines_in_school]]*50</f>
        <v>0</v>
      </c>
      <c r="BH134" s="478">
        <f>ROUND((WWWW[[#This Row],[Total PoP ]]/6),0)</f>
        <v>227</v>
      </c>
      <c r="BI134" s="478">
        <f>IF(WWWW[[#This Row],[Total required Latrines]]-(WWWW[[#This Row],['#_of_sanitary_fly-proof_HH_latrines]])&lt;0,0,WWWW[[#This Row],[Total required Latrines]]-(WWWW[[#This Row],['#_of_sanitary_fly-proof_HH_latrines]]))</f>
        <v>227</v>
      </c>
      <c r="BJ134" s="479">
        <f>1-WWWW[[#This Row],[% people access to functioning Latrine]]</f>
        <v>1</v>
      </c>
      <c r="BK13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34" s="483">
        <f>IF(WWWW[[#This Row],['#_of_functional_handwashing_facilities_at_HH_level]]*6&gt;WWWW[[#This Row],[Total PoP ]],WWWW[[#This Row],[Total PoP ]],WWWW[[#This Row],['#_of_functional_handwashing_facilities_at_HH_level]]*6)</f>
        <v>0</v>
      </c>
      <c r="BM134" s="478">
        <f>IF(WWWW[[#This Row],['# people reached by regular dedicated hygiene promotion]]&gt;WWWW[[#This Row],['# People received regular supply of hygiene items]],WWWW[[#This Row],['# people reached by regular dedicated hygiene promotion]],WWWW[[#This Row],['# People received regular supply of hygiene items]])</f>
        <v>0</v>
      </c>
      <c r="BN134" s="476">
        <f>IF(WWWW[[#This Row],[HRP3]]/WWWW[[#This Row],[Total PoP ]]&gt;100%,100%,WWWW[[#This Row],[HRP3]]/WWWW[[#This Row],[Total PoP ]])</f>
        <v>0</v>
      </c>
      <c r="BO134" s="479">
        <f>1-WWWW[[#This Row],[Hygiene Coverage%]]</f>
        <v>1</v>
      </c>
      <c r="BP134" s="477">
        <f>WWWW[[#This Row],['# people reached by regular dedicated hygiene promotion]]/WWWW[[#This Row],[Total PoP ]]</f>
        <v>0</v>
      </c>
      <c r="BQ13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34" s="478">
        <f>WWWW[[#This Row],['#_of_affected_women_and_girls_receiving_a_sufficient_quantity_of_sanitary_pads]]</f>
        <v>0</v>
      </c>
      <c r="BS134" s="524">
        <f>IF(WWWW[[#This Row],['# People with access to soap]]&gt;WWWW[[#This Row],['# People with access to Sanity Pads]],WWWW[[#This Row],['# People with access to soap]],WWWW[[#This Row],['# People with access to Sanity Pads]])</f>
        <v>0</v>
      </c>
      <c r="BT134" s="483" t="str">
        <f>IF(OR(WWWW[[#This Row],['#of students in school]]="",WWWW[[#This Row],['#of students in school]]=0),"No","Yes")</f>
        <v>No</v>
      </c>
      <c r="BU134" s="480" t="str">
        <f>VLOOKUP(WWWW[[#This Row],[Village  Name]],SiteDB6[[Site Name]:[Location Type 1]],9,FALSE)</f>
        <v>Village</v>
      </c>
      <c r="BV134" s="480" t="str">
        <f>VLOOKUP(WWWW[[#This Row],[Village  Name]],SiteDB6[[Site Name]:[Type of Accommodation]],10,FALSE)</f>
        <v>Relocated</v>
      </c>
      <c r="BW134" s="480" t="str">
        <f>VLOOKUP(WWWW[[#This Row],[Village  Name]],SiteDB6[[Site Name]:[Ethnic or GCA/NGCA]],11,FALSE)</f>
        <v>Rakhine</v>
      </c>
      <c r="BX134" s="480">
        <f>VLOOKUP(WWWW[[#This Row],[Village  Name]],SiteDB6[[Site Name]:[Lat]],12,FALSE)</f>
        <v>20.151471999999998</v>
      </c>
      <c r="BY134" s="480">
        <f>VLOOKUP(WWWW[[#This Row],[Village  Name]],SiteDB6[[Site Name]:[Long]],13,FALSE)</f>
        <v>92.887277999999995</v>
      </c>
      <c r="BZ134" s="480" t="str">
        <f>VLOOKUP(WWWW[[#This Row],[Village  Name]],SiteDB6[[Site Name]:[Pcode]],3,FALSE)</f>
        <v>MMR012CMP111</v>
      </c>
      <c r="CA134" s="480" t="str">
        <f t="shared" si="5"/>
        <v>Covered</v>
      </c>
      <c r="CB134" s="505"/>
    </row>
    <row r="135" spans="1:96">
      <c r="A135" s="774" t="s">
        <v>3150</v>
      </c>
      <c r="B135" s="774" t="s">
        <v>2282</v>
      </c>
      <c r="C135" s="415" t="s">
        <v>2282</v>
      </c>
      <c r="D135" s="415" t="s">
        <v>39</v>
      </c>
      <c r="E135" s="415" t="s">
        <v>2648</v>
      </c>
      <c r="F135" s="415" t="s">
        <v>295</v>
      </c>
      <c r="G135" s="644" t="str">
        <f>VLOOKUP(WWWW[[#This Row],[Village  Name]],SiteDB6[[Site Name]:[Location Type]],8,FALSE)</f>
        <v>Village</v>
      </c>
      <c r="H135" s="415" t="s">
        <v>419</v>
      </c>
      <c r="I135" s="524">
        <v>420</v>
      </c>
      <c r="J135" s="524">
        <v>2179</v>
      </c>
      <c r="K135" s="418">
        <v>43009</v>
      </c>
      <c r="L135" s="55">
        <v>44104</v>
      </c>
      <c r="M135" s="524"/>
      <c r="N135" s="524">
        <v>0</v>
      </c>
      <c r="O135" s="524"/>
      <c r="P135" s="524"/>
      <c r="Q135" s="524"/>
      <c r="R135" s="524"/>
      <c r="S135" s="524"/>
      <c r="T135" s="524"/>
      <c r="U135" s="551"/>
      <c r="V135" s="524"/>
      <c r="W135" s="524"/>
      <c r="X135" s="524"/>
      <c r="Y135" s="524"/>
      <c r="Z135" s="524"/>
      <c r="AA135" s="524"/>
      <c r="AB135" s="524"/>
      <c r="AC135" s="551"/>
      <c r="AD135" s="524"/>
      <c r="AE135" s="524">
        <v>25</v>
      </c>
      <c r="AF135" s="524"/>
      <c r="AG135" s="524">
        <v>30</v>
      </c>
      <c r="AH135" s="524"/>
      <c r="AI135" s="524"/>
      <c r="AJ135" s="524"/>
      <c r="AK135" s="524"/>
      <c r="AL135" s="524"/>
      <c r="AM135" s="524"/>
      <c r="AN135" s="551"/>
      <c r="AO135" s="477"/>
      <c r="AP135" s="477"/>
      <c r="AQ135" s="524"/>
      <c r="AR135" s="524"/>
      <c r="AS135" s="524"/>
      <c r="AT13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35" s="483">
        <f>WWWW[[#This Row],[%Equitable and continuous access to sufficient quantity of safe drinking water]]*WWWW[[#This Row],[Total PoP ]]</f>
        <v>0</v>
      </c>
      <c r="AV13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35" s="483">
        <f>WWWW[[#This Row],[% Access to unimproved water points]]*WWWW[[#This Row],[Total PoP ]]</f>
        <v>0</v>
      </c>
      <c r="AX13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3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35" s="483">
        <f>WWWW[[#This Row],[HRP1]]/250</f>
        <v>0</v>
      </c>
      <c r="BA135" s="476">
        <f>1-WWWW[[#This Row],[% Equitable and continuous access to sufficient quantity of domestic water]]</f>
        <v>1</v>
      </c>
      <c r="BB135" s="483">
        <f>WWWW[[#This Row],[%equitable and continuous access to sufficient quantity of safe drinking and domestic water''s GAP]]*WWWW[[#This Row],[Total PoP ]]</f>
        <v>2179</v>
      </c>
      <c r="BC135" s="478">
        <f>IF(WWWW[[#This Row],[Total required water points]]-WWWW[[#This Row],['#Water points coverage]]&lt;0,0,WWWW[[#This Row],[Total required water points]]-WWWW[[#This Row],['#Water points coverage]])</f>
        <v>9</v>
      </c>
      <c r="BD135" s="478">
        <f>ROUND(IF(WWWW[[#This Row],[Total PoP ]]&lt;250,1,WWWW[[#This Row],[Total PoP ]]/250),0)</f>
        <v>9</v>
      </c>
      <c r="BE13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35" s="483">
        <f>WWWW[[#This Row],[% people access to functioning Latrine]]*WWWW[[#This Row],[Total PoP ]]</f>
        <v>0</v>
      </c>
      <c r="BG135" s="478">
        <f>WWWW[[#This Row],['#_of_Functioning_latrines_in_school]]*50</f>
        <v>0</v>
      </c>
      <c r="BH135" s="478">
        <f>ROUND((WWWW[[#This Row],[Total PoP ]]/6),0)</f>
        <v>363</v>
      </c>
      <c r="BI135" s="478">
        <f>IF(WWWW[[#This Row],[Total required Latrines]]-(WWWW[[#This Row],['#_of_sanitary_fly-proof_HH_latrines]])&lt;0,0,WWWW[[#This Row],[Total required Latrines]]-(WWWW[[#This Row],['#_of_sanitary_fly-proof_HH_latrines]]))</f>
        <v>363</v>
      </c>
      <c r="BJ135" s="479">
        <f>1-WWWW[[#This Row],[% people access to functioning Latrine]]</f>
        <v>1</v>
      </c>
      <c r="BK13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55</v>
      </c>
      <c r="BL135" s="483">
        <f>IF(WWWW[[#This Row],['#_of_functional_handwashing_facilities_at_HH_level]]*6&gt;WWWW[[#This Row],[Total PoP ]],WWWW[[#This Row],[Total PoP ]],WWWW[[#This Row],['#_of_functional_handwashing_facilities_at_HH_level]]*6)</f>
        <v>0</v>
      </c>
      <c r="BM135" s="478">
        <f>IF(WWWW[[#This Row],['# people reached by regular dedicated hygiene promotion]]&gt;WWWW[[#This Row],['# People received regular supply of hygiene items]],WWWW[[#This Row],['# people reached by regular dedicated hygiene promotion]],WWWW[[#This Row],['# People received regular supply of hygiene items]])</f>
        <v>55</v>
      </c>
      <c r="BN135" s="476">
        <f>IF(WWWW[[#This Row],[HRP3]]/WWWW[[#This Row],[Total PoP ]]&gt;100%,100%,WWWW[[#This Row],[HRP3]]/WWWW[[#This Row],[Total PoP ]])</f>
        <v>2.5240936209270308E-2</v>
      </c>
      <c r="BO135" s="479">
        <f>1-WWWW[[#This Row],[Hygiene Coverage%]]</f>
        <v>0.97475906379072974</v>
      </c>
      <c r="BP135" s="477">
        <f>WWWW[[#This Row],['# people reached by regular dedicated hygiene promotion]]/WWWW[[#This Row],[Total PoP ]]</f>
        <v>2.5240936209270308E-2</v>
      </c>
      <c r="BQ13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35" s="478">
        <f>WWWW[[#This Row],['#_of_affected_women_and_girls_receiving_a_sufficient_quantity_of_sanitary_pads]]</f>
        <v>0</v>
      </c>
      <c r="BS135" s="524">
        <f>IF(WWWW[[#This Row],['# People with access to soap]]&gt;WWWW[[#This Row],['# People with access to Sanity Pads]],WWWW[[#This Row],['# People with access to soap]],WWWW[[#This Row],['# People with access to Sanity Pads]])</f>
        <v>0</v>
      </c>
      <c r="BT135" s="483" t="str">
        <f>IF(OR(WWWW[[#This Row],['#of students in school]]="",WWWW[[#This Row],['#of students in school]]=0),"No","Yes")</f>
        <v>No</v>
      </c>
      <c r="BU135" s="480" t="str">
        <f>VLOOKUP(WWWW[[#This Row],[Village  Name]],SiteDB6[[Site Name]:[Location Type 1]],9,FALSE)</f>
        <v>Village</v>
      </c>
      <c r="BV135" s="480" t="str">
        <f>VLOOKUP(WWWW[[#This Row],[Village  Name]],SiteDB6[[Site Name]:[Type of Accommodation]],10,FALSE)</f>
        <v>Relocated</v>
      </c>
      <c r="BW135" s="480" t="str">
        <f>VLOOKUP(WWWW[[#This Row],[Village  Name]],SiteDB6[[Site Name]:[Ethnic or GCA/NGCA]],11,FALSE)</f>
        <v>Rakhine</v>
      </c>
      <c r="BX135" s="480">
        <f>VLOOKUP(WWWW[[#This Row],[Village  Name]],SiteDB6[[Site Name]:[Lat]],12,FALSE)</f>
        <v>20.151471999999998</v>
      </c>
      <c r="BY135" s="480">
        <f>VLOOKUP(WWWW[[#This Row],[Village  Name]],SiteDB6[[Site Name]:[Long]],13,FALSE)</f>
        <v>92.887277999999995</v>
      </c>
      <c r="BZ135" s="480" t="str">
        <f>VLOOKUP(WWWW[[#This Row],[Village  Name]],SiteDB6[[Site Name]:[Pcode]],3,FALSE)</f>
        <v>MMR012CMP112</v>
      </c>
      <c r="CA135" s="480" t="str">
        <f t="shared" si="5"/>
        <v>Covered</v>
      </c>
      <c r="CB135" s="505"/>
    </row>
    <row r="136" spans="1:96">
      <c r="A136" s="774" t="s">
        <v>3150</v>
      </c>
      <c r="B136" s="774" t="s">
        <v>2282</v>
      </c>
      <c r="C136" s="415" t="s">
        <v>2282</v>
      </c>
      <c r="D136" s="415" t="s">
        <v>39</v>
      </c>
      <c r="E136" s="415" t="s">
        <v>2648</v>
      </c>
      <c r="F136" s="415" t="s">
        <v>295</v>
      </c>
      <c r="G136" s="644" t="str">
        <f>VLOOKUP(WWWW[[#This Row],[Village  Name]],SiteDB6[[Site Name]:[Location Type]],8,FALSE)</f>
        <v>Village</v>
      </c>
      <c r="H136" s="415" t="s">
        <v>433</v>
      </c>
      <c r="I136" s="524">
        <v>235</v>
      </c>
      <c r="J136" s="524">
        <v>1390</v>
      </c>
      <c r="K136" s="418">
        <v>43009</v>
      </c>
      <c r="L136" s="55">
        <v>44104</v>
      </c>
      <c r="M136" s="524"/>
      <c r="N136" s="524">
        <v>0</v>
      </c>
      <c r="O136" s="524"/>
      <c r="P136" s="524"/>
      <c r="Q136" s="524"/>
      <c r="R136" s="524"/>
      <c r="S136" s="524"/>
      <c r="T136" s="524"/>
      <c r="U136" s="551"/>
      <c r="V136" s="524"/>
      <c r="W136" s="524"/>
      <c r="X136" s="524"/>
      <c r="Y136" s="524"/>
      <c r="Z136" s="524"/>
      <c r="AA136" s="524"/>
      <c r="AB136" s="524"/>
      <c r="AC136" s="551"/>
      <c r="AD136" s="524">
        <v>257</v>
      </c>
      <c r="AE136" s="524">
        <v>828</v>
      </c>
      <c r="AF136" s="524"/>
      <c r="AG136" s="524"/>
      <c r="AH136" s="524"/>
      <c r="AI136" s="524"/>
      <c r="AJ136" s="524"/>
      <c r="AK136" s="524"/>
      <c r="AL136" s="524"/>
      <c r="AM136" s="524"/>
      <c r="AN136" s="551"/>
      <c r="AO136" s="477"/>
      <c r="AP136" s="477"/>
      <c r="AQ136" s="524"/>
      <c r="AR136" s="524"/>
      <c r="AS136" s="524"/>
      <c r="AT13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36" s="483">
        <f>WWWW[[#This Row],[%Equitable and continuous access to sufficient quantity of safe drinking water]]*WWWW[[#This Row],[Total PoP ]]</f>
        <v>0</v>
      </c>
      <c r="AV13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36" s="483">
        <f>WWWW[[#This Row],[% Access to unimproved water points]]*WWWW[[#This Row],[Total PoP ]]</f>
        <v>0</v>
      </c>
      <c r="AX13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3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36" s="483">
        <f>WWWW[[#This Row],[HRP1]]/250</f>
        <v>0</v>
      </c>
      <c r="BA136" s="476">
        <f>1-WWWW[[#This Row],[% Equitable and continuous access to sufficient quantity of domestic water]]</f>
        <v>1</v>
      </c>
      <c r="BB136" s="483">
        <f>WWWW[[#This Row],[%equitable and continuous access to sufficient quantity of safe drinking and domestic water''s GAP]]*WWWW[[#This Row],[Total PoP ]]</f>
        <v>1390</v>
      </c>
      <c r="BC136" s="478">
        <f>IF(WWWW[[#This Row],[Total required water points]]-WWWW[[#This Row],['#Water points coverage]]&lt;0,0,WWWW[[#This Row],[Total required water points]]-WWWW[[#This Row],['#Water points coverage]])</f>
        <v>6</v>
      </c>
      <c r="BD136" s="478">
        <f>ROUND(IF(WWWW[[#This Row],[Total PoP ]]&lt;250,1,WWWW[[#This Row],[Total PoP ]]/250),0)</f>
        <v>6</v>
      </c>
      <c r="BE13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36" s="483">
        <f>WWWW[[#This Row],[% people access to functioning Latrine]]*WWWW[[#This Row],[Total PoP ]]</f>
        <v>0</v>
      </c>
      <c r="BG136" s="478">
        <f>WWWW[[#This Row],['#_of_Functioning_latrines_in_school]]*50</f>
        <v>0</v>
      </c>
      <c r="BH136" s="478">
        <f>ROUND((WWWW[[#This Row],[Total PoP ]]/6),0)</f>
        <v>232</v>
      </c>
      <c r="BI136" s="478">
        <f>IF(WWWW[[#This Row],[Total required Latrines]]-(WWWW[[#This Row],['#_of_sanitary_fly-proof_HH_latrines]])&lt;0,0,WWWW[[#This Row],[Total required Latrines]]-(WWWW[[#This Row],['#_of_sanitary_fly-proof_HH_latrines]]))</f>
        <v>232</v>
      </c>
      <c r="BJ136" s="479">
        <f>1-WWWW[[#This Row],[% people access to functioning Latrine]]</f>
        <v>1</v>
      </c>
      <c r="BK13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1085</v>
      </c>
      <c r="BL136" s="483">
        <f>IF(WWWW[[#This Row],['#_of_functional_handwashing_facilities_at_HH_level]]*6&gt;WWWW[[#This Row],[Total PoP ]],WWWW[[#This Row],[Total PoP ]],WWWW[[#This Row],['#_of_functional_handwashing_facilities_at_HH_level]]*6)</f>
        <v>0</v>
      </c>
      <c r="BM136" s="478">
        <f>IF(WWWW[[#This Row],['# people reached by regular dedicated hygiene promotion]]&gt;WWWW[[#This Row],['# People received regular supply of hygiene items]],WWWW[[#This Row],['# people reached by regular dedicated hygiene promotion]],WWWW[[#This Row],['# People received regular supply of hygiene items]])</f>
        <v>1085</v>
      </c>
      <c r="BN136" s="476">
        <f>IF(WWWW[[#This Row],[HRP3]]/WWWW[[#This Row],[Total PoP ]]&gt;100%,100%,WWWW[[#This Row],[HRP3]]/WWWW[[#This Row],[Total PoP ]])</f>
        <v>0.78057553956834536</v>
      </c>
      <c r="BO136" s="479">
        <f>1-WWWW[[#This Row],[Hygiene Coverage%]]</f>
        <v>0.21942446043165464</v>
      </c>
      <c r="BP136" s="477">
        <f>WWWW[[#This Row],['# people reached by regular dedicated hygiene promotion]]/WWWW[[#This Row],[Total PoP ]]</f>
        <v>0.78057553956834536</v>
      </c>
      <c r="BQ13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36" s="478">
        <f>WWWW[[#This Row],['#_of_affected_women_and_girls_receiving_a_sufficient_quantity_of_sanitary_pads]]</f>
        <v>0</v>
      </c>
      <c r="BS136" s="524">
        <f>IF(WWWW[[#This Row],['# People with access to soap]]&gt;WWWW[[#This Row],['# People with access to Sanity Pads]],WWWW[[#This Row],['# People with access to soap]],WWWW[[#This Row],['# People with access to Sanity Pads]])</f>
        <v>0</v>
      </c>
      <c r="BT136" s="483" t="str">
        <f>IF(OR(WWWW[[#This Row],['#of students in school]]="",WWWW[[#This Row],['#of students in school]]=0),"No","Yes")</f>
        <v>No</v>
      </c>
      <c r="BU136" s="480" t="str">
        <f>VLOOKUP(WWWW[[#This Row],[Village  Name]],SiteDB6[[Site Name]:[Location Type 1]],9,FALSE)</f>
        <v>Village</v>
      </c>
      <c r="BV136" s="480" t="str">
        <f>VLOOKUP(WWWW[[#This Row],[Village  Name]],SiteDB6[[Site Name]:[Type of Accommodation]],10,FALSE)</f>
        <v>Village</v>
      </c>
      <c r="BW136" s="480" t="str">
        <f>VLOOKUP(WWWW[[#This Row],[Village  Name]],SiteDB6[[Site Name]:[Ethnic or GCA/NGCA]],11,FALSE)</f>
        <v>Muslim</v>
      </c>
      <c r="BX136" s="480">
        <f>VLOOKUP(WWWW[[#This Row],[Village  Name]],SiteDB6[[Site Name]:[Lat]],12,FALSE)</f>
        <v>20.19171906</v>
      </c>
      <c r="BY136" s="480">
        <f>VLOOKUP(WWWW[[#This Row],[Village  Name]],SiteDB6[[Site Name]:[Long]],13,FALSE)</f>
        <v>92.808166499999999</v>
      </c>
      <c r="BZ136" s="480">
        <f>VLOOKUP(WWWW[[#This Row],[Village  Name]],SiteDB6[[Site Name]:[Pcode]],3,FALSE)</f>
        <v>196155</v>
      </c>
      <c r="CA136" s="480" t="str">
        <f t="shared" si="5"/>
        <v>Covered</v>
      </c>
      <c r="CB136" s="505"/>
    </row>
    <row r="137" spans="1:96">
      <c r="A137" s="774" t="s">
        <v>3150</v>
      </c>
      <c r="B137" s="774" t="s">
        <v>2282</v>
      </c>
      <c r="C137" s="415" t="s">
        <v>2282</v>
      </c>
      <c r="D137" s="415" t="s">
        <v>39</v>
      </c>
      <c r="E137" s="415" t="s">
        <v>2648</v>
      </c>
      <c r="F137" s="415" t="s">
        <v>295</v>
      </c>
      <c r="G137" s="644" t="str">
        <f>VLOOKUP(WWWW[[#This Row],[Village  Name]],SiteDB6[[Site Name]:[Location Type]],8,FALSE)</f>
        <v>Village</v>
      </c>
      <c r="H137" s="415" t="s">
        <v>416</v>
      </c>
      <c r="I137" s="524">
        <v>72</v>
      </c>
      <c r="J137" s="524">
        <v>442</v>
      </c>
      <c r="K137" s="418">
        <v>43009</v>
      </c>
      <c r="L137" s="55">
        <v>44104</v>
      </c>
      <c r="M137" s="524"/>
      <c r="N137" s="524">
        <v>0</v>
      </c>
      <c r="O137" s="524"/>
      <c r="P137" s="524"/>
      <c r="Q137" s="524"/>
      <c r="R137" s="524"/>
      <c r="S137" s="524"/>
      <c r="T137" s="524"/>
      <c r="U137" s="551"/>
      <c r="V137" s="524"/>
      <c r="W137" s="524"/>
      <c r="X137" s="524"/>
      <c r="Y137" s="524"/>
      <c r="Z137" s="524"/>
      <c r="AA137" s="524"/>
      <c r="AB137" s="524"/>
      <c r="AC137" s="551"/>
      <c r="AD137" s="524">
        <v>91</v>
      </c>
      <c r="AE137" s="524">
        <v>207</v>
      </c>
      <c r="AF137" s="524">
        <v>92</v>
      </c>
      <c r="AG137" s="524">
        <v>285</v>
      </c>
      <c r="AH137" s="524"/>
      <c r="AI137" s="524"/>
      <c r="AJ137" s="524"/>
      <c r="AK137" s="524"/>
      <c r="AL137" s="524"/>
      <c r="AM137" s="524"/>
      <c r="AN137" s="551"/>
      <c r="AO137" s="477"/>
      <c r="AP137" s="477"/>
      <c r="AQ137" s="524"/>
      <c r="AR137" s="524"/>
      <c r="AS137" s="524"/>
      <c r="AT13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37" s="483">
        <f>WWWW[[#This Row],[%Equitable and continuous access to sufficient quantity of safe drinking water]]*WWWW[[#This Row],[Total PoP ]]</f>
        <v>0</v>
      </c>
      <c r="AV13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37" s="483">
        <f>WWWW[[#This Row],[% Access to unimproved water points]]*WWWW[[#This Row],[Total PoP ]]</f>
        <v>0</v>
      </c>
      <c r="AX13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3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37" s="483">
        <f>WWWW[[#This Row],[HRP1]]/250</f>
        <v>0</v>
      </c>
      <c r="BA137" s="476">
        <f>1-WWWW[[#This Row],[% Equitable and continuous access to sufficient quantity of domestic water]]</f>
        <v>1</v>
      </c>
      <c r="BB137" s="483">
        <f>WWWW[[#This Row],[%equitable and continuous access to sufficient quantity of safe drinking and domestic water''s GAP]]*WWWW[[#This Row],[Total PoP ]]</f>
        <v>442</v>
      </c>
      <c r="BC137" s="478">
        <f>IF(WWWW[[#This Row],[Total required water points]]-WWWW[[#This Row],['#Water points coverage]]&lt;0,0,WWWW[[#This Row],[Total required water points]]-WWWW[[#This Row],['#Water points coverage]])</f>
        <v>2</v>
      </c>
      <c r="BD137" s="478">
        <f>ROUND(IF(WWWW[[#This Row],[Total PoP ]]&lt;250,1,WWWW[[#This Row],[Total PoP ]]/250),0)</f>
        <v>2</v>
      </c>
      <c r="BE13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37" s="483">
        <f>WWWW[[#This Row],[% people access to functioning Latrine]]*WWWW[[#This Row],[Total PoP ]]</f>
        <v>0</v>
      </c>
      <c r="BG137" s="478">
        <f>WWWW[[#This Row],['#_of_Functioning_latrines_in_school]]*50</f>
        <v>0</v>
      </c>
      <c r="BH137" s="478">
        <f>ROUND((WWWW[[#This Row],[Total PoP ]]/6),0)</f>
        <v>74</v>
      </c>
      <c r="BI137" s="478">
        <f>IF(WWWW[[#This Row],[Total required Latrines]]-(WWWW[[#This Row],['#_of_sanitary_fly-proof_HH_latrines]])&lt;0,0,WWWW[[#This Row],[Total required Latrines]]-(WWWW[[#This Row],['#_of_sanitary_fly-proof_HH_latrines]]))</f>
        <v>74</v>
      </c>
      <c r="BJ137" s="479">
        <f>1-WWWW[[#This Row],[% people access to functioning Latrine]]</f>
        <v>1</v>
      </c>
      <c r="BK13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442</v>
      </c>
      <c r="BL137" s="483">
        <f>IF(WWWW[[#This Row],['#_of_functional_handwashing_facilities_at_HH_level]]*6&gt;WWWW[[#This Row],[Total PoP ]],WWWW[[#This Row],[Total PoP ]],WWWW[[#This Row],['#_of_functional_handwashing_facilities_at_HH_level]]*6)</f>
        <v>0</v>
      </c>
      <c r="BM137" s="478">
        <f>IF(WWWW[[#This Row],['# people reached by regular dedicated hygiene promotion]]&gt;WWWW[[#This Row],['# People received regular supply of hygiene items]],WWWW[[#This Row],['# people reached by regular dedicated hygiene promotion]],WWWW[[#This Row],['# People received regular supply of hygiene items]])</f>
        <v>442</v>
      </c>
      <c r="BN137" s="476">
        <f>IF(WWWW[[#This Row],[HRP3]]/WWWW[[#This Row],[Total PoP ]]&gt;100%,100%,WWWW[[#This Row],[HRP3]]/WWWW[[#This Row],[Total PoP ]])</f>
        <v>1</v>
      </c>
      <c r="BO137" s="479">
        <f>1-WWWW[[#This Row],[Hygiene Coverage%]]</f>
        <v>0</v>
      </c>
      <c r="BP137" s="477">
        <f>WWWW[[#This Row],['# people reached by regular dedicated hygiene promotion]]/WWWW[[#This Row],[Total PoP ]]</f>
        <v>1</v>
      </c>
      <c r="BQ13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37" s="478">
        <f>WWWW[[#This Row],['#_of_affected_women_and_girls_receiving_a_sufficient_quantity_of_sanitary_pads]]</f>
        <v>0</v>
      </c>
      <c r="BS137" s="524">
        <f>IF(WWWW[[#This Row],['# People with access to soap]]&gt;WWWW[[#This Row],['# People with access to Sanity Pads]],WWWW[[#This Row],['# People with access to soap]],WWWW[[#This Row],['# People with access to Sanity Pads]])</f>
        <v>0</v>
      </c>
      <c r="BT137" s="483" t="str">
        <f>IF(OR(WWWW[[#This Row],['#of students in school]]="",WWWW[[#This Row],['#of students in school]]=0),"No","Yes")</f>
        <v>No</v>
      </c>
      <c r="BU137" s="480" t="str">
        <f>VLOOKUP(WWWW[[#This Row],[Village  Name]],SiteDB6[[Site Name]:[Location Type 1]],9,FALSE)</f>
        <v>Village</v>
      </c>
      <c r="BV137" s="480" t="str">
        <f>VLOOKUP(WWWW[[#This Row],[Village  Name]],SiteDB6[[Site Name]:[Type of Accommodation]],10,FALSE)</f>
        <v>Relocated</v>
      </c>
      <c r="BW137" s="480" t="str">
        <f>VLOOKUP(WWWW[[#This Row],[Village  Name]],SiteDB6[[Site Name]:[Ethnic or GCA/NGCA]],11,FALSE)</f>
        <v>Maramargyi</v>
      </c>
      <c r="BX137" s="480">
        <f>VLOOKUP(WWWW[[#This Row],[Village  Name]],SiteDB6[[Site Name]:[Lat]],12,FALSE)</f>
        <v>20.148584</v>
      </c>
      <c r="BY137" s="480">
        <f>VLOOKUP(WWWW[[#This Row],[Village  Name]],SiteDB6[[Site Name]:[Long]],13,FALSE)</f>
        <v>92.880319999999998</v>
      </c>
      <c r="BZ137" s="480" t="str">
        <f>VLOOKUP(WWWW[[#This Row],[Village  Name]],SiteDB6[[Site Name]:[Pcode]],3,FALSE)</f>
        <v>MMR012CMP056</v>
      </c>
      <c r="CA137" s="480" t="str">
        <f t="shared" si="5"/>
        <v>Covered</v>
      </c>
      <c r="CB137" s="505"/>
    </row>
    <row r="138" spans="1:96">
      <c r="A138" s="774" t="s">
        <v>3150</v>
      </c>
      <c r="B138" s="774" t="s">
        <v>2282</v>
      </c>
      <c r="C138" s="415" t="s">
        <v>2282</v>
      </c>
      <c r="D138" s="415" t="s">
        <v>39</v>
      </c>
      <c r="E138" s="415" t="s">
        <v>2648</v>
      </c>
      <c r="F138" s="415" t="s">
        <v>295</v>
      </c>
      <c r="G138" s="644" t="str">
        <f>VLOOKUP(WWWW[[#This Row],[Village  Name]],SiteDB6[[Site Name]:[Location Type]],8,FALSE)</f>
        <v>Village</v>
      </c>
      <c r="H138" s="415" t="s">
        <v>1898</v>
      </c>
      <c r="I138" s="524">
        <v>151</v>
      </c>
      <c r="J138" s="524">
        <v>625</v>
      </c>
      <c r="K138" s="418">
        <v>43009</v>
      </c>
      <c r="L138" s="55">
        <v>44104</v>
      </c>
      <c r="M138" s="524"/>
      <c r="N138" s="524">
        <v>0</v>
      </c>
      <c r="O138" s="524"/>
      <c r="P138" s="524"/>
      <c r="Q138" s="524"/>
      <c r="R138" s="524"/>
      <c r="S138" s="524"/>
      <c r="T138" s="524"/>
      <c r="U138" s="551"/>
      <c r="V138" s="524"/>
      <c r="W138" s="524"/>
      <c r="X138" s="524"/>
      <c r="Y138" s="524"/>
      <c r="Z138" s="524"/>
      <c r="AA138" s="524"/>
      <c r="AB138" s="524"/>
      <c r="AC138" s="551"/>
      <c r="AD138" s="524">
        <v>181</v>
      </c>
      <c r="AE138" s="524">
        <v>402</v>
      </c>
      <c r="AF138" s="524">
        <v>20</v>
      </c>
      <c r="AG138" s="524">
        <v>194</v>
      </c>
      <c r="AH138" s="524"/>
      <c r="AI138" s="524"/>
      <c r="AJ138" s="524"/>
      <c r="AK138" s="524"/>
      <c r="AL138" s="524"/>
      <c r="AM138" s="524"/>
      <c r="AN138" s="551"/>
      <c r="AO138" s="477"/>
      <c r="AP138" s="477"/>
      <c r="AQ138" s="524"/>
      <c r="AR138" s="524"/>
      <c r="AS138" s="524"/>
      <c r="AT13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38" s="483">
        <f>WWWW[[#This Row],[%Equitable and continuous access to sufficient quantity of safe drinking water]]*WWWW[[#This Row],[Total PoP ]]</f>
        <v>0</v>
      </c>
      <c r="AV13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38" s="483">
        <f>WWWW[[#This Row],[% Access to unimproved water points]]*WWWW[[#This Row],[Total PoP ]]</f>
        <v>0</v>
      </c>
      <c r="AX13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3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38" s="483">
        <f>WWWW[[#This Row],[HRP1]]/250</f>
        <v>0</v>
      </c>
      <c r="BA138" s="476">
        <f>1-WWWW[[#This Row],[% Equitable and continuous access to sufficient quantity of domestic water]]</f>
        <v>1</v>
      </c>
      <c r="BB138" s="483">
        <f>WWWW[[#This Row],[%equitable and continuous access to sufficient quantity of safe drinking and domestic water''s GAP]]*WWWW[[#This Row],[Total PoP ]]</f>
        <v>625</v>
      </c>
      <c r="BC138" s="478">
        <f>IF(WWWW[[#This Row],[Total required water points]]-WWWW[[#This Row],['#Water points coverage]]&lt;0,0,WWWW[[#This Row],[Total required water points]]-WWWW[[#This Row],['#Water points coverage]])</f>
        <v>3</v>
      </c>
      <c r="BD138" s="478">
        <f>ROUND(IF(WWWW[[#This Row],[Total PoP ]]&lt;250,1,WWWW[[#This Row],[Total PoP ]]/250),0)</f>
        <v>3</v>
      </c>
      <c r="BE13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38" s="483">
        <f>WWWW[[#This Row],[% people access to functioning Latrine]]*WWWW[[#This Row],[Total PoP ]]</f>
        <v>0</v>
      </c>
      <c r="BG138" s="478">
        <f>WWWW[[#This Row],['#_of_Functioning_latrines_in_school]]*50</f>
        <v>0</v>
      </c>
      <c r="BH138" s="478">
        <f>ROUND((WWWW[[#This Row],[Total PoP ]]/6),0)</f>
        <v>104</v>
      </c>
      <c r="BI138" s="478">
        <f>IF(WWWW[[#This Row],[Total required Latrines]]-(WWWW[[#This Row],['#_of_sanitary_fly-proof_HH_latrines]])&lt;0,0,WWWW[[#This Row],[Total required Latrines]]-(WWWW[[#This Row],['#_of_sanitary_fly-proof_HH_latrines]]))</f>
        <v>104</v>
      </c>
      <c r="BJ138" s="479">
        <f>1-WWWW[[#This Row],[% people access to functioning Latrine]]</f>
        <v>1</v>
      </c>
      <c r="BK13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625</v>
      </c>
      <c r="BL138" s="483">
        <f>IF(WWWW[[#This Row],['#_of_functional_handwashing_facilities_at_HH_level]]*6&gt;WWWW[[#This Row],[Total PoP ]],WWWW[[#This Row],[Total PoP ]],WWWW[[#This Row],['#_of_functional_handwashing_facilities_at_HH_level]]*6)</f>
        <v>0</v>
      </c>
      <c r="BM138" s="478">
        <f>IF(WWWW[[#This Row],['# people reached by regular dedicated hygiene promotion]]&gt;WWWW[[#This Row],['# People received regular supply of hygiene items]],WWWW[[#This Row],['# people reached by regular dedicated hygiene promotion]],WWWW[[#This Row],['# People received regular supply of hygiene items]])</f>
        <v>625</v>
      </c>
      <c r="BN138" s="476">
        <f>IF(WWWW[[#This Row],[HRP3]]/WWWW[[#This Row],[Total PoP ]]&gt;100%,100%,WWWW[[#This Row],[HRP3]]/WWWW[[#This Row],[Total PoP ]])</f>
        <v>1</v>
      </c>
      <c r="BO138" s="479">
        <f>1-WWWW[[#This Row],[Hygiene Coverage%]]</f>
        <v>0</v>
      </c>
      <c r="BP138" s="477">
        <f>WWWW[[#This Row],['# people reached by regular dedicated hygiene promotion]]/WWWW[[#This Row],[Total PoP ]]</f>
        <v>1</v>
      </c>
      <c r="BQ13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38" s="478">
        <f>WWWW[[#This Row],['#_of_affected_women_and_girls_receiving_a_sufficient_quantity_of_sanitary_pads]]</f>
        <v>0</v>
      </c>
      <c r="BS138" s="524">
        <f>IF(WWWW[[#This Row],['# People with access to soap]]&gt;WWWW[[#This Row],['# People with access to Sanity Pads]],WWWW[[#This Row],['# People with access to soap]],WWWW[[#This Row],['# People with access to Sanity Pads]])</f>
        <v>0</v>
      </c>
      <c r="BT138" s="483" t="str">
        <f>IF(OR(WWWW[[#This Row],['#of students in school]]="",WWWW[[#This Row],['#of students in school]]=0),"No","Yes")</f>
        <v>No</v>
      </c>
      <c r="BU138" s="480" t="str">
        <f>VLOOKUP(WWWW[[#This Row],[Village  Name]],SiteDB6[[Site Name]:[Location Type 1]],9,FALSE)</f>
        <v>Village</v>
      </c>
      <c r="BV138" s="480" t="str">
        <f>VLOOKUP(WWWW[[#This Row],[Village  Name]],SiteDB6[[Site Name]:[Type of Accommodation]],10,FALSE)</f>
        <v>Relocated</v>
      </c>
      <c r="BW138" s="480" t="str">
        <f>VLOOKUP(WWWW[[#This Row],[Village  Name]],SiteDB6[[Site Name]:[Ethnic or GCA/NGCA]],11,FALSE)</f>
        <v>Rakhine</v>
      </c>
      <c r="BX138" s="480">
        <f>VLOOKUP(WWWW[[#This Row],[Village  Name]],SiteDB6[[Site Name]:[Lat]],12,FALSE)</f>
        <v>20.155805999999998</v>
      </c>
      <c r="BY138" s="480">
        <f>VLOOKUP(WWWW[[#This Row],[Village  Name]],SiteDB6[[Site Name]:[Long]],13,FALSE)</f>
        <v>92.879138999999995</v>
      </c>
      <c r="BZ138" s="480" t="str">
        <f>VLOOKUP(WWWW[[#This Row],[Village  Name]],SiteDB6[[Site Name]:[Pcode]],3,FALSE)</f>
        <v>MMR012CMP093</v>
      </c>
      <c r="CA138" s="480" t="str">
        <f t="shared" si="5"/>
        <v>Covered</v>
      </c>
      <c r="CB138" s="505"/>
    </row>
    <row r="139" spans="1:96">
      <c r="A139" s="774" t="s">
        <v>3150</v>
      </c>
      <c r="B139" s="774" t="s">
        <v>2283</v>
      </c>
      <c r="C139" s="415" t="s">
        <v>2283</v>
      </c>
      <c r="D139" s="415" t="s">
        <v>39</v>
      </c>
      <c r="E139" s="415" t="s">
        <v>2648</v>
      </c>
      <c r="F139" s="415" t="s">
        <v>295</v>
      </c>
      <c r="G139" s="644" t="str">
        <f>VLOOKUP(WWWW[[#This Row],[Village  Name]],SiteDB6[[Site Name]:[Location Type]],8,FALSE)</f>
        <v>Village</v>
      </c>
      <c r="H139" s="415" t="s">
        <v>689</v>
      </c>
      <c r="I139" s="524">
        <v>155</v>
      </c>
      <c r="J139" s="524">
        <v>745</v>
      </c>
      <c r="K139" s="418">
        <v>43009</v>
      </c>
      <c r="L139" s="55">
        <v>44104</v>
      </c>
      <c r="M139" s="524"/>
      <c r="N139" s="524">
        <v>0</v>
      </c>
      <c r="O139" s="524"/>
      <c r="P139" s="524">
        <v>10</v>
      </c>
      <c r="Q139" s="524"/>
      <c r="R139" s="524"/>
      <c r="S139" s="524"/>
      <c r="T139" s="524"/>
      <c r="U139" s="551"/>
      <c r="V139" s="524">
        <v>28</v>
      </c>
      <c r="W139" s="524"/>
      <c r="X139" s="524"/>
      <c r="Y139" s="524"/>
      <c r="Z139" s="524"/>
      <c r="AA139" s="524"/>
      <c r="AB139" s="524"/>
      <c r="AC139" s="551"/>
      <c r="AD139" s="524">
        <v>107</v>
      </c>
      <c r="AE139" s="524">
        <v>108</v>
      </c>
      <c r="AF139" s="524">
        <v>33</v>
      </c>
      <c r="AG139" s="524">
        <v>32</v>
      </c>
      <c r="AH139" s="524"/>
      <c r="AI139" s="524"/>
      <c r="AJ139" s="524"/>
      <c r="AK139" s="524"/>
      <c r="AL139" s="524"/>
      <c r="AM139" s="524"/>
      <c r="AN139" s="551"/>
      <c r="AO139" s="477"/>
      <c r="AP139" s="477"/>
      <c r="AQ139" s="524"/>
      <c r="AR139" s="524"/>
      <c r="AS139" s="524"/>
      <c r="AT13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39" s="483">
        <f>WWWW[[#This Row],[%Equitable and continuous access to sufficient quantity of safe drinking water]]*WWWW[[#This Row],[Total PoP ]]</f>
        <v>745</v>
      </c>
      <c r="AV13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39" s="483">
        <f>WWWW[[#This Row],[% Access to unimproved water points]]*WWWW[[#This Row],[Total PoP ]]</f>
        <v>0</v>
      </c>
      <c r="AX13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3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745</v>
      </c>
      <c r="AZ139" s="483">
        <f>WWWW[[#This Row],[HRP1]]/250</f>
        <v>2.98</v>
      </c>
      <c r="BA139" s="476">
        <f>1-WWWW[[#This Row],[% Equitable and continuous access to sufficient quantity of domestic water]]</f>
        <v>0</v>
      </c>
      <c r="BB139" s="483">
        <f>WWWW[[#This Row],[%equitable and continuous access to sufficient quantity of safe drinking and domestic water''s GAP]]*WWWW[[#This Row],[Total PoP ]]</f>
        <v>0</v>
      </c>
      <c r="BC139" s="478">
        <f>IF(WWWW[[#This Row],[Total required water points]]-WWWW[[#This Row],['#Water points coverage]]&lt;0,0,WWWW[[#This Row],[Total required water points]]-WWWW[[#This Row],['#Water points coverage]])</f>
        <v>2.0000000000000018E-2</v>
      </c>
      <c r="BD139" s="478">
        <f>ROUND(IF(WWWW[[#This Row],[Total PoP ]]&lt;250,1,WWWW[[#This Row],[Total PoP ]]/250),0)</f>
        <v>3</v>
      </c>
      <c r="BE13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0.22550335570469798</v>
      </c>
      <c r="BF139" s="483">
        <f>WWWW[[#This Row],[% people access to functioning Latrine]]*WWWW[[#This Row],[Total PoP ]]</f>
        <v>168</v>
      </c>
      <c r="BG139" s="478">
        <f>WWWW[[#This Row],['#_of_Functioning_latrines_in_school]]*50</f>
        <v>0</v>
      </c>
      <c r="BH139" s="478">
        <f>ROUND((WWWW[[#This Row],[Total PoP ]]/6),0)</f>
        <v>124</v>
      </c>
      <c r="BI139" s="478">
        <f>IF(WWWW[[#This Row],[Total required Latrines]]-(WWWW[[#This Row],['#_of_sanitary_fly-proof_HH_latrines]])&lt;0,0,WWWW[[#This Row],[Total required Latrines]]-(WWWW[[#This Row],['#_of_sanitary_fly-proof_HH_latrines]]))</f>
        <v>96</v>
      </c>
      <c r="BJ139" s="479">
        <f>1-WWWW[[#This Row],[% people access to functioning Latrine]]</f>
        <v>0.77449664429530207</v>
      </c>
      <c r="BK13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280</v>
      </c>
      <c r="BL139" s="483">
        <f>IF(WWWW[[#This Row],['#_of_functional_handwashing_facilities_at_HH_level]]*6&gt;WWWW[[#This Row],[Total PoP ]],WWWW[[#This Row],[Total PoP ]],WWWW[[#This Row],['#_of_functional_handwashing_facilities_at_HH_level]]*6)</f>
        <v>0</v>
      </c>
      <c r="BM139" s="478">
        <f>IF(WWWW[[#This Row],['# people reached by regular dedicated hygiene promotion]]&gt;WWWW[[#This Row],['# People received regular supply of hygiene items]],WWWW[[#This Row],['# people reached by regular dedicated hygiene promotion]],WWWW[[#This Row],['# People received regular supply of hygiene items]])</f>
        <v>280</v>
      </c>
      <c r="BN139" s="476">
        <f>IF(WWWW[[#This Row],[HRP3]]/WWWW[[#This Row],[Total PoP ]]&gt;100%,100%,WWWW[[#This Row],[HRP3]]/WWWW[[#This Row],[Total PoP ]])</f>
        <v>0.37583892617449666</v>
      </c>
      <c r="BO139" s="479">
        <f>1-WWWW[[#This Row],[Hygiene Coverage%]]</f>
        <v>0.62416107382550334</v>
      </c>
      <c r="BP139" s="477">
        <f>WWWW[[#This Row],['# people reached by regular dedicated hygiene promotion]]/WWWW[[#This Row],[Total PoP ]]</f>
        <v>0.37583892617449666</v>
      </c>
      <c r="BQ13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39" s="478">
        <f>WWWW[[#This Row],['#_of_affected_women_and_girls_receiving_a_sufficient_quantity_of_sanitary_pads]]</f>
        <v>0</v>
      </c>
      <c r="BS139" s="524">
        <f>IF(WWWW[[#This Row],['# People with access to soap]]&gt;WWWW[[#This Row],['# People with access to Sanity Pads]],WWWW[[#This Row],['# People with access to soap]],WWWW[[#This Row],['# People with access to Sanity Pads]])</f>
        <v>0</v>
      </c>
      <c r="BT139" s="483" t="str">
        <f>IF(OR(WWWW[[#This Row],['#of students in school]]="",WWWW[[#This Row],['#of students in school]]=0),"No","Yes")</f>
        <v>No</v>
      </c>
      <c r="BU139" s="480" t="str">
        <f>VLOOKUP(WWWW[[#This Row],[Village  Name]],SiteDB6[[Site Name]:[Location Type 1]],9,FALSE)</f>
        <v>Village</v>
      </c>
      <c r="BV139" s="480" t="str">
        <f>VLOOKUP(WWWW[[#This Row],[Village  Name]],SiteDB6[[Site Name]:[Type of Accommodation]],10,FALSE)</f>
        <v>Village</v>
      </c>
      <c r="BW139" s="480" t="str">
        <f>VLOOKUP(WWWW[[#This Row],[Village  Name]],SiteDB6[[Site Name]:[Ethnic or GCA/NGCA]],11,FALSE)</f>
        <v>Rakhine</v>
      </c>
      <c r="BX139" s="480">
        <f>VLOOKUP(WWWW[[#This Row],[Village  Name]],SiteDB6[[Site Name]:[Lat]],12,FALSE)</f>
        <v>20.16259956</v>
      </c>
      <c r="BY139" s="480">
        <f>VLOOKUP(WWWW[[#This Row],[Village  Name]],SiteDB6[[Site Name]:[Long]],13,FALSE)</f>
        <v>92.834457400000005</v>
      </c>
      <c r="BZ139" s="480">
        <f>VLOOKUP(WWWW[[#This Row],[Village  Name]],SiteDB6[[Site Name]:[Pcode]],3,FALSE)</f>
        <v>196210</v>
      </c>
      <c r="CA139" s="480" t="str">
        <f t="shared" si="5"/>
        <v>Covered</v>
      </c>
      <c r="CB139" s="505"/>
    </row>
    <row r="140" spans="1:96">
      <c r="A140" s="774" t="s">
        <v>3150</v>
      </c>
      <c r="B140" s="774" t="s">
        <v>2283</v>
      </c>
      <c r="C140" s="415" t="s">
        <v>2283</v>
      </c>
      <c r="D140" s="415" t="s">
        <v>39</v>
      </c>
      <c r="E140" s="415" t="s">
        <v>2648</v>
      </c>
      <c r="F140" s="415" t="s">
        <v>295</v>
      </c>
      <c r="G140" s="644" t="str">
        <f>VLOOKUP(WWWW[[#This Row],[Village  Name]],SiteDB6[[Site Name]:[Location Type]],8,FALSE)</f>
        <v>Village</v>
      </c>
      <c r="H140" s="415" t="s">
        <v>421</v>
      </c>
      <c r="I140" s="524">
        <v>758</v>
      </c>
      <c r="J140" s="524">
        <v>5579</v>
      </c>
      <c r="K140" s="418">
        <v>43009</v>
      </c>
      <c r="L140" s="55">
        <v>44104</v>
      </c>
      <c r="M140" s="524"/>
      <c r="N140" s="524">
        <v>0</v>
      </c>
      <c r="O140" s="524"/>
      <c r="P140" s="524">
        <v>16</v>
      </c>
      <c r="Q140" s="524"/>
      <c r="R140" s="524"/>
      <c r="S140" s="524"/>
      <c r="T140" s="524"/>
      <c r="U140" s="551"/>
      <c r="V140" s="524">
        <v>158</v>
      </c>
      <c r="W140" s="524"/>
      <c r="X140" s="524"/>
      <c r="Y140" s="524"/>
      <c r="Z140" s="524"/>
      <c r="AA140" s="524"/>
      <c r="AB140" s="524"/>
      <c r="AC140" s="551"/>
      <c r="AD140" s="524">
        <v>116</v>
      </c>
      <c r="AE140" s="524">
        <v>645</v>
      </c>
      <c r="AF140" s="524">
        <v>135</v>
      </c>
      <c r="AG140" s="524">
        <v>164</v>
      </c>
      <c r="AH140" s="524"/>
      <c r="AI140" s="524"/>
      <c r="AJ140" s="524"/>
      <c r="AK140" s="524"/>
      <c r="AL140" s="524">
        <v>760</v>
      </c>
      <c r="AM140" s="524"/>
      <c r="AN140" s="551"/>
      <c r="AO140" s="477">
        <v>1</v>
      </c>
      <c r="AP140" s="477"/>
      <c r="AQ140" s="524"/>
      <c r="AR140" s="524"/>
      <c r="AS140" s="524"/>
      <c r="AT14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40" s="483">
        <f>WWWW[[#This Row],[%Equitable and continuous access to sufficient quantity of safe drinking water]]*WWWW[[#This Row],[Total PoP ]]</f>
        <v>5579</v>
      </c>
      <c r="AV14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40" s="483">
        <f>WWWW[[#This Row],[% Access to unimproved water points]]*WWWW[[#This Row],[Total PoP ]]</f>
        <v>0</v>
      </c>
      <c r="AX14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4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5579</v>
      </c>
      <c r="AZ140" s="483">
        <f>WWWW[[#This Row],[HRP1]]/250</f>
        <v>22.315999999999999</v>
      </c>
      <c r="BA140" s="476">
        <f>1-WWWW[[#This Row],[% Equitable and continuous access to sufficient quantity of domestic water]]</f>
        <v>0</v>
      </c>
      <c r="BB140" s="483">
        <f>WWWW[[#This Row],[%equitable and continuous access to sufficient quantity of safe drinking and domestic water''s GAP]]*WWWW[[#This Row],[Total PoP ]]</f>
        <v>0</v>
      </c>
      <c r="BC140" s="478">
        <f>IF(WWWW[[#This Row],[Total required water points]]-WWWW[[#This Row],['#Water points coverage]]&lt;0,0,WWWW[[#This Row],[Total required water points]]-WWWW[[#This Row],['#Water points coverage]])</f>
        <v>0</v>
      </c>
      <c r="BD140" s="478">
        <f>ROUND(IF(WWWW[[#This Row],[Total PoP ]]&lt;250,1,WWWW[[#This Row],[Total PoP ]]/250),0)</f>
        <v>22</v>
      </c>
      <c r="BE14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0.16992292525542213</v>
      </c>
      <c r="BF140" s="483">
        <f>WWWW[[#This Row],[% people access to functioning Latrine]]*WWWW[[#This Row],[Total PoP ]]</f>
        <v>948.00000000000011</v>
      </c>
      <c r="BG140" s="478">
        <f>WWWW[[#This Row],['#_of_Functioning_latrines_in_school]]*50</f>
        <v>0</v>
      </c>
      <c r="BH140" s="478">
        <f>ROUND((WWWW[[#This Row],[Total PoP ]]/6),0)</f>
        <v>930</v>
      </c>
      <c r="BI140" s="478">
        <f>IF(WWWW[[#This Row],[Total required Latrines]]-(WWWW[[#This Row],['#_of_sanitary_fly-proof_HH_latrines]])&lt;0,0,WWWW[[#This Row],[Total required Latrines]]-(WWWW[[#This Row],['#_of_sanitary_fly-proof_HH_latrines]]))</f>
        <v>772</v>
      </c>
      <c r="BJ140" s="479">
        <f>1-WWWW[[#This Row],[% people access to functioning Latrine]]</f>
        <v>0.83007707474457781</v>
      </c>
      <c r="BK14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1060</v>
      </c>
      <c r="BL140" s="483">
        <f>IF(WWWW[[#This Row],['#_of_functional_handwashing_facilities_at_HH_level]]*6&gt;WWWW[[#This Row],[Total PoP ]],WWWW[[#This Row],[Total PoP ]],WWWW[[#This Row],['#_of_functional_handwashing_facilities_at_HH_level]]*6)</f>
        <v>0</v>
      </c>
      <c r="BM140" s="478">
        <f>IF(WWWW[[#This Row],['# people reached by regular dedicated hygiene promotion]]&gt;WWWW[[#This Row],['# People received regular supply of hygiene items]],WWWW[[#This Row],['# people reached by regular dedicated hygiene promotion]],WWWW[[#This Row],['# People received regular supply of hygiene items]])</f>
        <v>5579</v>
      </c>
      <c r="BN140" s="476">
        <f>IF(WWWW[[#This Row],[HRP3]]/WWWW[[#This Row],[Total PoP ]]&gt;100%,100%,WWWW[[#This Row],[HRP3]]/WWWW[[#This Row],[Total PoP ]])</f>
        <v>1</v>
      </c>
      <c r="BO140" s="479">
        <f>1-WWWW[[#This Row],[Hygiene Coverage%]]</f>
        <v>0</v>
      </c>
      <c r="BP140" s="477">
        <f>WWWW[[#This Row],['# people reached by regular dedicated hygiene promotion]]/WWWW[[#This Row],[Total PoP ]]</f>
        <v>0.18999820756407959</v>
      </c>
      <c r="BQ14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5579</v>
      </c>
      <c r="BR140" s="478">
        <f>WWWW[[#This Row],['#_of_affected_women_and_girls_receiving_a_sufficient_quantity_of_sanitary_pads]]</f>
        <v>0</v>
      </c>
      <c r="BS140" s="524">
        <f>IF(WWWW[[#This Row],['# People with access to soap]]&gt;WWWW[[#This Row],['# People with access to Sanity Pads]],WWWW[[#This Row],['# People with access to soap]],WWWW[[#This Row],['# People with access to Sanity Pads]])</f>
        <v>5579</v>
      </c>
      <c r="BT140" s="483" t="str">
        <f>IF(OR(WWWW[[#This Row],['#of students in school]]="",WWWW[[#This Row],['#of students in school]]=0),"No","Yes")</f>
        <v>No</v>
      </c>
      <c r="BU140" s="480" t="str">
        <f>VLOOKUP(WWWW[[#This Row],[Village  Name]],SiteDB6[[Site Name]:[Location Type 1]],9,FALSE)</f>
        <v>Village</v>
      </c>
      <c r="BV140" s="480" t="str">
        <f>VLOOKUP(WWWW[[#This Row],[Village  Name]],SiteDB6[[Site Name]:[Type of Accommodation]],10,FALSE)</f>
        <v>Village</v>
      </c>
      <c r="BW140" s="480" t="str">
        <f>VLOOKUP(WWWW[[#This Row],[Village  Name]],SiteDB6[[Site Name]:[Ethnic or GCA/NGCA]],11,FALSE)</f>
        <v>Muslim</v>
      </c>
      <c r="BX140" s="480">
        <f>VLOOKUP(WWWW[[#This Row],[Village  Name]],SiteDB6[[Site Name]:[Lat]],12,FALSE)</f>
        <v>20.15736008</v>
      </c>
      <c r="BY140" s="480">
        <f>VLOOKUP(WWWW[[#This Row],[Village  Name]],SiteDB6[[Site Name]:[Long]],13,FALSE)</f>
        <v>92.838653559999997</v>
      </c>
      <c r="BZ140" s="480">
        <f>VLOOKUP(WWWW[[#This Row],[Village  Name]],SiteDB6[[Site Name]:[Pcode]],3,FALSE)</f>
        <v>196211</v>
      </c>
      <c r="CA140" s="480" t="str">
        <f t="shared" si="5"/>
        <v>Covered</v>
      </c>
      <c r="CB140" s="505"/>
    </row>
    <row r="141" spans="1:96">
      <c r="A141" s="774" t="s">
        <v>3150</v>
      </c>
      <c r="B141" s="774" t="s">
        <v>2283</v>
      </c>
      <c r="C141" s="415" t="s">
        <v>2283</v>
      </c>
      <c r="D141" s="415" t="s">
        <v>39</v>
      </c>
      <c r="E141" s="415" t="s">
        <v>2648</v>
      </c>
      <c r="F141" s="415" t="s">
        <v>295</v>
      </c>
      <c r="G141" s="644" t="str">
        <f>VLOOKUP(WWWW[[#This Row],[Village  Name]],SiteDB6[[Site Name]:[Location Type]],8,FALSE)</f>
        <v>Village</v>
      </c>
      <c r="H141" s="415" t="s">
        <v>417</v>
      </c>
      <c r="I141" s="524">
        <v>427</v>
      </c>
      <c r="J141" s="524">
        <v>2427</v>
      </c>
      <c r="K141" s="418">
        <v>43009</v>
      </c>
      <c r="L141" s="55">
        <v>44104</v>
      </c>
      <c r="M141" s="524"/>
      <c r="N141" s="524">
        <v>0</v>
      </c>
      <c r="O141" s="524"/>
      <c r="P141" s="524">
        <v>18</v>
      </c>
      <c r="Q141" s="524"/>
      <c r="R141" s="524"/>
      <c r="S141" s="524"/>
      <c r="T141" s="524"/>
      <c r="U141" s="551"/>
      <c r="V141" s="524">
        <v>35</v>
      </c>
      <c r="W141" s="524"/>
      <c r="X141" s="524"/>
      <c r="Y141" s="524"/>
      <c r="Z141" s="524"/>
      <c r="AA141" s="524"/>
      <c r="AB141" s="524"/>
      <c r="AC141" s="551"/>
      <c r="AD141" s="524">
        <v>122</v>
      </c>
      <c r="AE141" s="524">
        <v>287</v>
      </c>
      <c r="AF141" s="524">
        <v>591</v>
      </c>
      <c r="AG141" s="524">
        <v>566</v>
      </c>
      <c r="AH141" s="524"/>
      <c r="AI141" s="524"/>
      <c r="AJ141" s="524"/>
      <c r="AK141" s="524"/>
      <c r="AL141" s="524">
        <v>423</v>
      </c>
      <c r="AM141" s="524"/>
      <c r="AN141" s="551"/>
      <c r="AO141" s="477">
        <v>0.92</v>
      </c>
      <c r="AP141" s="477"/>
      <c r="AQ141" s="524"/>
      <c r="AR141" s="524"/>
      <c r="AS141" s="524"/>
      <c r="AT141"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41" s="483">
        <f>WWWW[[#This Row],[%Equitable and continuous access to sufficient quantity of safe drinking water]]*WWWW[[#This Row],[Total PoP ]]</f>
        <v>2427</v>
      </c>
      <c r="AV141"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41" s="483">
        <f>WWWW[[#This Row],[% Access to unimproved water points]]*WWWW[[#This Row],[Total PoP ]]</f>
        <v>0</v>
      </c>
      <c r="AX141"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41"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2427</v>
      </c>
      <c r="AZ141" s="483">
        <f>WWWW[[#This Row],[HRP1]]/250</f>
        <v>9.7080000000000002</v>
      </c>
      <c r="BA141" s="476">
        <f>1-WWWW[[#This Row],[% Equitable and continuous access to sufficient quantity of domestic water]]</f>
        <v>0</v>
      </c>
      <c r="BB141" s="483">
        <f>WWWW[[#This Row],[%equitable and continuous access to sufficient quantity of safe drinking and domestic water''s GAP]]*WWWW[[#This Row],[Total PoP ]]</f>
        <v>0</v>
      </c>
      <c r="BC141" s="478">
        <f>IF(WWWW[[#This Row],[Total required water points]]-WWWW[[#This Row],['#Water points coverage]]&lt;0,0,WWWW[[#This Row],[Total required water points]]-WWWW[[#This Row],['#Water points coverage]])</f>
        <v>0.29199999999999982</v>
      </c>
      <c r="BD141" s="478">
        <f>ROUND(IF(WWWW[[#This Row],[Total PoP ]]&lt;250,1,WWWW[[#This Row],[Total PoP ]]/250),0)</f>
        <v>10</v>
      </c>
      <c r="BE14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8.6526576019777507E-2</v>
      </c>
      <c r="BF141" s="483">
        <f>WWWW[[#This Row],[% people access to functioning Latrine]]*WWWW[[#This Row],[Total PoP ]]</f>
        <v>210</v>
      </c>
      <c r="BG141" s="478">
        <f>WWWW[[#This Row],['#_of_Functioning_latrines_in_school]]*50</f>
        <v>0</v>
      </c>
      <c r="BH141" s="478">
        <f>ROUND((WWWW[[#This Row],[Total PoP ]]/6),0)</f>
        <v>405</v>
      </c>
      <c r="BI141" s="478">
        <f>IF(WWWW[[#This Row],[Total required Latrines]]-(WWWW[[#This Row],['#_of_sanitary_fly-proof_HH_latrines]])&lt;0,0,WWWW[[#This Row],[Total required Latrines]]-(WWWW[[#This Row],['#_of_sanitary_fly-proof_HH_latrines]]))</f>
        <v>370</v>
      </c>
      <c r="BJ141" s="479">
        <f>1-WWWW[[#This Row],[% people access to functioning Latrine]]</f>
        <v>0.91347342398022247</v>
      </c>
      <c r="BK141"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1566</v>
      </c>
      <c r="BL141" s="483">
        <f>IF(WWWW[[#This Row],['#_of_functional_handwashing_facilities_at_HH_level]]*6&gt;WWWW[[#This Row],[Total PoP ]],WWWW[[#This Row],[Total PoP ]],WWWW[[#This Row],['#_of_functional_handwashing_facilities_at_HH_level]]*6)</f>
        <v>0</v>
      </c>
      <c r="BM141" s="478">
        <f>IF(WWWW[[#This Row],['# people reached by regular dedicated hygiene promotion]]&gt;WWWW[[#This Row],['# People received regular supply of hygiene items]],WWWW[[#This Row],['# people reached by regular dedicated hygiene promotion]],WWWW[[#This Row],['# People received regular supply of hygiene items]])</f>
        <v>2427</v>
      </c>
      <c r="BN141" s="476">
        <f>IF(WWWW[[#This Row],[HRP3]]/WWWW[[#This Row],[Total PoP ]]&gt;100%,100%,WWWW[[#This Row],[HRP3]]/WWWW[[#This Row],[Total PoP ]])</f>
        <v>1</v>
      </c>
      <c r="BO141" s="479">
        <f>1-WWWW[[#This Row],[Hygiene Coverage%]]</f>
        <v>0</v>
      </c>
      <c r="BP141" s="477">
        <f>WWWW[[#This Row],['# people reached by regular dedicated hygiene promotion]]/WWWW[[#This Row],[Total PoP ]]</f>
        <v>0.64524103831891222</v>
      </c>
      <c r="BQ14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2427</v>
      </c>
      <c r="BR141" s="478">
        <f>WWWW[[#This Row],['#_of_affected_women_and_girls_receiving_a_sufficient_quantity_of_sanitary_pads]]</f>
        <v>0</v>
      </c>
      <c r="BS141" s="524">
        <f>IF(WWWW[[#This Row],['# People with access to soap]]&gt;WWWW[[#This Row],['# People with access to Sanity Pads]],WWWW[[#This Row],['# People with access to soap]],WWWW[[#This Row],['# People with access to Sanity Pads]])</f>
        <v>2427</v>
      </c>
      <c r="BT141" s="483" t="str">
        <f>IF(OR(WWWW[[#This Row],['#of students in school]]="",WWWW[[#This Row],['#of students in school]]=0),"No","Yes")</f>
        <v>No</v>
      </c>
      <c r="BU141" s="480" t="str">
        <f>VLOOKUP(WWWW[[#This Row],[Village  Name]],SiteDB6[[Site Name]:[Location Type 1]],9,FALSE)</f>
        <v>Village</v>
      </c>
      <c r="BV141" s="480" t="str">
        <f>VLOOKUP(WWWW[[#This Row],[Village  Name]],SiteDB6[[Site Name]:[Type of Accommodation]],10,FALSE)</f>
        <v>Village</v>
      </c>
      <c r="BW141" s="480" t="str">
        <f>VLOOKUP(WWWW[[#This Row],[Village  Name]],SiteDB6[[Site Name]:[Ethnic or GCA/NGCA]],11,FALSE)</f>
        <v>Muslim</v>
      </c>
      <c r="BX141" s="480">
        <f>VLOOKUP(WWWW[[#This Row],[Village  Name]],SiteDB6[[Site Name]:[Lat]],12,FALSE)</f>
        <v>20.147863431600001</v>
      </c>
      <c r="BY141" s="480">
        <f>VLOOKUP(WWWW[[#This Row],[Village  Name]],SiteDB6[[Site Name]:[Long]],13,FALSE)</f>
        <v>92.846768572000002</v>
      </c>
      <c r="BZ141" s="480">
        <f>VLOOKUP(WWWW[[#This Row],[Village  Name]],SiteDB6[[Site Name]:[Pcode]],3,FALSE)</f>
        <v>196209</v>
      </c>
      <c r="CA141" s="480" t="str">
        <f t="shared" si="5"/>
        <v>Covered</v>
      </c>
      <c r="CB141" s="505"/>
    </row>
    <row r="142" spans="1:96">
      <c r="A142" s="774" t="s">
        <v>3150</v>
      </c>
      <c r="B142" s="774" t="s">
        <v>314</v>
      </c>
      <c r="C142" s="415" t="s">
        <v>314</v>
      </c>
      <c r="D142" s="415" t="s">
        <v>327</v>
      </c>
      <c r="E142" s="415" t="s">
        <v>2648</v>
      </c>
      <c r="F142" s="415" t="s">
        <v>295</v>
      </c>
      <c r="G142" s="644" t="str">
        <f>VLOOKUP(WWWW[[#This Row],[Village  Name]],SiteDB6[[Site Name]:[Location Type]],8,FALSE)</f>
        <v>Village</v>
      </c>
      <c r="H142" s="415" t="s">
        <v>2226</v>
      </c>
      <c r="I142" s="524">
        <v>452</v>
      </c>
      <c r="J142" s="524">
        <v>1901</v>
      </c>
      <c r="K142" s="418">
        <v>42736</v>
      </c>
      <c r="L142" s="55">
        <v>44551</v>
      </c>
      <c r="M142" s="524"/>
      <c r="N142" s="524"/>
      <c r="O142" s="524"/>
      <c r="P142" s="524"/>
      <c r="Q142" s="524"/>
      <c r="R142" s="524"/>
      <c r="S142" s="524"/>
      <c r="T142" s="524"/>
      <c r="U142" s="551"/>
      <c r="V142" s="524"/>
      <c r="W142" s="524" t="s">
        <v>130</v>
      </c>
      <c r="X142" s="524"/>
      <c r="Y142" s="524"/>
      <c r="Z142" s="524"/>
      <c r="AA142" s="524"/>
      <c r="AB142" s="524"/>
      <c r="AC142" s="551"/>
      <c r="AD142" s="524"/>
      <c r="AE142" s="524"/>
      <c r="AF142" s="524"/>
      <c r="AG142" s="524"/>
      <c r="AH142" s="524"/>
      <c r="AI142" s="524"/>
      <c r="AJ142" s="524"/>
      <c r="AK142" s="524"/>
      <c r="AL142" s="524"/>
      <c r="AM142" s="524"/>
      <c r="AN142" s="551"/>
      <c r="AO142" s="477"/>
      <c r="AP142" s="477"/>
      <c r="AQ142" s="524"/>
      <c r="AR142" s="524"/>
      <c r="AS142" s="524"/>
      <c r="AT14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42" s="483">
        <f>WWWW[[#This Row],[%Equitable and continuous access to sufficient quantity of safe drinking water]]*WWWW[[#This Row],[Total PoP ]]</f>
        <v>0</v>
      </c>
      <c r="AV14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42" s="483">
        <f>WWWW[[#This Row],[% Access to unimproved water points]]*WWWW[[#This Row],[Total PoP ]]</f>
        <v>0</v>
      </c>
      <c r="AX14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4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42" s="483">
        <f>WWWW[[#This Row],[HRP1]]/250</f>
        <v>0</v>
      </c>
      <c r="BA142" s="476">
        <f>1-WWWW[[#This Row],[% Equitable and continuous access to sufficient quantity of domestic water]]</f>
        <v>1</v>
      </c>
      <c r="BB142" s="483">
        <f>WWWW[[#This Row],[%equitable and continuous access to sufficient quantity of safe drinking and domestic water''s GAP]]*WWWW[[#This Row],[Total PoP ]]</f>
        <v>1901</v>
      </c>
      <c r="BC142" s="478">
        <f>IF(WWWW[[#This Row],[Total required water points]]-WWWW[[#This Row],['#Water points coverage]]&lt;0,0,WWWW[[#This Row],[Total required water points]]-WWWW[[#This Row],['#Water points coverage]])</f>
        <v>8</v>
      </c>
      <c r="BD142" s="478">
        <f>ROUND(IF(WWWW[[#This Row],[Total PoP ]]&lt;250,1,WWWW[[#This Row],[Total PoP ]]/250),0)</f>
        <v>8</v>
      </c>
      <c r="BE14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42" s="483">
        <f>WWWW[[#This Row],[% people access to functioning Latrine]]*WWWW[[#This Row],[Total PoP ]]</f>
        <v>0</v>
      </c>
      <c r="BG142" s="478">
        <f>WWWW[[#This Row],['#_of_Functioning_latrines_in_school]]*50</f>
        <v>0</v>
      </c>
      <c r="BH142" s="478">
        <f>ROUND((WWWW[[#This Row],[Total PoP ]]/6),0)</f>
        <v>317</v>
      </c>
      <c r="BI142" s="478">
        <f>IF(WWWW[[#This Row],[Total required Latrines]]-(WWWW[[#This Row],['#_of_sanitary_fly-proof_HH_latrines]])&lt;0,0,WWWW[[#This Row],[Total required Latrines]]-(WWWW[[#This Row],['#_of_sanitary_fly-proof_HH_latrines]]))</f>
        <v>317</v>
      </c>
      <c r="BJ142" s="479">
        <f>1-WWWW[[#This Row],[% people access to functioning Latrine]]</f>
        <v>1</v>
      </c>
      <c r="BK14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42" s="483">
        <f>IF(WWWW[[#This Row],['#_of_functional_handwashing_facilities_at_HH_level]]*6&gt;WWWW[[#This Row],[Total PoP ]],WWWW[[#This Row],[Total PoP ]],WWWW[[#This Row],['#_of_functional_handwashing_facilities_at_HH_level]]*6)</f>
        <v>0</v>
      </c>
      <c r="BM142" s="478">
        <f>IF(WWWW[[#This Row],['# people reached by regular dedicated hygiene promotion]]&gt;WWWW[[#This Row],['# People received regular supply of hygiene items]],WWWW[[#This Row],['# people reached by regular dedicated hygiene promotion]],WWWW[[#This Row],['# People received regular supply of hygiene items]])</f>
        <v>0</v>
      </c>
      <c r="BN142" s="476">
        <f>IF(WWWW[[#This Row],[HRP3]]/WWWW[[#This Row],[Total PoP ]]&gt;100%,100%,WWWW[[#This Row],[HRP3]]/WWWW[[#This Row],[Total PoP ]])</f>
        <v>0</v>
      </c>
      <c r="BO142" s="479">
        <f>1-WWWW[[#This Row],[Hygiene Coverage%]]</f>
        <v>1</v>
      </c>
      <c r="BP142" s="477">
        <f>WWWW[[#This Row],['# people reached by regular dedicated hygiene promotion]]/WWWW[[#This Row],[Total PoP ]]</f>
        <v>0</v>
      </c>
      <c r="BQ14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42" s="478">
        <f>WWWW[[#This Row],['#_of_affected_women_and_girls_receiving_a_sufficient_quantity_of_sanitary_pads]]</f>
        <v>0</v>
      </c>
      <c r="BS142" s="524">
        <f>IF(WWWW[[#This Row],['# People with access to soap]]&gt;WWWW[[#This Row],['# People with access to Sanity Pads]],WWWW[[#This Row],['# People with access to soap]],WWWW[[#This Row],['# People with access to Sanity Pads]])</f>
        <v>0</v>
      </c>
      <c r="BT142" s="483" t="str">
        <f>IF(OR(WWWW[[#This Row],['#of students in school]]="",WWWW[[#This Row],['#of students in school]]=0),"No","Yes")</f>
        <v>No</v>
      </c>
      <c r="BU142" s="480" t="str">
        <f>VLOOKUP(WWWW[[#This Row],[Village  Name]],SiteDB6[[Site Name]:[Location Type 1]],9,FALSE)</f>
        <v>Village</v>
      </c>
      <c r="BV142" s="480" t="str">
        <f>VLOOKUP(WWWW[[#This Row],[Village  Name]],SiteDB6[[Site Name]:[Type of Accommodation]],10,FALSE)</f>
        <v>Village</v>
      </c>
      <c r="BW142" s="480">
        <f>VLOOKUP(WWWW[[#This Row],[Village  Name]],SiteDB6[[Site Name]:[Ethnic or GCA/NGCA]],11,FALSE)</f>
        <v>0</v>
      </c>
      <c r="BX142" s="480">
        <f>VLOOKUP(WWWW[[#This Row],[Village  Name]],SiteDB6[[Site Name]:[Lat]],12,FALSE)</f>
        <v>20.760820389999999</v>
      </c>
      <c r="BY142" s="480">
        <f>VLOOKUP(WWWW[[#This Row],[Village  Name]],SiteDB6[[Site Name]:[Long]],13,FALSE)</f>
        <v>92.960083010000005</v>
      </c>
      <c r="BZ142" s="480">
        <f>VLOOKUP(WWWW[[#This Row],[Village  Name]],SiteDB6[[Site Name]:[Pcode]],3,FALSE)</f>
        <v>196893</v>
      </c>
      <c r="CA142" s="480" t="str">
        <f t="shared" si="5"/>
        <v>Covered</v>
      </c>
      <c r="CB142" s="505"/>
    </row>
    <row r="143" spans="1:96">
      <c r="A143" s="774" t="s">
        <v>3150</v>
      </c>
      <c r="B143" s="774" t="s">
        <v>2282</v>
      </c>
      <c r="C143" s="415" t="s">
        <v>2282</v>
      </c>
      <c r="D143" s="415" t="s">
        <v>39</v>
      </c>
      <c r="E143" s="415" t="s">
        <v>2648</v>
      </c>
      <c r="F143" s="415" t="s">
        <v>295</v>
      </c>
      <c r="G143" s="644" t="str">
        <f>VLOOKUP(WWWW[[#This Row],[Village  Name]],SiteDB6[[Site Name]:[Location Type]],8,FALSE)</f>
        <v>Village</v>
      </c>
      <c r="H143" s="415" t="s">
        <v>434</v>
      </c>
      <c r="I143" s="524">
        <v>17</v>
      </c>
      <c r="J143" s="524">
        <v>74</v>
      </c>
      <c r="K143" s="418">
        <v>43009</v>
      </c>
      <c r="L143" s="55">
        <v>44104</v>
      </c>
      <c r="M143" s="524"/>
      <c r="N143" s="524">
        <v>0</v>
      </c>
      <c r="O143" s="524"/>
      <c r="P143" s="524"/>
      <c r="Q143" s="524"/>
      <c r="R143" s="524"/>
      <c r="S143" s="524"/>
      <c r="T143" s="524"/>
      <c r="U143" s="551"/>
      <c r="V143" s="524"/>
      <c r="W143" s="524"/>
      <c r="X143" s="524"/>
      <c r="Y143" s="524"/>
      <c r="Z143" s="524"/>
      <c r="AA143" s="524"/>
      <c r="AB143" s="524"/>
      <c r="AC143" s="551"/>
      <c r="AD143" s="524"/>
      <c r="AE143" s="524"/>
      <c r="AF143" s="524"/>
      <c r="AG143" s="524"/>
      <c r="AH143" s="524"/>
      <c r="AI143" s="524"/>
      <c r="AJ143" s="524"/>
      <c r="AK143" s="524"/>
      <c r="AL143" s="524"/>
      <c r="AM143" s="524"/>
      <c r="AN143" s="551"/>
      <c r="AO143" s="477"/>
      <c r="AP143" s="477"/>
      <c r="AQ143" s="524"/>
      <c r="AR143" s="524"/>
      <c r="AS143" s="524"/>
      <c r="AT143"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43" s="483">
        <f>WWWW[[#This Row],[%Equitable and continuous access to sufficient quantity of safe drinking water]]*WWWW[[#This Row],[Total PoP ]]</f>
        <v>0</v>
      </c>
      <c r="AV143"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43" s="483">
        <f>WWWW[[#This Row],[% Access to unimproved water points]]*WWWW[[#This Row],[Total PoP ]]</f>
        <v>0</v>
      </c>
      <c r="AX143"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43"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43" s="483">
        <f>WWWW[[#This Row],[HRP1]]/250</f>
        <v>0</v>
      </c>
      <c r="BA143" s="476">
        <f>1-WWWW[[#This Row],[% Equitable and continuous access to sufficient quantity of domestic water]]</f>
        <v>1</v>
      </c>
      <c r="BB143" s="483">
        <f>WWWW[[#This Row],[%equitable and continuous access to sufficient quantity of safe drinking and domestic water''s GAP]]*WWWW[[#This Row],[Total PoP ]]</f>
        <v>74</v>
      </c>
      <c r="BC143" s="478">
        <f>IF(WWWW[[#This Row],[Total required water points]]-WWWW[[#This Row],['#Water points coverage]]&lt;0,0,WWWW[[#This Row],[Total required water points]]-WWWW[[#This Row],['#Water points coverage]])</f>
        <v>1</v>
      </c>
      <c r="BD143" s="478">
        <f>ROUND(IF(WWWW[[#This Row],[Total PoP ]]&lt;250,1,WWWW[[#This Row],[Total PoP ]]/250),0)</f>
        <v>1</v>
      </c>
      <c r="BE14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43" s="483">
        <f>WWWW[[#This Row],[% people access to functioning Latrine]]*WWWW[[#This Row],[Total PoP ]]</f>
        <v>0</v>
      </c>
      <c r="BG143" s="478">
        <f>WWWW[[#This Row],['#_of_Functioning_latrines_in_school]]*50</f>
        <v>0</v>
      </c>
      <c r="BH143" s="478">
        <f>ROUND((WWWW[[#This Row],[Total PoP ]]/6),0)</f>
        <v>12</v>
      </c>
      <c r="BI143" s="478">
        <f>IF(WWWW[[#This Row],[Total required Latrines]]-(WWWW[[#This Row],['#_of_sanitary_fly-proof_HH_latrines]])&lt;0,0,WWWW[[#This Row],[Total required Latrines]]-(WWWW[[#This Row],['#_of_sanitary_fly-proof_HH_latrines]]))</f>
        <v>12</v>
      </c>
      <c r="BJ143" s="479">
        <f>1-WWWW[[#This Row],[% people access to functioning Latrine]]</f>
        <v>1</v>
      </c>
      <c r="BK143"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43" s="483">
        <f>IF(WWWW[[#This Row],['#_of_functional_handwashing_facilities_at_HH_level]]*6&gt;WWWW[[#This Row],[Total PoP ]],WWWW[[#This Row],[Total PoP ]],WWWW[[#This Row],['#_of_functional_handwashing_facilities_at_HH_level]]*6)</f>
        <v>0</v>
      </c>
      <c r="BM143" s="478">
        <f>IF(WWWW[[#This Row],['# people reached by regular dedicated hygiene promotion]]&gt;WWWW[[#This Row],['# People received regular supply of hygiene items]],WWWW[[#This Row],['# people reached by regular dedicated hygiene promotion]],WWWW[[#This Row],['# People received regular supply of hygiene items]])</f>
        <v>0</v>
      </c>
      <c r="BN143" s="476">
        <f>IF(WWWW[[#This Row],[HRP3]]/WWWW[[#This Row],[Total PoP ]]&gt;100%,100%,WWWW[[#This Row],[HRP3]]/WWWW[[#This Row],[Total PoP ]])</f>
        <v>0</v>
      </c>
      <c r="BO143" s="479">
        <f>1-WWWW[[#This Row],[Hygiene Coverage%]]</f>
        <v>1</v>
      </c>
      <c r="BP143" s="477">
        <f>WWWW[[#This Row],['# people reached by regular dedicated hygiene promotion]]/WWWW[[#This Row],[Total PoP ]]</f>
        <v>0</v>
      </c>
      <c r="BQ14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43" s="478">
        <f>WWWW[[#This Row],['#_of_affected_women_and_girls_receiving_a_sufficient_quantity_of_sanitary_pads]]</f>
        <v>0</v>
      </c>
      <c r="BS143" s="524">
        <f>IF(WWWW[[#This Row],['# People with access to soap]]&gt;WWWW[[#This Row],['# People with access to Sanity Pads]],WWWW[[#This Row],['# People with access to soap]],WWWW[[#This Row],['# People with access to Sanity Pads]])</f>
        <v>0</v>
      </c>
      <c r="BT143" s="483" t="str">
        <f>IF(OR(WWWW[[#This Row],['#of students in school]]="",WWWW[[#This Row],['#of students in school]]=0),"No","Yes")</f>
        <v>No</v>
      </c>
      <c r="BU143" s="480" t="str">
        <f>VLOOKUP(WWWW[[#This Row],[Village  Name]],SiteDB6[[Site Name]:[Location Type 1]],9,FALSE)</f>
        <v>Village</v>
      </c>
      <c r="BV143" s="480" t="str">
        <f>VLOOKUP(WWWW[[#This Row],[Village  Name]],SiteDB6[[Site Name]:[Type of Accommodation]],10,FALSE)</f>
        <v>Village</v>
      </c>
      <c r="BW143" s="480" t="str">
        <f>VLOOKUP(WWWW[[#This Row],[Village  Name]],SiteDB6[[Site Name]:[Ethnic or GCA/NGCA]],11,FALSE)</f>
        <v>Muslim</v>
      </c>
      <c r="BX143" s="480">
        <f>VLOOKUP(WWWW[[#This Row],[Village  Name]],SiteDB6[[Site Name]:[Lat]],12,FALSE)</f>
        <v>20.193460460000001</v>
      </c>
      <c r="BY143" s="480">
        <f>VLOOKUP(WWWW[[#This Row],[Village  Name]],SiteDB6[[Site Name]:[Long]],13,FALSE)</f>
        <v>92.867782590000004</v>
      </c>
      <c r="BZ143" s="480">
        <f>VLOOKUP(WWWW[[#This Row],[Village  Name]],SiteDB6[[Site Name]:[Pcode]],3,FALSE)</f>
        <v>196147</v>
      </c>
      <c r="CA143" s="480" t="str">
        <f t="shared" si="5"/>
        <v>Covered</v>
      </c>
      <c r="CB143" s="505"/>
    </row>
    <row r="144" spans="1:96">
      <c r="A144" s="774" t="s">
        <v>3150</v>
      </c>
      <c r="B144" s="774" t="s">
        <v>266</v>
      </c>
      <c r="C144" s="415" t="s">
        <v>266</v>
      </c>
      <c r="D144" s="415" t="s">
        <v>3151</v>
      </c>
      <c r="E144" s="415" t="s">
        <v>2648</v>
      </c>
      <c r="F144" s="415" t="s">
        <v>402</v>
      </c>
      <c r="G144" s="644" t="str">
        <f>VLOOKUP(WWWW[[#This Row],[Village  Name]],SiteDB6[[Site Name]:[Location Type]],8,FALSE)</f>
        <v>Village</v>
      </c>
      <c r="H144" s="415" t="s">
        <v>411</v>
      </c>
      <c r="I144" s="524">
        <v>400</v>
      </c>
      <c r="J144" s="524">
        <v>2050</v>
      </c>
      <c r="K144" s="418">
        <v>43525</v>
      </c>
      <c r="L144" s="55" t="s">
        <v>3156</v>
      </c>
      <c r="M144" s="524"/>
      <c r="N144" s="524">
        <v>62</v>
      </c>
      <c r="O144" s="524">
        <v>0</v>
      </c>
      <c r="P144" s="524">
        <v>0</v>
      </c>
      <c r="Q144" s="524">
        <v>1</v>
      </c>
      <c r="R144" s="524"/>
      <c r="S144" s="524"/>
      <c r="T144" s="524"/>
      <c r="U144" s="551"/>
      <c r="V144" s="524"/>
      <c r="W144" s="524" t="s">
        <v>130</v>
      </c>
      <c r="X144" s="524"/>
      <c r="Y144" s="524"/>
      <c r="Z144" s="524"/>
      <c r="AA144" s="524"/>
      <c r="AB144" s="524"/>
      <c r="AC144" s="551" t="s">
        <v>3161</v>
      </c>
      <c r="AD144" s="524">
        <v>417</v>
      </c>
      <c r="AE144" s="524">
        <v>463</v>
      </c>
      <c r="AF144" s="524">
        <v>614</v>
      </c>
      <c r="AG144" s="524">
        <v>556</v>
      </c>
      <c r="AH144" s="524">
        <v>0</v>
      </c>
      <c r="AI144" s="524">
        <v>0</v>
      </c>
      <c r="AJ144" s="524">
        <v>0</v>
      </c>
      <c r="AK144" s="524">
        <v>0</v>
      </c>
      <c r="AL144" s="524">
        <v>2050</v>
      </c>
      <c r="AM144" s="524">
        <v>1019</v>
      </c>
      <c r="AN144" s="551" t="s">
        <v>3162</v>
      </c>
      <c r="AO144" s="477" t="s">
        <v>130</v>
      </c>
      <c r="AP144" s="477" t="s">
        <v>130</v>
      </c>
      <c r="AQ144" s="524">
        <v>0</v>
      </c>
      <c r="AR144" s="524"/>
      <c r="AS144" s="524">
        <v>0</v>
      </c>
      <c r="AT14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44" s="483">
        <f>WWWW[[#This Row],[%Equitable and continuous access to sufficient quantity of safe drinking water]]*WWWW[[#This Row],[Total PoP ]]</f>
        <v>0</v>
      </c>
      <c r="AV14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44" s="483">
        <f>WWWW[[#This Row],[% Access to unimproved water points]]*WWWW[[#This Row],[Total PoP ]]</f>
        <v>2050</v>
      </c>
      <c r="AX14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4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2050</v>
      </c>
      <c r="AZ144" s="483">
        <f>WWWW[[#This Row],[HRP1]]/250</f>
        <v>8.1999999999999993</v>
      </c>
      <c r="BA144" s="476">
        <f>1-WWWW[[#This Row],[% Equitable and continuous access to sufficient quantity of domestic water]]</f>
        <v>0</v>
      </c>
      <c r="BB144" s="483">
        <f>WWWW[[#This Row],[%equitable and continuous access to sufficient quantity of safe drinking and domestic water''s GAP]]*WWWW[[#This Row],[Total PoP ]]</f>
        <v>0</v>
      </c>
      <c r="BC144" s="478">
        <f>IF(WWWW[[#This Row],[Total required water points]]-WWWW[[#This Row],['#Water points coverage]]&lt;0,0,WWWW[[#This Row],[Total required water points]]-WWWW[[#This Row],['#Water points coverage]])</f>
        <v>0</v>
      </c>
      <c r="BD144" s="478">
        <f>ROUND(IF(WWWW[[#This Row],[Total PoP ]]&lt;250,1,WWWW[[#This Row],[Total PoP ]]/250),0)</f>
        <v>8</v>
      </c>
      <c r="BE14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44" s="483">
        <f>WWWW[[#This Row],[% people access to functioning Latrine]]*WWWW[[#This Row],[Total PoP ]]</f>
        <v>0</v>
      </c>
      <c r="BG144" s="478">
        <f>WWWW[[#This Row],['#_of_Functioning_latrines_in_school]]*50</f>
        <v>0</v>
      </c>
      <c r="BH144" s="478">
        <f>ROUND((WWWW[[#This Row],[Total PoP ]]/6),0)</f>
        <v>342</v>
      </c>
      <c r="BI144" s="478">
        <f>IF(WWWW[[#This Row],[Total required Latrines]]-(WWWW[[#This Row],['#_of_sanitary_fly-proof_HH_latrines]])&lt;0,0,WWWW[[#This Row],[Total required Latrines]]-(WWWW[[#This Row],['#_of_sanitary_fly-proof_HH_latrines]]))</f>
        <v>342</v>
      </c>
      <c r="BJ144" s="479">
        <f>1-WWWW[[#This Row],[% people access to functioning Latrine]]</f>
        <v>1</v>
      </c>
      <c r="BK14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2050</v>
      </c>
      <c r="BL144" s="483">
        <f>IF(WWWW[[#This Row],['#_of_functional_handwashing_facilities_at_HH_level]]*6&gt;WWWW[[#This Row],[Total PoP ]],WWWW[[#This Row],[Total PoP ]],WWWW[[#This Row],['#_of_functional_handwashing_facilities_at_HH_level]]*6)</f>
        <v>0</v>
      </c>
      <c r="BM144" s="478">
        <f>IF(WWWW[[#This Row],['# people reached by regular dedicated hygiene promotion]]&gt;WWWW[[#This Row],['# People received regular supply of hygiene items]],WWWW[[#This Row],['# people reached by regular dedicated hygiene promotion]],WWWW[[#This Row],['# People received regular supply of hygiene items]])</f>
        <v>2050</v>
      </c>
      <c r="BN144" s="476">
        <f>IF(WWWW[[#This Row],[HRP3]]/WWWW[[#This Row],[Total PoP ]]&gt;100%,100%,WWWW[[#This Row],[HRP3]]/WWWW[[#This Row],[Total PoP ]])</f>
        <v>1</v>
      </c>
      <c r="BO144" s="479">
        <f>1-WWWW[[#This Row],[Hygiene Coverage%]]</f>
        <v>0</v>
      </c>
      <c r="BP144" s="477">
        <f>WWWW[[#This Row],['# people reached by regular dedicated hygiene promotion]]/WWWW[[#This Row],[Total PoP ]]</f>
        <v>1</v>
      </c>
      <c r="BQ14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2050</v>
      </c>
      <c r="BR144" s="478">
        <f>WWWW[[#This Row],['#_of_affected_women_and_girls_receiving_a_sufficient_quantity_of_sanitary_pads]]</f>
        <v>1019</v>
      </c>
      <c r="BS144" s="524">
        <f>IF(WWWW[[#This Row],['# People with access to soap]]&gt;WWWW[[#This Row],['# People with access to Sanity Pads]],WWWW[[#This Row],['# People with access to soap]],WWWW[[#This Row],['# People with access to Sanity Pads]])</f>
        <v>2050</v>
      </c>
      <c r="BT144" s="483" t="str">
        <f>IF(OR(WWWW[[#This Row],['#of students in school]]="",WWWW[[#This Row],['#of students in school]]=0),"No","Yes")</f>
        <v>No</v>
      </c>
      <c r="BU144" s="480" t="str">
        <f>VLOOKUP(WWWW[[#This Row],[Village  Name]],SiteDB6[[Site Name]:[Location Type 1]],9,FALSE)</f>
        <v>Village</v>
      </c>
      <c r="BV144" s="480" t="str">
        <f>VLOOKUP(WWWW[[#This Row],[Village  Name]],SiteDB6[[Site Name]:[Type of Accommodation]],10,FALSE)</f>
        <v>Village</v>
      </c>
      <c r="BW144" s="480" t="str">
        <f>VLOOKUP(WWWW[[#This Row],[Village  Name]],SiteDB6[[Site Name]:[Ethnic or GCA/NGCA]],11,FALSE)</f>
        <v>Muslim</v>
      </c>
      <c r="BX144" s="480">
        <f>VLOOKUP(WWWW[[#This Row],[Village  Name]],SiteDB6[[Site Name]:[Lat]],12,FALSE)</f>
        <v>20.099340439999999</v>
      </c>
      <c r="BY144" s="480">
        <f>VLOOKUP(WWWW[[#This Row],[Village  Name]],SiteDB6[[Site Name]:[Long]],13,FALSE)</f>
        <v>92.989143369999994</v>
      </c>
      <c r="BZ144" s="480">
        <f>VLOOKUP(WWWW[[#This Row],[Village  Name]],SiteDB6[[Site Name]:[Pcode]],3,FALSE)</f>
        <v>197558</v>
      </c>
      <c r="CA144" s="480" t="str">
        <f t="shared" ref="CA144:CA145" si="6">IF(C144="none","Notcovered","Covered")</f>
        <v>Covered</v>
      </c>
      <c r="CB144" s="505"/>
    </row>
    <row r="145" spans="1:80">
      <c r="A145" s="774" t="s">
        <v>3150</v>
      </c>
      <c r="B145" s="774" t="s">
        <v>287</v>
      </c>
      <c r="C145" s="415" t="s">
        <v>287</v>
      </c>
      <c r="D145" s="415" t="s">
        <v>327</v>
      </c>
      <c r="E145" s="415" t="s">
        <v>2648</v>
      </c>
      <c r="F145" s="415" t="s">
        <v>402</v>
      </c>
      <c r="G145" s="644" t="str">
        <f>VLOOKUP(WWWW[[#This Row],[Village  Name]],SiteDB6[[Site Name]:[Location Type]],8,FALSE)</f>
        <v>Village</v>
      </c>
      <c r="H145" s="415" t="s">
        <v>2536</v>
      </c>
      <c r="I145" s="524">
        <v>36</v>
      </c>
      <c r="J145" s="524">
        <v>172</v>
      </c>
      <c r="K145" s="418">
        <v>43359</v>
      </c>
      <c r="L145" s="55">
        <v>44196</v>
      </c>
      <c r="M145" s="524">
        <v>52</v>
      </c>
      <c r="N145" s="524"/>
      <c r="O145" s="524"/>
      <c r="P145" s="524"/>
      <c r="Q145" s="524">
        <v>0</v>
      </c>
      <c r="R145" s="524"/>
      <c r="S145" s="524">
        <v>172</v>
      </c>
      <c r="T145" s="524">
        <v>0</v>
      </c>
      <c r="U145" s="551"/>
      <c r="V145" s="524">
        <v>0</v>
      </c>
      <c r="W145" s="524" t="s">
        <v>126</v>
      </c>
      <c r="X145" s="524">
        <v>0</v>
      </c>
      <c r="Y145" s="524">
        <v>2</v>
      </c>
      <c r="Z145" s="524"/>
      <c r="AA145" s="524"/>
      <c r="AB145" s="524"/>
      <c r="AC145" s="551"/>
      <c r="AD145" s="524"/>
      <c r="AE145" s="524"/>
      <c r="AF145" s="524"/>
      <c r="AG145" s="524"/>
      <c r="AH145" s="524"/>
      <c r="AI145" s="524"/>
      <c r="AJ145" s="524"/>
      <c r="AK145" s="524"/>
      <c r="AL145" s="524"/>
      <c r="AM145" s="524"/>
      <c r="AN145" s="551"/>
      <c r="AO145" s="477"/>
      <c r="AP145" s="477"/>
      <c r="AQ145" s="524"/>
      <c r="AR145" s="524"/>
      <c r="AS145" s="524"/>
      <c r="AT14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45" s="483">
        <f>WWWW[[#This Row],[%Equitable and continuous access to sufficient quantity of safe drinking water]]*WWWW[[#This Row],[Total PoP ]]</f>
        <v>0</v>
      </c>
      <c r="AV14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45" s="483">
        <f>WWWW[[#This Row],[% Access to unimproved water points]]*WWWW[[#This Row],[Total PoP ]]</f>
        <v>172</v>
      </c>
      <c r="AX14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4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172</v>
      </c>
      <c r="AZ145" s="483">
        <f>WWWW[[#This Row],[HRP1]]/250</f>
        <v>0.68799999999999994</v>
      </c>
      <c r="BA145" s="476">
        <f>1-WWWW[[#This Row],[% Equitable and continuous access to sufficient quantity of domestic water]]</f>
        <v>0</v>
      </c>
      <c r="BB145" s="483">
        <f>WWWW[[#This Row],[%equitable and continuous access to sufficient quantity of safe drinking and domestic water''s GAP]]*WWWW[[#This Row],[Total PoP ]]</f>
        <v>0</v>
      </c>
      <c r="BC145" s="478">
        <f>IF(WWWW[[#This Row],[Total required water points]]-WWWW[[#This Row],['#Water points coverage]]&lt;0,0,WWWW[[#This Row],[Total required water points]]-WWWW[[#This Row],['#Water points coverage]])</f>
        <v>0.31200000000000006</v>
      </c>
      <c r="BD145" s="478">
        <f>ROUND(IF(WWWW[[#This Row],[Total PoP ]]&lt;250,1,WWWW[[#This Row],[Total PoP ]]/250),0)</f>
        <v>1</v>
      </c>
      <c r="BE14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45" s="483">
        <f>WWWW[[#This Row],[% people access to functioning Latrine]]*WWWW[[#This Row],[Total PoP ]]</f>
        <v>0</v>
      </c>
      <c r="BG145" s="478">
        <f>WWWW[[#This Row],['#_of_Functioning_latrines_in_school]]*50</f>
        <v>0</v>
      </c>
      <c r="BH145" s="478">
        <f>ROUND((WWWW[[#This Row],[Total PoP ]]/6),0)</f>
        <v>29</v>
      </c>
      <c r="BI145" s="478">
        <f>IF(WWWW[[#This Row],[Total required Latrines]]-(WWWW[[#This Row],['#_of_sanitary_fly-proof_HH_latrines]])&lt;0,0,WWWW[[#This Row],[Total required Latrines]]-(WWWW[[#This Row],['#_of_sanitary_fly-proof_HH_latrines]]))</f>
        <v>29</v>
      </c>
      <c r="BJ145" s="479">
        <f>1-WWWW[[#This Row],[% people access to functioning Latrine]]</f>
        <v>1</v>
      </c>
      <c r="BK14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45" s="483">
        <f>IF(WWWW[[#This Row],['#_of_functional_handwashing_facilities_at_HH_level]]*6&gt;WWWW[[#This Row],[Total PoP ]],WWWW[[#This Row],[Total PoP ]],WWWW[[#This Row],['#_of_functional_handwashing_facilities_at_HH_level]]*6)</f>
        <v>0</v>
      </c>
      <c r="BM145" s="478">
        <f>IF(WWWW[[#This Row],['# people reached by regular dedicated hygiene promotion]]&gt;WWWW[[#This Row],['# People received regular supply of hygiene items]],WWWW[[#This Row],['# people reached by regular dedicated hygiene promotion]],WWWW[[#This Row],['# People received regular supply of hygiene items]])</f>
        <v>0</v>
      </c>
      <c r="BN145" s="476">
        <f>IF(WWWW[[#This Row],[HRP3]]/WWWW[[#This Row],[Total PoP ]]&gt;100%,100%,WWWW[[#This Row],[HRP3]]/WWWW[[#This Row],[Total PoP ]])</f>
        <v>0</v>
      </c>
      <c r="BO145" s="479">
        <f>1-WWWW[[#This Row],[Hygiene Coverage%]]</f>
        <v>1</v>
      </c>
      <c r="BP145" s="477">
        <f>WWWW[[#This Row],['# people reached by regular dedicated hygiene promotion]]/WWWW[[#This Row],[Total PoP ]]</f>
        <v>0</v>
      </c>
      <c r="BQ14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45" s="478">
        <f>WWWW[[#This Row],['#_of_affected_women_and_girls_receiving_a_sufficient_quantity_of_sanitary_pads]]</f>
        <v>0</v>
      </c>
      <c r="BS145" s="524">
        <f>IF(WWWW[[#This Row],['# People with access to soap]]&gt;WWWW[[#This Row],['# People with access to Sanity Pads]],WWWW[[#This Row],['# People with access to soap]],WWWW[[#This Row],['# People with access to Sanity Pads]])</f>
        <v>0</v>
      </c>
      <c r="BT145" s="483" t="str">
        <f>IF(OR(WWWW[[#This Row],['#of students in school]]="",WWWW[[#This Row],['#of students in school]]=0),"No","Yes")</f>
        <v>Yes</v>
      </c>
      <c r="BU145" s="480" t="str">
        <f>VLOOKUP(WWWW[[#This Row],[Village  Name]],SiteDB6[[Site Name]:[Location Type 1]],9,FALSE)</f>
        <v>Village</v>
      </c>
      <c r="BV145" s="480" t="str">
        <f>VLOOKUP(WWWW[[#This Row],[Village  Name]],SiteDB6[[Site Name]:[Type of Accommodation]],10,FALSE)</f>
        <v>Village</v>
      </c>
      <c r="BW145" s="480">
        <f>VLOOKUP(WWWW[[#This Row],[Village  Name]],SiteDB6[[Site Name]:[Ethnic or GCA/NGCA]],11,FALSE)</f>
        <v>0</v>
      </c>
      <c r="BX145" s="480">
        <f>VLOOKUP(WWWW[[#This Row],[Village  Name]],SiteDB6[[Site Name]:[Lat]],12,FALSE)</f>
        <v>20.005199432373001</v>
      </c>
      <c r="BY145" s="480">
        <f>VLOOKUP(WWWW[[#This Row],[Village  Name]],SiteDB6[[Site Name]:[Long]],13,FALSE)</f>
        <v>92.948463439941406</v>
      </c>
      <c r="BZ145" s="480">
        <f>VLOOKUP(WWWW[[#This Row],[Village  Name]],SiteDB6[[Site Name]:[Pcode]],3,FALSE)</f>
        <v>197565</v>
      </c>
      <c r="CA145" s="480" t="str">
        <f t="shared" si="6"/>
        <v>Covered</v>
      </c>
      <c r="CB145" s="505"/>
    </row>
    <row r="146" spans="1:80">
      <c r="A146" s="774" t="s">
        <v>3150</v>
      </c>
      <c r="B146" s="774" t="s">
        <v>293</v>
      </c>
      <c r="C146" s="774" t="s">
        <v>293</v>
      </c>
      <c r="D146" s="415" t="s">
        <v>3153</v>
      </c>
      <c r="E146" s="415" t="s">
        <v>2648</v>
      </c>
      <c r="F146" s="415" t="s">
        <v>295</v>
      </c>
      <c r="G146" s="644" t="str">
        <f>VLOOKUP(WWWW[[#This Row],[Village  Name]],SiteDB6[[Site Name]:[Location Type]],8,FALSE)</f>
        <v>Village</v>
      </c>
      <c r="H146" s="415" t="s">
        <v>2584</v>
      </c>
      <c r="I146" s="524">
        <v>338</v>
      </c>
      <c r="J146" s="524">
        <v>1520</v>
      </c>
      <c r="K146" s="418">
        <v>43358</v>
      </c>
      <c r="L146" s="55">
        <v>43889</v>
      </c>
      <c r="M146" s="524"/>
      <c r="N146" s="524"/>
      <c r="O146" s="524"/>
      <c r="P146" s="524"/>
      <c r="Q146" s="524"/>
      <c r="R146" s="524"/>
      <c r="S146" s="524"/>
      <c r="T146" s="524"/>
      <c r="U146" s="551"/>
      <c r="V146" s="524">
        <v>53</v>
      </c>
      <c r="W146" s="524"/>
      <c r="X146" s="524"/>
      <c r="Y146" s="524">
        <v>21</v>
      </c>
      <c r="Z146" s="524">
        <v>21</v>
      </c>
      <c r="AA146" s="524"/>
      <c r="AB146" s="524"/>
      <c r="AC146" s="551"/>
      <c r="AD146" s="524">
        <v>310</v>
      </c>
      <c r="AE146" s="524">
        <v>358</v>
      </c>
      <c r="AF146" s="524">
        <v>441</v>
      </c>
      <c r="AG146" s="524">
        <v>411</v>
      </c>
      <c r="AH146" s="524"/>
      <c r="AI146" s="524"/>
      <c r="AJ146" s="524"/>
      <c r="AK146" s="524"/>
      <c r="AL146" s="524">
        <v>338</v>
      </c>
      <c r="AM146" s="524"/>
      <c r="AN146" s="551"/>
      <c r="AO146" s="477"/>
      <c r="AP146" s="477"/>
      <c r="AQ146" s="524"/>
      <c r="AR146" s="524"/>
      <c r="AS146" s="524"/>
      <c r="AT14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46" s="483">
        <f>WWWW[[#This Row],[%Equitable and continuous access to sufficient quantity of safe drinking water]]*WWWW[[#This Row],[Total PoP ]]</f>
        <v>0</v>
      </c>
      <c r="AV14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46" s="483">
        <f>WWWW[[#This Row],[% Access to unimproved water points]]*WWWW[[#This Row],[Total PoP ]]</f>
        <v>0</v>
      </c>
      <c r="AX14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4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46" s="483">
        <f>WWWW[[#This Row],[HRP1]]/250</f>
        <v>0</v>
      </c>
      <c r="BA146" s="476">
        <f>1-WWWW[[#This Row],[% Equitable and continuous access to sufficient quantity of domestic water]]</f>
        <v>1</v>
      </c>
      <c r="BB146" s="483">
        <f>WWWW[[#This Row],[%equitable and continuous access to sufficient quantity of safe drinking and domestic water''s GAP]]*WWWW[[#This Row],[Total PoP ]]</f>
        <v>1520</v>
      </c>
      <c r="BC146" s="478">
        <f>IF(WWWW[[#This Row],[Total required water points]]-WWWW[[#This Row],['#Water points coverage]]&lt;0,0,WWWW[[#This Row],[Total required water points]]-WWWW[[#This Row],['#Water points coverage]])</f>
        <v>6</v>
      </c>
      <c r="BD146" s="478">
        <f>ROUND(IF(WWWW[[#This Row],[Total PoP ]]&lt;250,1,WWWW[[#This Row],[Total PoP ]]/250),0)</f>
        <v>6</v>
      </c>
      <c r="BE14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0.22302631578947368</v>
      </c>
      <c r="BF146" s="483">
        <f>WWWW[[#This Row],[% people access to functioning Latrine]]*WWWW[[#This Row],[Total PoP ]]</f>
        <v>339</v>
      </c>
      <c r="BG146" s="478">
        <f>WWWW[[#This Row],['#_of_Functioning_latrines_in_school]]*50</f>
        <v>0</v>
      </c>
      <c r="BH146" s="478">
        <f>ROUND((WWWW[[#This Row],[Total PoP ]]/6),0)</f>
        <v>253</v>
      </c>
      <c r="BI146" s="478">
        <f>IF(WWWW[[#This Row],[Total required Latrines]]-(WWWW[[#This Row],['#_of_sanitary_fly-proof_HH_latrines]])&lt;0,0,WWWW[[#This Row],[Total required Latrines]]-(WWWW[[#This Row],['#_of_sanitary_fly-proof_HH_latrines]]))</f>
        <v>200</v>
      </c>
      <c r="BJ146" s="479">
        <f>1-WWWW[[#This Row],[% people access to functioning Latrine]]</f>
        <v>0.77697368421052637</v>
      </c>
      <c r="BK14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1520</v>
      </c>
      <c r="BL146" s="483">
        <f>IF(WWWW[[#This Row],['#_of_functional_handwashing_facilities_at_HH_level]]*6&gt;WWWW[[#This Row],[Total PoP ]],WWWW[[#This Row],[Total PoP ]],WWWW[[#This Row],['#_of_functional_handwashing_facilities_at_HH_level]]*6)</f>
        <v>0</v>
      </c>
      <c r="BM146" s="478">
        <f>IF(WWWW[[#This Row],['# people reached by regular dedicated hygiene promotion]]&gt;WWWW[[#This Row],['# People received regular supply of hygiene items]],WWWW[[#This Row],['# people reached by regular dedicated hygiene promotion]],WWWW[[#This Row],['# People received regular supply of hygiene items]])</f>
        <v>1520</v>
      </c>
      <c r="BN146" s="476">
        <f>IF(WWWW[[#This Row],[HRP3]]/WWWW[[#This Row],[Total PoP ]]&gt;100%,100%,WWWW[[#This Row],[HRP3]]/WWWW[[#This Row],[Total PoP ]])</f>
        <v>1</v>
      </c>
      <c r="BO146" s="479">
        <f>1-WWWW[[#This Row],[Hygiene Coverage%]]</f>
        <v>0</v>
      </c>
      <c r="BP146" s="477">
        <f>WWWW[[#This Row],['# people reached by regular dedicated hygiene promotion]]/WWWW[[#This Row],[Total PoP ]]</f>
        <v>1</v>
      </c>
      <c r="BQ14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1520</v>
      </c>
      <c r="BR146" s="478">
        <f>WWWW[[#This Row],['#_of_affected_women_and_girls_receiving_a_sufficient_quantity_of_sanitary_pads]]</f>
        <v>0</v>
      </c>
      <c r="BS146" s="524">
        <f>IF(WWWW[[#This Row],['# People with access to soap]]&gt;WWWW[[#This Row],['# People with access to Sanity Pads]],WWWW[[#This Row],['# People with access to soap]],WWWW[[#This Row],['# People with access to Sanity Pads]])</f>
        <v>1520</v>
      </c>
      <c r="BT146" s="483" t="str">
        <f>IF(OR(WWWW[[#This Row],['#of students in school]]="",WWWW[[#This Row],['#of students in school]]=0),"No","Yes")</f>
        <v>No</v>
      </c>
      <c r="BU146" s="480" t="str">
        <f>VLOOKUP(WWWW[[#This Row],[Village  Name]],SiteDB6[[Site Name]:[Location Type 1]],9,FALSE)</f>
        <v>Village</v>
      </c>
      <c r="BV146" s="480" t="str">
        <f>VLOOKUP(WWWW[[#This Row],[Village  Name]],SiteDB6[[Site Name]:[Type of Accommodation]],10,FALSE)</f>
        <v>Village</v>
      </c>
      <c r="BW146" s="480">
        <f>VLOOKUP(WWWW[[#This Row],[Village  Name]],SiteDB6[[Site Name]:[Ethnic or GCA/NGCA]],11,FALSE)</f>
        <v>0</v>
      </c>
      <c r="BX146" s="480">
        <f>VLOOKUP(WWWW[[#This Row],[Village  Name]],SiteDB6[[Site Name]:[Lat]],12,FALSE)</f>
        <v>20.199499130248999</v>
      </c>
      <c r="BY146" s="480">
        <f>VLOOKUP(WWWW[[#This Row],[Village  Name]],SiteDB6[[Site Name]:[Long]],13,FALSE)</f>
        <v>92.834327697753906</v>
      </c>
      <c r="BZ146" s="480">
        <f>VLOOKUP(WWWW[[#This Row],[Village  Name]],SiteDB6[[Site Name]:[Pcode]],3,FALSE)</f>
        <v>196126</v>
      </c>
      <c r="CA146" s="480" t="str">
        <f t="shared" ref="CA146:CA150" si="7">IF(C146="none","Notcovered","Covered")</f>
        <v>Covered</v>
      </c>
      <c r="CB146" s="505"/>
    </row>
    <row r="147" spans="1:80">
      <c r="A147" s="774" t="s">
        <v>3150</v>
      </c>
      <c r="B147" s="774" t="s">
        <v>293</v>
      </c>
      <c r="C147" s="774" t="s">
        <v>293</v>
      </c>
      <c r="D147" s="415" t="s">
        <v>3153</v>
      </c>
      <c r="E147" s="415" t="s">
        <v>2648</v>
      </c>
      <c r="F147" s="415" t="s">
        <v>295</v>
      </c>
      <c r="G147" s="644" t="str">
        <f>VLOOKUP(WWWW[[#This Row],[Village  Name]],SiteDB6[[Site Name]:[Location Type]],8,FALSE)</f>
        <v>Village</v>
      </c>
      <c r="H147" s="415" t="s">
        <v>2585</v>
      </c>
      <c r="I147" s="524">
        <v>213</v>
      </c>
      <c r="J147" s="524">
        <v>1156</v>
      </c>
      <c r="K147" s="418">
        <v>43358</v>
      </c>
      <c r="L147" s="55">
        <v>43889</v>
      </c>
      <c r="M147" s="524"/>
      <c r="N147" s="524"/>
      <c r="O147" s="524"/>
      <c r="P147" s="524"/>
      <c r="Q147" s="524"/>
      <c r="R147" s="524"/>
      <c r="S147" s="524"/>
      <c r="T147" s="524"/>
      <c r="U147" s="551"/>
      <c r="V147" s="524">
        <v>50</v>
      </c>
      <c r="W147" s="524"/>
      <c r="X147" s="524"/>
      <c r="Y147" s="524">
        <v>13</v>
      </c>
      <c r="Z147" s="524">
        <v>13</v>
      </c>
      <c r="AA147" s="524"/>
      <c r="AB147" s="524"/>
      <c r="AC147" s="551"/>
      <c r="AD147" s="524">
        <v>239</v>
      </c>
      <c r="AE147" s="524">
        <v>281</v>
      </c>
      <c r="AF147" s="524">
        <v>310</v>
      </c>
      <c r="AG147" s="524">
        <v>335</v>
      </c>
      <c r="AH147" s="524"/>
      <c r="AI147" s="524"/>
      <c r="AJ147" s="524"/>
      <c r="AK147" s="524"/>
      <c r="AL147" s="524">
        <v>213</v>
      </c>
      <c r="AM147" s="524"/>
      <c r="AN147" s="551"/>
      <c r="AO147" s="477"/>
      <c r="AP147" s="477"/>
      <c r="AQ147" s="524"/>
      <c r="AR147" s="524"/>
      <c r="AS147" s="524"/>
      <c r="AT14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47" s="483">
        <f>WWWW[[#This Row],[%Equitable and continuous access to sufficient quantity of safe drinking water]]*WWWW[[#This Row],[Total PoP ]]</f>
        <v>0</v>
      </c>
      <c r="AV14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47" s="483">
        <f>WWWW[[#This Row],[% Access to unimproved water points]]*WWWW[[#This Row],[Total PoP ]]</f>
        <v>0</v>
      </c>
      <c r="AX14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4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47" s="483">
        <f>WWWW[[#This Row],[HRP1]]/250</f>
        <v>0</v>
      </c>
      <c r="BA147" s="476">
        <f>1-WWWW[[#This Row],[% Equitable and continuous access to sufficient quantity of domestic water]]</f>
        <v>1</v>
      </c>
      <c r="BB147" s="483">
        <f>WWWW[[#This Row],[%equitable and continuous access to sufficient quantity of safe drinking and domestic water''s GAP]]*WWWW[[#This Row],[Total PoP ]]</f>
        <v>1156</v>
      </c>
      <c r="BC147" s="478">
        <f>IF(WWWW[[#This Row],[Total required water points]]-WWWW[[#This Row],['#Water points coverage]]&lt;0,0,WWWW[[#This Row],[Total required water points]]-WWWW[[#This Row],['#Water points coverage]])</f>
        <v>5</v>
      </c>
      <c r="BD147" s="478">
        <f>ROUND(IF(WWWW[[#This Row],[Total PoP ]]&lt;250,1,WWWW[[#This Row],[Total PoP ]]/250),0)</f>
        <v>5</v>
      </c>
      <c r="BE14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0.27076124567474047</v>
      </c>
      <c r="BF147" s="483">
        <f>WWWW[[#This Row],[% people access to functioning Latrine]]*WWWW[[#This Row],[Total PoP ]]</f>
        <v>313</v>
      </c>
      <c r="BG147" s="478">
        <f>WWWW[[#This Row],['#_of_Functioning_latrines_in_school]]*50</f>
        <v>0</v>
      </c>
      <c r="BH147" s="478">
        <f>ROUND((WWWW[[#This Row],[Total PoP ]]/6),0)</f>
        <v>193</v>
      </c>
      <c r="BI147" s="478">
        <f>IF(WWWW[[#This Row],[Total required Latrines]]-(WWWW[[#This Row],['#_of_sanitary_fly-proof_HH_latrines]])&lt;0,0,WWWW[[#This Row],[Total required Latrines]]-(WWWW[[#This Row],['#_of_sanitary_fly-proof_HH_latrines]]))</f>
        <v>143</v>
      </c>
      <c r="BJ147" s="479">
        <f>1-WWWW[[#This Row],[% people access to functioning Latrine]]</f>
        <v>0.72923875432525953</v>
      </c>
      <c r="BK14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1156</v>
      </c>
      <c r="BL147" s="483">
        <f>IF(WWWW[[#This Row],['#_of_functional_handwashing_facilities_at_HH_level]]*6&gt;WWWW[[#This Row],[Total PoP ]],WWWW[[#This Row],[Total PoP ]],WWWW[[#This Row],['#_of_functional_handwashing_facilities_at_HH_level]]*6)</f>
        <v>0</v>
      </c>
      <c r="BM147" s="478">
        <f>IF(WWWW[[#This Row],['# people reached by regular dedicated hygiene promotion]]&gt;WWWW[[#This Row],['# People received regular supply of hygiene items]],WWWW[[#This Row],['# people reached by regular dedicated hygiene promotion]],WWWW[[#This Row],['# People received regular supply of hygiene items]])</f>
        <v>1156</v>
      </c>
      <c r="BN147" s="476">
        <f>IF(WWWW[[#This Row],[HRP3]]/WWWW[[#This Row],[Total PoP ]]&gt;100%,100%,WWWW[[#This Row],[HRP3]]/WWWW[[#This Row],[Total PoP ]])</f>
        <v>1</v>
      </c>
      <c r="BO147" s="479">
        <f>1-WWWW[[#This Row],[Hygiene Coverage%]]</f>
        <v>0</v>
      </c>
      <c r="BP147" s="477">
        <f>WWWW[[#This Row],['# people reached by regular dedicated hygiene promotion]]/WWWW[[#This Row],[Total PoP ]]</f>
        <v>1</v>
      </c>
      <c r="BQ14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1156</v>
      </c>
      <c r="BR147" s="478">
        <f>WWWW[[#This Row],['#_of_affected_women_and_girls_receiving_a_sufficient_quantity_of_sanitary_pads]]</f>
        <v>0</v>
      </c>
      <c r="BS147" s="524">
        <f>IF(WWWW[[#This Row],['# People with access to soap]]&gt;WWWW[[#This Row],['# People with access to Sanity Pads]],WWWW[[#This Row],['# People with access to soap]],WWWW[[#This Row],['# People with access to Sanity Pads]])</f>
        <v>1156</v>
      </c>
      <c r="BT147" s="483" t="str">
        <f>IF(OR(WWWW[[#This Row],['#of students in school]]="",WWWW[[#This Row],['#of students in school]]=0),"No","Yes")</f>
        <v>No</v>
      </c>
      <c r="BU147" s="480" t="str">
        <f>VLOOKUP(WWWW[[#This Row],[Village  Name]],SiteDB6[[Site Name]:[Location Type 1]],9,FALSE)</f>
        <v>Village</v>
      </c>
      <c r="BV147" s="480" t="str">
        <f>VLOOKUP(WWWW[[#This Row],[Village  Name]],SiteDB6[[Site Name]:[Type of Accommodation]],10,FALSE)</f>
        <v>Village</v>
      </c>
      <c r="BW147" s="480">
        <f>VLOOKUP(WWWW[[#This Row],[Village  Name]],SiteDB6[[Site Name]:[Ethnic or GCA/NGCA]],11,FALSE)</f>
        <v>0</v>
      </c>
      <c r="BX147" s="480">
        <f>VLOOKUP(WWWW[[#This Row],[Village  Name]],SiteDB6[[Site Name]:[Lat]],12,FALSE)</f>
        <v>20.194370269775401</v>
      </c>
      <c r="BY147" s="480">
        <f>VLOOKUP(WWWW[[#This Row],[Village  Name]],SiteDB6[[Site Name]:[Long]],13,FALSE)</f>
        <v>92.834007263183594</v>
      </c>
      <c r="BZ147" s="480">
        <f>VLOOKUP(WWWW[[#This Row],[Village  Name]],SiteDB6[[Site Name]:[Pcode]],3,FALSE)</f>
        <v>196128</v>
      </c>
      <c r="CA147" s="480" t="str">
        <f t="shared" si="7"/>
        <v>Covered</v>
      </c>
      <c r="CB147" s="505"/>
    </row>
    <row r="148" spans="1:80">
      <c r="A148" s="774" t="s">
        <v>3150</v>
      </c>
      <c r="B148" s="774" t="s">
        <v>293</v>
      </c>
      <c r="C148" s="774" t="s">
        <v>293</v>
      </c>
      <c r="D148" s="415" t="s">
        <v>3153</v>
      </c>
      <c r="E148" s="415" t="s">
        <v>2648</v>
      </c>
      <c r="F148" s="415" t="s">
        <v>295</v>
      </c>
      <c r="G148" s="644" t="str">
        <f>VLOOKUP(WWWW[[#This Row],[Village  Name]],SiteDB6[[Site Name]:[Location Type]],8,FALSE)</f>
        <v>Village</v>
      </c>
      <c r="H148" s="415" t="s">
        <v>429</v>
      </c>
      <c r="I148" s="524">
        <v>358</v>
      </c>
      <c r="J148" s="524">
        <v>1931</v>
      </c>
      <c r="K148" s="418">
        <v>43358</v>
      </c>
      <c r="L148" s="55">
        <v>43889</v>
      </c>
      <c r="M148" s="524"/>
      <c r="N148" s="524"/>
      <c r="O148" s="524"/>
      <c r="P148" s="524"/>
      <c r="Q148" s="524"/>
      <c r="R148" s="524"/>
      <c r="S148" s="524"/>
      <c r="T148" s="524"/>
      <c r="U148" s="551"/>
      <c r="V148" s="524">
        <v>33</v>
      </c>
      <c r="W148" s="524"/>
      <c r="X148" s="524"/>
      <c r="Y148" s="524">
        <v>5</v>
      </c>
      <c r="Z148" s="524">
        <v>5</v>
      </c>
      <c r="AA148" s="524"/>
      <c r="AB148" s="524"/>
      <c r="AC148" s="551"/>
      <c r="AD148" s="524">
        <v>390</v>
      </c>
      <c r="AE148" s="524">
        <v>464</v>
      </c>
      <c r="AF148" s="524">
        <v>551</v>
      </c>
      <c r="AG148" s="524">
        <v>526</v>
      </c>
      <c r="AH148" s="524"/>
      <c r="AI148" s="524"/>
      <c r="AJ148" s="524"/>
      <c r="AK148" s="524"/>
      <c r="AL148" s="524">
        <v>358</v>
      </c>
      <c r="AM148" s="524"/>
      <c r="AN148" s="551"/>
      <c r="AO148" s="477"/>
      <c r="AP148" s="477"/>
      <c r="AQ148" s="524"/>
      <c r="AR148" s="524"/>
      <c r="AS148" s="524"/>
      <c r="AT14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48" s="483">
        <f>WWWW[[#This Row],[%Equitable and continuous access to sufficient quantity of safe drinking water]]*WWWW[[#This Row],[Total PoP ]]</f>
        <v>0</v>
      </c>
      <c r="AV14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48" s="483">
        <f>WWWW[[#This Row],[% Access to unimproved water points]]*WWWW[[#This Row],[Total PoP ]]</f>
        <v>0</v>
      </c>
      <c r="AX14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4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48" s="483">
        <f>WWWW[[#This Row],[HRP1]]/250</f>
        <v>0</v>
      </c>
      <c r="BA148" s="476">
        <f>1-WWWW[[#This Row],[% Equitable and continuous access to sufficient quantity of domestic water]]</f>
        <v>1</v>
      </c>
      <c r="BB148" s="483">
        <f>WWWW[[#This Row],[%equitable and continuous access to sufficient quantity of safe drinking and domestic water''s GAP]]*WWWW[[#This Row],[Total PoP ]]</f>
        <v>1931</v>
      </c>
      <c r="BC148" s="478">
        <f>IF(WWWW[[#This Row],[Total required water points]]-WWWW[[#This Row],['#Water points coverage]]&lt;0,0,WWWW[[#This Row],[Total required water points]]-WWWW[[#This Row],['#Water points coverage]])</f>
        <v>8</v>
      </c>
      <c r="BD148" s="478">
        <f>ROUND(IF(WWWW[[#This Row],[Total PoP ]]&lt;250,1,WWWW[[#This Row],[Total PoP ]]/250),0)</f>
        <v>8</v>
      </c>
      <c r="BE14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0.10512687726566546</v>
      </c>
      <c r="BF148" s="483">
        <f>WWWW[[#This Row],[% people access to functioning Latrine]]*WWWW[[#This Row],[Total PoP ]]</f>
        <v>203</v>
      </c>
      <c r="BG148" s="478">
        <f>WWWW[[#This Row],['#_of_Functioning_latrines_in_school]]*50</f>
        <v>0</v>
      </c>
      <c r="BH148" s="478">
        <f>ROUND((WWWW[[#This Row],[Total PoP ]]/6),0)</f>
        <v>322</v>
      </c>
      <c r="BI148" s="478">
        <f>IF(WWWW[[#This Row],[Total required Latrines]]-(WWWW[[#This Row],['#_of_sanitary_fly-proof_HH_latrines]])&lt;0,0,WWWW[[#This Row],[Total required Latrines]]-(WWWW[[#This Row],['#_of_sanitary_fly-proof_HH_latrines]]))</f>
        <v>289</v>
      </c>
      <c r="BJ148" s="479">
        <f>1-WWWW[[#This Row],[% people access to functioning Latrine]]</f>
        <v>0.8948731227343345</v>
      </c>
      <c r="BK14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1931</v>
      </c>
      <c r="BL148" s="483">
        <f>IF(WWWW[[#This Row],['#_of_functional_handwashing_facilities_at_HH_level]]*6&gt;WWWW[[#This Row],[Total PoP ]],WWWW[[#This Row],[Total PoP ]],WWWW[[#This Row],['#_of_functional_handwashing_facilities_at_HH_level]]*6)</f>
        <v>0</v>
      </c>
      <c r="BM148" s="478">
        <f>IF(WWWW[[#This Row],['# people reached by regular dedicated hygiene promotion]]&gt;WWWW[[#This Row],['# People received regular supply of hygiene items]],WWWW[[#This Row],['# people reached by regular dedicated hygiene promotion]],WWWW[[#This Row],['# People received regular supply of hygiene items]])</f>
        <v>1931</v>
      </c>
      <c r="BN148" s="476">
        <f>IF(WWWW[[#This Row],[HRP3]]/WWWW[[#This Row],[Total PoP ]]&gt;100%,100%,WWWW[[#This Row],[HRP3]]/WWWW[[#This Row],[Total PoP ]])</f>
        <v>1</v>
      </c>
      <c r="BO148" s="479">
        <f>1-WWWW[[#This Row],[Hygiene Coverage%]]</f>
        <v>0</v>
      </c>
      <c r="BP148" s="477">
        <f>WWWW[[#This Row],['# people reached by regular dedicated hygiene promotion]]/WWWW[[#This Row],[Total PoP ]]</f>
        <v>1</v>
      </c>
      <c r="BQ14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1931</v>
      </c>
      <c r="BR148" s="478">
        <f>WWWW[[#This Row],['#_of_affected_women_and_girls_receiving_a_sufficient_quantity_of_sanitary_pads]]</f>
        <v>0</v>
      </c>
      <c r="BS148" s="524">
        <f>IF(WWWW[[#This Row],['# People with access to soap]]&gt;WWWW[[#This Row],['# People with access to Sanity Pads]],WWWW[[#This Row],['# People with access to soap]],WWWW[[#This Row],['# People with access to Sanity Pads]])</f>
        <v>1931</v>
      </c>
      <c r="BT148" s="483" t="str">
        <f>IF(OR(WWWW[[#This Row],['#of students in school]]="",WWWW[[#This Row],['#of students in school]]=0),"No","Yes")</f>
        <v>No</v>
      </c>
      <c r="BU148" s="480" t="str">
        <f>VLOOKUP(WWWW[[#This Row],[Village  Name]],SiteDB6[[Site Name]:[Location Type 1]],9,FALSE)</f>
        <v>Village</v>
      </c>
      <c r="BV148" s="480" t="str">
        <f>VLOOKUP(WWWW[[#This Row],[Village  Name]],SiteDB6[[Site Name]:[Type of Accommodation]],10,FALSE)</f>
        <v>Village</v>
      </c>
      <c r="BW148" s="480">
        <f>VLOOKUP(WWWW[[#This Row],[Village  Name]],SiteDB6[[Site Name]:[Ethnic or GCA/NGCA]],11,FALSE)</f>
        <v>0</v>
      </c>
      <c r="BX148" s="480">
        <f>VLOOKUP(WWWW[[#This Row],[Village  Name]],SiteDB6[[Site Name]:[Lat]],12,FALSE)</f>
        <v>20.183790210000002</v>
      </c>
      <c r="BY148" s="480">
        <f>VLOOKUP(WWWW[[#This Row],[Village  Name]],SiteDB6[[Site Name]:[Long]],13,FALSE)</f>
        <v>92.864143369999994</v>
      </c>
      <c r="BZ148" s="480">
        <f>VLOOKUP(WWWW[[#This Row],[Village  Name]],SiteDB6[[Site Name]:[Pcode]],3,FALSE)</f>
        <v>196197</v>
      </c>
      <c r="CA148" s="480" t="str">
        <f t="shared" si="7"/>
        <v>Covered</v>
      </c>
      <c r="CB148" s="505"/>
    </row>
    <row r="149" spans="1:80">
      <c r="A149" s="774" t="s">
        <v>3150</v>
      </c>
      <c r="B149" s="774" t="s">
        <v>293</v>
      </c>
      <c r="C149" s="774" t="s">
        <v>293</v>
      </c>
      <c r="D149" s="415" t="s">
        <v>3153</v>
      </c>
      <c r="E149" s="415" t="s">
        <v>2648</v>
      </c>
      <c r="F149" s="415" t="s">
        <v>295</v>
      </c>
      <c r="G149" s="644" t="str">
        <f>VLOOKUP(WWWW[[#This Row],[Village  Name]],SiteDB6[[Site Name]:[Location Type]],8,FALSE)</f>
        <v>Village</v>
      </c>
      <c r="H149" s="415" t="s">
        <v>1878</v>
      </c>
      <c r="I149" s="524">
        <v>88</v>
      </c>
      <c r="J149" s="524">
        <v>354</v>
      </c>
      <c r="K149" s="418">
        <v>43358</v>
      </c>
      <c r="L149" s="55">
        <v>43889</v>
      </c>
      <c r="M149" s="524"/>
      <c r="N149" s="524"/>
      <c r="O149" s="524"/>
      <c r="P149" s="524"/>
      <c r="Q149" s="524"/>
      <c r="R149" s="524"/>
      <c r="S149" s="524"/>
      <c r="T149" s="524"/>
      <c r="U149" s="551"/>
      <c r="V149" s="524">
        <v>50</v>
      </c>
      <c r="W149" s="524"/>
      <c r="X149" s="524"/>
      <c r="Y149" s="524">
        <v>1</v>
      </c>
      <c r="Z149" s="524">
        <v>1</v>
      </c>
      <c r="AA149" s="524"/>
      <c r="AB149" s="524"/>
      <c r="AC149" s="551"/>
      <c r="AD149" s="524">
        <v>121</v>
      </c>
      <c r="AE149" s="524">
        <v>151</v>
      </c>
      <c r="AF149" s="524">
        <v>46</v>
      </c>
      <c r="AG149" s="524">
        <v>36</v>
      </c>
      <c r="AH149" s="524"/>
      <c r="AI149" s="524"/>
      <c r="AJ149" s="524"/>
      <c r="AK149" s="524"/>
      <c r="AL149" s="524">
        <v>88</v>
      </c>
      <c r="AM149" s="524"/>
      <c r="AN149" s="551"/>
      <c r="AO149" s="477"/>
      <c r="AP149" s="477"/>
      <c r="AQ149" s="524"/>
      <c r="AR149" s="524"/>
      <c r="AS149" s="524"/>
      <c r="AT14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49" s="483">
        <f>WWWW[[#This Row],[%Equitable and continuous access to sufficient quantity of safe drinking water]]*WWWW[[#This Row],[Total PoP ]]</f>
        <v>0</v>
      </c>
      <c r="AV14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49" s="483">
        <f>WWWW[[#This Row],[% Access to unimproved water points]]*WWWW[[#This Row],[Total PoP ]]</f>
        <v>0</v>
      </c>
      <c r="AX14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4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49" s="483">
        <f>WWWW[[#This Row],[HRP1]]/250</f>
        <v>0</v>
      </c>
      <c r="BA149" s="476">
        <f>1-WWWW[[#This Row],[% Equitable and continuous access to sufficient quantity of domestic water]]</f>
        <v>1</v>
      </c>
      <c r="BB149" s="483">
        <f>WWWW[[#This Row],[%equitable and continuous access to sufficient quantity of safe drinking and domestic water''s GAP]]*WWWW[[#This Row],[Total PoP ]]</f>
        <v>354</v>
      </c>
      <c r="BC149" s="478">
        <f>IF(WWWW[[#This Row],[Total required water points]]-WWWW[[#This Row],['#Water points coverage]]&lt;0,0,WWWW[[#This Row],[Total required water points]]-WWWW[[#This Row],['#Water points coverage]])</f>
        <v>1</v>
      </c>
      <c r="BD149" s="478">
        <f>ROUND(IF(WWWW[[#This Row],[Total PoP ]]&lt;250,1,WWWW[[#This Row],[Total PoP ]]/250),0)</f>
        <v>1</v>
      </c>
      <c r="BE14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0.85028248587570621</v>
      </c>
      <c r="BF149" s="483">
        <f>WWWW[[#This Row],[% people access to functioning Latrine]]*WWWW[[#This Row],[Total PoP ]]</f>
        <v>301</v>
      </c>
      <c r="BG149" s="478">
        <f>WWWW[[#This Row],['#_of_Functioning_latrines_in_school]]*50</f>
        <v>0</v>
      </c>
      <c r="BH149" s="478">
        <f>ROUND((WWWW[[#This Row],[Total PoP ]]/6),0)</f>
        <v>59</v>
      </c>
      <c r="BI149" s="478">
        <f>IF(WWWW[[#This Row],[Total required Latrines]]-(WWWW[[#This Row],['#_of_sanitary_fly-proof_HH_latrines]])&lt;0,0,WWWW[[#This Row],[Total required Latrines]]-(WWWW[[#This Row],['#_of_sanitary_fly-proof_HH_latrines]]))</f>
        <v>9</v>
      </c>
      <c r="BJ149" s="479">
        <f>1-WWWW[[#This Row],[% people access to functioning Latrine]]</f>
        <v>0.14971751412429379</v>
      </c>
      <c r="BK14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354</v>
      </c>
      <c r="BL149" s="483">
        <f>IF(WWWW[[#This Row],['#_of_functional_handwashing_facilities_at_HH_level]]*6&gt;WWWW[[#This Row],[Total PoP ]],WWWW[[#This Row],[Total PoP ]],WWWW[[#This Row],['#_of_functional_handwashing_facilities_at_HH_level]]*6)</f>
        <v>0</v>
      </c>
      <c r="BM149" s="478">
        <f>IF(WWWW[[#This Row],['# people reached by regular dedicated hygiene promotion]]&gt;WWWW[[#This Row],['# People received regular supply of hygiene items]],WWWW[[#This Row],['# people reached by regular dedicated hygiene promotion]],WWWW[[#This Row],['# People received regular supply of hygiene items]])</f>
        <v>354</v>
      </c>
      <c r="BN149" s="476">
        <f>IF(WWWW[[#This Row],[HRP3]]/WWWW[[#This Row],[Total PoP ]]&gt;100%,100%,WWWW[[#This Row],[HRP3]]/WWWW[[#This Row],[Total PoP ]])</f>
        <v>1</v>
      </c>
      <c r="BO149" s="479">
        <f>1-WWWW[[#This Row],[Hygiene Coverage%]]</f>
        <v>0</v>
      </c>
      <c r="BP149" s="477">
        <f>WWWW[[#This Row],['# people reached by regular dedicated hygiene promotion]]/WWWW[[#This Row],[Total PoP ]]</f>
        <v>1</v>
      </c>
      <c r="BQ14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354</v>
      </c>
      <c r="BR149" s="478">
        <f>WWWW[[#This Row],['#_of_affected_women_and_girls_receiving_a_sufficient_quantity_of_sanitary_pads]]</f>
        <v>0</v>
      </c>
      <c r="BS149" s="524">
        <f>IF(WWWW[[#This Row],['# People with access to soap]]&gt;WWWW[[#This Row],['# People with access to Sanity Pads]],WWWW[[#This Row],['# People with access to soap]],WWWW[[#This Row],['# People with access to Sanity Pads]])</f>
        <v>354</v>
      </c>
      <c r="BT149" s="483" t="str">
        <f>IF(OR(WWWW[[#This Row],['#of students in school]]="",WWWW[[#This Row],['#of students in school]]=0),"No","Yes")</f>
        <v>No</v>
      </c>
      <c r="BU149" s="480" t="str">
        <f>VLOOKUP(WWWW[[#This Row],[Village  Name]],SiteDB6[[Site Name]:[Location Type 1]],9,FALSE)</f>
        <v>Village</v>
      </c>
      <c r="BV149" s="480" t="str">
        <f>VLOOKUP(WWWW[[#This Row],[Village  Name]],SiteDB6[[Site Name]:[Type of Accommodation]],10,FALSE)</f>
        <v>Village</v>
      </c>
      <c r="BW149" s="480">
        <f>VLOOKUP(WWWW[[#This Row],[Village  Name]],SiteDB6[[Site Name]:[Ethnic or GCA/NGCA]],11,FALSE)</f>
        <v>0</v>
      </c>
      <c r="BX149" s="480">
        <f>VLOOKUP(WWWW[[#This Row],[Village  Name]],SiteDB6[[Site Name]:[Lat]],12,FALSE)</f>
        <v>0</v>
      </c>
      <c r="BY149" s="480">
        <f>VLOOKUP(WWWW[[#This Row],[Village  Name]],SiteDB6[[Site Name]:[Long]],13,FALSE)</f>
        <v>0</v>
      </c>
      <c r="BZ149" s="480">
        <f>VLOOKUP(WWWW[[#This Row],[Village  Name]],SiteDB6[[Site Name]:[Pcode]],3,FALSE)</f>
        <v>0</v>
      </c>
      <c r="CA149" s="480" t="str">
        <f t="shared" si="7"/>
        <v>Covered</v>
      </c>
      <c r="CB149" s="505"/>
    </row>
    <row r="150" spans="1:80">
      <c r="A150" s="774" t="s">
        <v>3150</v>
      </c>
      <c r="B150" s="774" t="s">
        <v>293</v>
      </c>
      <c r="C150" s="774" t="s">
        <v>293</v>
      </c>
      <c r="D150" s="415" t="s">
        <v>3153</v>
      </c>
      <c r="E150" s="415" t="s">
        <v>2648</v>
      </c>
      <c r="F150" s="415" t="s">
        <v>295</v>
      </c>
      <c r="G150" s="644" t="str">
        <f>VLOOKUP(WWWW[[#This Row],[Village  Name]],SiteDB6[[Site Name]:[Location Type]],8,FALSE)</f>
        <v>Village</v>
      </c>
      <c r="H150" s="415" t="s">
        <v>450</v>
      </c>
      <c r="I150" s="524">
        <v>164</v>
      </c>
      <c r="J150" s="524">
        <v>812</v>
      </c>
      <c r="K150" s="418">
        <v>43358</v>
      </c>
      <c r="L150" s="55">
        <v>43889</v>
      </c>
      <c r="M150" s="524"/>
      <c r="N150" s="524"/>
      <c r="O150" s="524"/>
      <c r="P150" s="524"/>
      <c r="Q150" s="524"/>
      <c r="R150" s="524"/>
      <c r="S150" s="524"/>
      <c r="T150" s="524"/>
      <c r="U150" s="551"/>
      <c r="V150" s="524">
        <v>20</v>
      </c>
      <c r="W150" s="524"/>
      <c r="X150" s="524"/>
      <c r="Y150" s="524">
        <v>4</v>
      </c>
      <c r="Z150" s="524">
        <v>4</v>
      </c>
      <c r="AA150" s="524"/>
      <c r="AB150" s="524"/>
      <c r="AC150" s="551"/>
      <c r="AD150" s="524">
        <v>277</v>
      </c>
      <c r="AE150" s="524">
        <v>319</v>
      </c>
      <c r="AF150" s="524">
        <v>99</v>
      </c>
      <c r="AG150" s="524">
        <v>117</v>
      </c>
      <c r="AH150" s="524"/>
      <c r="AI150" s="524"/>
      <c r="AJ150" s="524"/>
      <c r="AK150" s="524"/>
      <c r="AL150" s="524">
        <v>164</v>
      </c>
      <c r="AM150" s="524"/>
      <c r="AN150" s="551"/>
      <c r="AO150" s="477"/>
      <c r="AP150" s="477"/>
      <c r="AQ150" s="524"/>
      <c r="AR150" s="524"/>
      <c r="AS150" s="524"/>
      <c r="AT15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50" s="483">
        <f>WWWW[[#This Row],[%Equitable and continuous access to sufficient quantity of safe drinking water]]*WWWW[[#This Row],[Total PoP ]]</f>
        <v>0</v>
      </c>
      <c r="AV15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50" s="483">
        <f>WWWW[[#This Row],[% Access to unimproved water points]]*WWWW[[#This Row],[Total PoP ]]</f>
        <v>0</v>
      </c>
      <c r="AX15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5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50" s="483">
        <f>WWWW[[#This Row],[HRP1]]/250</f>
        <v>0</v>
      </c>
      <c r="BA150" s="476">
        <f>1-WWWW[[#This Row],[% Equitable and continuous access to sufficient quantity of domestic water]]</f>
        <v>1</v>
      </c>
      <c r="BB150" s="483">
        <f>WWWW[[#This Row],[%equitable and continuous access to sufficient quantity of safe drinking and domestic water''s GAP]]*WWWW[[#This Row],[Total PoP ]]</f>
        <v>812</v>
      </c>
      <c r="BC150" s="478">
        <f>IF(WWWW[[#This Row],[Total required water points]]-WWWW[[#This Row],['#Water points coverage]]&lt;0,0,WWWW[[#This Row],[Total required water points]]-WWWW[[#This Row],['#Water points coverage]])</f>
        <v>3</v>
      </c>
      <c r="BD150" s="478">
        <f>ROUND(IF(WWWW[[#This Row],[Total PoP ]]&lt;250,1,WWWW[[#This Row],[Total PoP ]]/250),0)</f>
        <v>3</v>
      </c>
      <c r="BE15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0.15270935960591134</v>
      </c>
      <c r="BF150" s="483">
        <f>WWWW[[#This Row],[% people access to functioning Latrine]]*WWWW[[#This Row],[Total PoP ]]</f>
        <v>124</v>
      </c>
      <c r="BG150" s="478">
        <f>WWWW[[#This Row],['#_of_Functioning_latrines_in_school]]*50</f>
        <v>0</v>
      </c>
      <c r="BH150" s="478">
        <f>ROUND((WWWW[[#This Row],[Total PoP ]]/6),0)</f>
        <v>135</v>
      </c>
      <c r="BI150" s="478">
        <f>IF(WWWW[[#This Row],[Total required Latrines]]-(WWWW[[#This Row],['#_of_sanitary_fly-proof_HH_latrines]])&lt;0,0,WWWW[[#This Row],[Total required Latrines]]-(WWWW[[#This Row],['#_of_sanitary_fly-proof_HH_latrines]]))</f>
        <v>115</v>
      </c>
      <c r="BJ150" s="479">
        <f>1-WWWW[[#This Row],[% people access to functioning Latrine]]</f>
        <v>0.84729064039408863</v>
      </c>
      <c r="BK15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812</v>
      </c>
      <c r="BL150" s="483">
        <f>IF(WWWW[[#This Row],['#_of_functional_handwashing_facilities_at_HH_level]]*6&gt;WWWW[[#This Row],[Total PoP ]],WWWW[[#This Row],[Total PoP ]],WWWW[[#This Row],['#_of_functional_handwashing_facilities_at_HH_level]]*6)</f>
        <v>0</v>
      </c>
      <c r="BM150" s="478">
        <f>IF(WWWW[[#This Row],['# people reached by regular dedicated hygiene promotion]]&gt;WWWW[[#This Row],['# People received regular supply of hygiene items]],WWWW[[#This Row],['# people reached by regular dedicated hygiene promotion]],WWWW[[#This Row],['# People received regular supply of hygiene items]])</f>
        <v>812</v>
      </c>
      <c r="BN150" s="476">
        <f>IF(WWWW[[#This Row],[HRP3]]/WWWW[[#This Row],[Total PoP ]]&gt;100%,100%,WWWW[[#This Row],[HRP3]]/WWWW[[#This Row],[Total PoP ]])</f>
        <v>1</v>
      </c>
      <c r="BO150" s="479">
        <f>1-WWWW[[#This Row],[Hygiene Coverage%]]</f>
        <v>0</v>
      </c>
      <c r="BP150" s="477">
        <f>WWWW[[#This Row],['# people reached by regular dedicated hygiene promotion]]/WWWW[[#This Row],[Total PoP ]]</f>
        <v>1</v>
      </c>
      <c r="BQ15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812</v>
      </c>
      <c r="BR150" s="478">
        <f>WWWW[[#This Row],['#_of_affected_women_and_girls_receiving_a_sufficient_quantity_of_sanitary_pads]]</f>
        <v>0</v>
      </c>
      <c r="BS150" s="524">
        <f>IF(WWWW[[#This Row],['# People with access to soap]]&gt;WWWW[[#This Row],['# People with access to Sanity Pads]],WWWW[[#This Row],['# People with access to soap]],WWWW[[#This Row],['# People with access to Sanity Pads]])</f>
        <v>812</v>
      </c>
      <c r="BT150" s="483" t="str">
        <f>IF(OR(WWWW[[#This Row],['#of students in school]]="",WWWW[[#This Row],['#of students in school]]=0),"No","Yes")</f>
        <v>No</v>
      </c>
      <c r="BU150" s="480" t="str">
        <f>VLOOKUP(WWWW[[#This Row],[Village  Name]],SiteDB6[[Site Name]:[Location Type 1]],9,FALSE)</f>
        <v>Village</v>
      </c>
      <c r="BV150" s="480" t="str">
        <f>VLOOKUP(WWWW[[#This Row],[Village  Name]],SiteDB6[[Site Name]:[Type of Accommodation]],10,FALSE)</f>
        <v>Village</v>
      </c>
      <c r="BW150" s="480" t="str">
        <f>VLOOKUP(WWWW[[#This Row],[Village  Name]],SiteDB6[[Site Name]:[Ethnic or GCA/NGCA]],11,FALSE)</f>
        <v>Rakhine</v>
      </c>
      <c r="BX150" s="480">
        <f>VLOOKUP(WWWW[[#This Row],[Village  Name]],SiteDB6[[Site Name]:[Lat]],12,FALSE)</f>
        <v>20.245159149999999</v>
      </c>
      <c r="BY150" s="480">
        <f>VLOOKUP(WWWW[[#This Row],[Village  Name]],SiteDB6[[Site Name]:[Long]],13,FALSE)</f>
        <v>92.807418819999995</v>
      </c>
      <c r="BZ150" s="480">
        <f>VLOOKUP(WWWW[[#This Row],[Village  Name]],SiteDB6[[Site Name]:[Pcode]],3,FALSE)</f>
        <v>196137</v>
      </c>
      <c r="CA150" s="480" t="str">
        <f t="shared" si="7"/>
        <v>Covered</v>
      </c>
      <c r="CB150" s="505"/>
    </row>
    <row r="151" spans="1:80">
      <c r="A151" s="774" t="s">
        <v>3150</v>
      </c>
      <c r="B151" s="774" t="s">
        <v>318</v>
      </c>
      <c r="C151" s="415" t="s">
        <v>318</v>
      </c>
      <c r="D151" s="415" t="s">
        <v>334</v>
      </c>
      <c r="E151" s="415" t="s">
        <v>2648</v>
      </c>
      <c r="F151" s="415" t="s">
        <v>302</v>
      </c>
      <c r="G151" s="644" t="str">
        <f>VLOOKUP(WWWW[[#This Row],[Village  Name]],SiteDB6[[Site Name]:[Location Type]],8,FALSE)</f>
        <v>Village</v>
      </c>
      <c r="H151" s="415" t="s">
        <v>2276</v>
      </c>
      <c r="I151" s="524">
        <v>128</v>
      </c>
      <c r="J151" s="524">
        <v>583</v>
      </c>
      <c r="K151" s="418">
        <v>43647</v>
      </c>
      <c r="L151" s="55">
        <v>44043</v>
      </c>
      <c r="M151" s="524">
        <v>90</v>
      </c>
      <c r="N151" s="524"/>
      <c r="O151" s="524"/>
      <c r="P151" s="524"/>
      <c r="Q151" s="524">
        <v>4</v>
      </c>
      <c r="R151" s="524"/>
      <c r="S151" s="524"/>
      <c r="T151" s="524"/>
      <c r="U151" s="551"/>
      <c r="V151" s="524">
        <v>6</v>
      </c>
      <c r="W151" s="524" t="s">
        <v>130</v>
      </c>
      <c r="X151" s="524">
        <v>3</v>
      </c>
      <c r="Y151" s="524">
        <v>3</v>
      </c>
      <c r="Z151" s="524"/>
      <c r="AA151" s="524"/>
      <c r="AB151" s="524"/>
      <c r="AC151" s="551"/>
      <c r="AD151" s="524">
        <v>1</v>
      </c>
      <c r="AE151" s="524">
        <v>10</v>
      </c>
      <c r="AF151" s="524"/>
      <c r="AG151" s="524"/>
      <c r="AH151" s="524"/>
      <c r="AI151" s="524"/>
      <c r="AJ151" s="524">
        <v>11</v>
      </c>
      <c r="AK151" s="524"/>
      <c r="AL151" s="524"/>
      <c r="AM151" s="524"/>
      <c r="AN151" s="551"/>
      <c r="AO151" s="477"/>
      <c r="AP151" s="477"/>
      <c r="AQ151" s="524"/>
      <c r="AR151" s="524"/>
      <c r="AS151" s="524"/>
      <c r="AT151"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51" s="483">
        <f>WWWW[[#This Row],[%Equitable and continuous access to sufficient quantity of safe drinking water]]*WWWW[[#This Row],[Total PoP ]]</f>
        <v>0</v>
      </c>
      <c r="AV151"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51" s="483">
        <f>WWWW[[#This Row],[% Access to unimproved water points]]*WWWW[[#This Row],[Total PoP ]]</f>
        <v>583</v>
      </c>
      <c r="AX151"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51"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583</v>
      </c>
      <c r="AZ151" s="483">
        <f>WWWW[[#This Row],[HRP1]]/250</f>
        <v>2.3319999999999999</v>
      </c>
      <c r="BA151" s="476">
        <f>1-WWWW[[#This Row],[% Equitable and continuous access to sufficient quantity of domestic water]]</f>
        <v>0</v>
      </c>
      <c r="BB151" s="483">
        <f>WWWW[[#This Row],[%equitable and continuous access to sufficient quantity of safe drinking and domestic water''s GAP]]*WWWW[[#This Row],[Total PoP ]]</f>
        <v>0</v>
      </c>
      <c r="BC151" s="478">
        <f>IF(WWWW[[#This Row],[Total required water points]]-WWWW[[#This Row],['#Water points coverage]]&lt;0,0,WWWW[[#This Row],[Total required water points]]-WWWW[[#This Row],['#Water points coverage]])</f>
        <v>0</v>
      </c>
      <c r="BD151" s="478">
        <f>ROUND(IF(WWWW[[#This Row],[Total PoP ]]&lt;250,1,WWWW[[#This Row],[Total PoP ]]/250),0)</f>
        <v>2</v>
      </c>
      <c r="BE15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6.1749571183533448E-2</v>
      </c>
      <c r="BF151" s="483">
        <f>WWWW[[#This Row],[% people access to functioning Latrine]]*WWWW[[#This Row],[Total PoP ]]</f>
        <v>36</v>
      </c>
      <c r="BG151" s="478">
        <f>WWWW[[#This Row],['#_of_Functioning_latrines_in_school]]*50</f>
        <v>150</v>
      </c>
      <c r="BH151" s="478">
        <f>ROUND((WWWW[[#This Row],[Total PoP ]]/6),0)</f>
        <v>97</v>
      </c>
      <c r="BI151" s="478">
        <f>IF(WWWW[[#This Row],[Total required Latrines]]-(WWWW[[#This Row],['#_of_sanitary_fly-proof_HH_latrines]])&lt;0,0,WWWW[[#This Row],[Total required Latrines]]-(WWWW[[#This Row],['#_of_sanitary_fly-proof_HH_latrines]]))</f>
        <v>91</v>
      </c>
      <c r="BJ151" s="479">
        <f>1-WWWW[[#This Row],[% people access to functioning Latrine]]</f>
        <v>0.93825042881646659</v>
      </c>
      <c r="BK151"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11</v>
      </c>
      <c r="BL151" s="483">
        <f>IF(WWWW[[#This Row],['#_of_functional_handwashing_facilities_at_HH_level]]*6&gt;WWWW[[#This Row],[Total PoP ]],WWWW[[#This Row],[Total PoP ]],WWWW[[#This Row],['#_of_functional_handwashing_facilities_at_HH_level]]*6)</f>
        <v>66</v>
      </c>
      <c r="BM151" s="478">
        <f>IF(WWWW[[#This Row],['# people reached by regular dedicated hygiene promotion]]&gt;WWWW[[#This Row],['# People received regular supply of hygiene items]],WWWW[[#This Row],['# people reached by regular dedicated hygiene promotion]],WWWW[[#This Row],['# People received regular supply of hygiene items]])</f>
        <v>11</v>
      </c>
      <c r="BN151" s="476">
        <f>IF(WWWW[[#This Row],[HRP3]]/WWWW[[#This Row],[Total PoP ]]&gt;100%,100%,WWWW[[#This Row],[HRP3]]/WWWW[[#This Row],[Total PoP ]])</f>
        <v>1.8867924528301886E-2</v>
      </c>
      <c r="BO151" s="479">
        <f>1-WWWW[[#This Row],[Hygiene Coverage%]]</f>
        <v>0.98113207547169812</v>
      </c>
      <c r="BP151" s="477">
        <f>WWWW[[#This Row],['# people reached by regular dedicated hygiene promotion]]/WWWW[[#This Row],[Total PoP ]]</f>
        <v>1.8867924528301886E-2</v>
      </c>
      <c r="BQ15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51" s="478">
        <f>WWWW[[#This Row],['#_of_affected_women_and_girls_receiving_a_sufficient_quantity_of_sanitary_pads]]</f>
        <v>0</v>
      </c>
      <c r="BS151" s="524">
        <f>IF(WWWW[[#This Row],['# People with access to soap]]&gt;WWWW[[#This Row],['# People with access to Sanity Pads]],WWWW[[#This Row],['# People with access to soap]],WWWW[[#This Row],['# People with access to Sanity Pads]])</f>
        <v>0</v>
      </c>
      <c r="BT151" s="483" t="str">
        <f>IF(OR(WWWW[[#This Row],['#of students in school]]="",WWWW[[#This Row],['#of students in school]]=0),"No","Yes")</f>
        <v>Yes</v>
      </c>
      <c r="BU151" s="480" t="str">
        <f>VLOOKUP(WWWW[[#This Row],[Village  Name]],SiteDB6[[Site Name]:[Location Type 1]],9,FALSE)</f>
        <v>Village</v>
      </c>
      <c r="BV151" s="480" t="str">
        <f>VLOOKUP(WWWW[[#This Row],[Village  Name]],SiteDB6[[Site Name]:[Type of Accommodation]],10,FALSE)</f>
        <v>Village</v>
      </c>
      <c r="BW151" s="480" t="str">
        <f>VLOOKUP(WWWW[[#This Row],[Village  Name]],SiteDB6[[Site Name]:[Ethnic or GCA/NGCA]],11,FALSE)</f>
        <v>Rakhine</v>
      </c>
      <c r="BX151" s="480">
        <f>VLOOKUP(WWWW[[#This Row],[Village  Name]],SiteDB6[[Site Name]:[Lat]],12,FALSE)</f>
        <v>20.646560668945298</v>
      </c>
      <c r="BY151" s="480">
        <f>VLOOKUP(WWWW[[#This Row],[Village  Name]],SiteDB6[[Site Name]:[Long]],13,FALSE)</f>
        <v>92.976043701171903</v>
      </c>
      <c r="BZ151" s="480">
        <f>VLOOKUP(WWWW[[#This Row],[Village  Name]],SiteDB6[[Site Name]:[Pcode]],3,FALSE)</f>
        <v>196937</v>
      </c>
      <c r="CA151" s="480" t="str">
        <f t="shared" ref="CA151:CA175" si="8">IF(C151="none","Notcovered","Covered")</f>
        <v>Covered</v>
      </c>
      <c r="CB151" s="505"/>
    </row>
    <row r="152" spans="1:80">
      <c r="A152" s="774" t="s">
        <v>3150</v>
      </c>
      <c r="B152" s="774" t="s">
        <v>318</v>
      </c>
      <c r="C152" s="415" t="s">
        <v>318</v>
      </c>
      <c r="D152" s="415" t="s">
        <v>334</v>
      </c>
      <c r="E152" s="415" t="s">
        <v>2648</v>
      </c>
      <c r="F152" s="415" t="s">
        <v>302</v>
      </c>
      <c r="G152" s="644" t="str">
        <f>VLOOKUP(WWWW[[#This Row],[Village  Name]],SiteDB6[[Site Name]:[Location Type]],8,FALSE)</f>
        <v>Village</v>
      </c>
      <c r="H152" s="415" t="s">
        <v>3166</v>
      </c>
      <c r="I152" s="524">
        <v>178</v>
      </c>
      <c r="J152" s="524">
        <v>849</v>
      </c>
      <c r="K152" s="418">
        <v>43647</v>
      </c>
      <c r="L152" s="55">
        <v>44043</v>
      </c>
      <c r="M152" s="524">
        <v>154</v>
      </c>
      <c r="N152" s="524"/>
      <c r="O152" s="524"/>
      <c r="P152" s="524"/>
      <c r="Q152" s="524"/>
      <c r="R152" s="524"/>
      <c r="S152" s="524">
        <v>3</v>
      </c>
      <c r="T152" s="524"/>
      <c r="U152" s="551"/>
      <c r="V152" s="524">
        <v>35</v>
      </c>
      <c r="W152" s="524" t="s">
        <v>130</v>
      </c>
      <c r="X152" s="524">
        <v>1</v>
      </c>
      <c r="Y152" s="524">
        <v>2</v>
      </c>
      <c r="Z152" s="524"/>
      <c r="AA152" s="524"/>
      <c r="AB152" s="524"/>
      <c r="AC152" s="551"/>
      <c r="AD152" s="524"/>
      <c r="AE152" s="524">
        <v>12</v>
      </c>
      <c r="AF152" s="524"/>
      <c r="AG152" s="524"/>
      <c r="AH152" s="524"/>
      <c r="AI152" s="524"/>
      <c r="AJ152" s="524">
        <v>12</v>
      </c>
      <c r="AK152" s="524"/>
      <c r="AL152" s="524"/>
      <c r="AM152" s="524"/>
      <c r="AN152" s="551"/>
      <c r="AO152" s="477"/>
      <c r="AP152" s="477"/>
      <c r="AQ152" s="524"/>
      <c r="AR152" s="524"/>
      <c r="AS152" s="524"/>
      <c r="AT15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52" s="483">
        <f>WWWW[[#This Row],[%Equitable and continuous access to sufficient quantity of safe drinking water]]*WWWW[[#This Row],[Total PoP ]]</f>
        <v>0</v>
      </c>
      <c r="AV15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3.5335689045936395E-3</v>
      </c>
      <c r="AW152" s="483">
        <f>WWWW[[#This Row],[% Access to unimproved water points]]*WWWW[[#This Row],[Total PoP ]]</f>
        <v>3</v>
      </c>
      <c r="AX15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3.5335689045936395E-3</v>
      </c>
      <c r="AY15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v>
      </c>
      <c r="AZ152" s="483">
        <f>WWWW[[#This Row],[HRP1]]/250</f>
        <v>1.2E-2</v>
      </c>
      <c r="BA152" s="476">
        <f>1-WWWW[[#This Row],[% Equitable and continuous access to sufficient quantity of domestic water]]</f>
        <v>0.99646643109540634</v>
      </c>
      <c r="BB152" s="483">
        <f>WWWW[[#This Row],[%equitable and continuous access to sufficient quantity of safe drinking and domestic water''s GAP]]*WWWW[[#This Row],[Total PoP ]]</f>
        <v>846</v>
      </c>
      <c r="BC152" s="478">
        <f>IF(WWWW[[#This Row],[Total required water points]]-WWWW[[#This Row],['#Water points coverage]]&lt;0,0,WWWW[[#This Row],[Total required water points]]-WWWW[[#This Row],['#Water points coverage]])</f>
        <v>2.988</v>
      </c>
      <c r="BD152" s="478">
        <f>ROUND(IF(WWWW[[#This Row],[Total PoP ]]&lt;250,1,WWWW[[#This Row],[Total PoP ]]/250),0)</f>
        <v>3</v>
      </c>
      <c r="BE15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0.24734982332155478</v>
      </c>
      <c r="BF152" s="483">
        <f>WWWW[[#This Row],[% people access to functioning Latrine]]*WWWW[[#This Row],[Total PoP ]]</f>
        <v>210</v>
      </c>
      <c r="BG152" s="478">
        <f>WWWW[[#This Row],['#_of_Functioning_latrines_in_school]]*50</f>
        <v>50</v>
      </c>
      <c r="BH152" s="478">
        <f>ROUND((WWWW[[#This Row],[Total PoP ]]/6),0)</f>
        <v>142</v>
      </c>
      <c r="BI152" s="478">
        <f>IF(WWWW[[#This Row],[Total required Latrines]]-(WWWW[[#This Row],['#_of_sanitary_fly-proof_HH_latrines]])&lt;0,0,WWWW[[#This Row],[Total required Latrines]]-(WWWW[[#This Row],['#_of_sanitary_fly-proof_HH_latrines]]))</f>
        <v>107</v>
      </c>
      <c r="BJ152" s="479">
        <f>1-WWWW[[#This Row],[% people access to functioning Latrine]]</f>
        <v>0.75265017667844525</v>
      </c>
      <c r="BK15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12</v>
      </c>
      <c r="BL152" s="483">
        <f>IF(WWWW[[#This Row],['#_of_functional_handwashing_facilities_at_HH_level]]*6&gt;WWWW[[#This Row],[Total PoP ]],WWWW[[#This Row],[Total PoP ]],WWWW[[#This Row],['#_of_functional_handwashing_facilities_at_HH_level]]*6)</f>
        <v>72</v>
      </c>
      <c r="BM152" s="478">
        <f>IF(WWWW[[#This Row],['# people reached by regular dedicated hygiene promotion]]&gt;WWWW[[#This Row],['# People received regular supply of hygiene items]],WWWW[[#This Row],['# people reached by regular dedicated hygiene promotion]],WWWW[[#This Row],['# People received regular supply of hygiene items]])</f>
        <v>12</v>
      </c>
      <c r="BN152" s="476">
        <f>IF(WWWW[[#This Row],[HRP3]]/WWWW[[#This Row],[Total PoP ]]&gt;100%,100%,WWWW[[#This Row],[HRP3]]/WWWW[[#This Row],[Total PoP ]])</f>
        <v>1.4134275618374558E-2</v>
      </c>
      <c r="BO152" s="479">
        <f>1-WWWW[[#This Row],[Hygiene Coverage%]]</f>
        <v>0.98586572438162545</v>
      </c>
      <c r="BP152" s="477">
        <f>WWWW[[#This Row],['# people reached by regular dedicated hygiene promotion]]/WWWW[[#This Row],[Total PoP ]]</f>
        <v>1.4134275618374558E-2</v>
      </c>
      <c r="BQ15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52" s="478">
        <f>WWWW[[#This Row],['#_of_affected_women_and_girls_receiving_a_sufficient_quantity_of_sanitary_pads]]</f>
        <v>0</v>
      </c>
      <c r="BS152" s="524">
        <f>IF(WWWW[[#This Row],['# People with access to soap]]&gt;WWWW[[#This Row],['# People with access to Sanity Pads]],WWWW[[#This Row],['# People with access to soap]],WWWW[[#This Row],['# People with access to Sanity Pads]])</f>
        <v>0</v>
      </c>
      <c r="BT152" s="483" t="str">
        <f>IF(OR(WWWW[[#This Row],['#of students in school]]="",WWWW[[#This Row],['#of students in school]]=0),"No","Yes")</f>
        <v>Yes</v>
      </c>
      <c r="BU152" s="480" t="str">
        <f>VLOOKUP(WWWW[[#This Row],[Village  Name]],SiteDB6[[Site Name]:[Location Type 1]],9,FALSE)</f>
        <v>Village</v>
      </c>
      <c r="BV152" s="480" t="str">
        <f>VLOOKUP(WWWW[[#This Row],[Village  Name]],SiteDB6[[Site Name]:[Type of Accommodation]],10,FALSE)</f>
        <v>Village</v>
      </c>
      <c r="BW152" s="480">
        <f>VLOOKUP(WWWW[[#This Row],[Village  Name]],SiteDB6[[Site Name]:[Ethnic or GCA/NGCA]],11,FALSE)</f>
        <v>0</v>
      </c>
      <c r="BX152" s="480">
        <f>VLOOKUP(WWWW[[#This Row],[Village  Name]],SiteDB6[[Site Name]:[Lat]],12,FALSE)</f>
        <v>92.998542785644503</v>
      </c>
      <c r="BY152" s="480">
        <f>VLOOKUP(WWWW[[#This Row],[Village  Name]],SiteDB6[[Site Name]:[Long]],13,FALSE)</f>
        <v>20.6563606262207</v>
      </c>
      <c r="BZ152" s="480">
        <f>VLOOKUP(WWWW[[#This Row],[Village  Name]],SiteDB6[[Site Name]:[Pcode]],3,FALSE)</f>
        <v>196940</v>
      </c>
      <c r="CA152" s="480" t="str">
        <f t="shared" si="8"/>
        <v>Covered</v>
      </c>
      <c r="CB152" s="505"/>
    </row>
    <row r="153" spans="1:80">
      <c r="A153" s="774" t="s">
        <v>3150</v>
      </c>
      <c r="B153" s="774" t="s">
        <v>318</v>
      </c>
      <c r="C153" s="415" t="s">
        <v>318</v>
      </c>
      <c r="D153" s="415" t="s">
        <v>334</v>
      </c>
      <c r="E153" s="415" t="s">
        <v>2648</v>
      </c>
      <c r="F153" s="415" t="s">
        <v>302</v>
      </c>
      <c r="G153" s="644" t="str">
        <f>VLOOKUP(WWWW[[#This Row],[Village  Name]],SiteDB6[[Site Name]:[Location Type]],8,FALSE)</f>
        <v>Village</v>
      </c>
      <c r="H153" s="415" t="s">
        <v>3157</v>
      </c>
      <c r="I153" s="524">
        <v>176</v>
      </c>
      <c r="J153" s="524">
        <v>880</v>
      </c>
      <c r="K153" s="418">
        <v>43647</v>
      </c>
      <c r="L153" s="55">
        <v>44043</v>
      </c>
      <c r="M153" s="524">
        <v>105</v>
      </c>
      <c r="N153" s="524"/>
      <c r="O153" s="524"/>
      <c r="P153" s="524"/>
      <c r="Q153" s="524"/>
      <c r="R153" s="524"/>
      <c r="S153" s="524">
        <v>3</v>
      </c>
      <c r="T153" s="524"/>
      <c r="U153" s="551"/>
      <c r="V153" s="524">
        <v>50</v>
      </c>
      <c r="W153" s="524" t="s">
        <v>130</v>
      </c>
      <c r="X153" s="524">
        <v>1</v>
      </c>
      <c r="Y153" s="524">
        <v>2</v>
      </c>
      <c r="Z153" s="524"/>
      <c r="AA153" s="524"/>
      <c r="AB153" s="524"/>
      <c r="AC153" s="551"/>
      <c r="AD153" s="524"/>
      <c r="AE153" s="524">
        <v>12</v>
      </c>
      <c r="AF153" s="524"/>
      <c r="AG153" s="524"/>
      <c r="AH153" s="524"/>
      <c r="AI153" s="524"/>
      <c r="AJ153" s="524">
        <v>12</v>
      </c>
      <c r="AK153" s="524"/>
      <c r="AL153" s="524"/>
      <c r="AM153" s="524"/>
      <c r="AN153" s="551"/>
      <c r="AO153" s="477"/>
      <c r="AP153" s="477"/>
      <c r="AQ153" s="524"/>
      <c r="AR153" s="524"/>
      <c r="AS153" s="524"/>
      <c r="AT153"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53" s="483">
        <f>WWWW[[#This Row],[%Equitable and continuous access to sufficient quantity of safe drinking water]]*WWWW[[#This Row],[Total PoP ]]</f>
        <v>0</v>
      </c>
      <c r="AV153"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3.4090909090909089E-3</v>
      </c>
      <c r="AW153" s="483">
        <f>WWWW[[#This Row],[% Access to unimproved water points]]*WWWW[[#This Row],[Total PoP ]]</f>
        <v>3</v>
      </c>
      <c r="AX153"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3.4090909090909089E-3</v>
      </c>
      <c r="AY153"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v>
      </c>
      <c r="AZ153" s="483">
        <f>WWWW[[#This Row],[HRP1]]/250</f>
        <v>1.2E-2</v>
      </c>
      <c r="BA153" s="476">
        <f>1-WWWW[[#This Row],[% Equitable and continuous access to sufficient quantity of domestic water]]</f>
        <v>0.99659090909090908</v>
      </c>
      <c r="BB153" s="483">
        <f>WWWW[[#This Row],[%equitable and continuous access to sufficient quantity of safe drinking and domestic water''s GAP]]*WWWW[[#This Row],[Total PoP ]]</f>
        <v>877</v>
      </c>
      <c r="BC153" s="478">
        <f>IF(WWWW[[#This Row],[Total required water points]]-WWWW[[#This Row],['#Water points coverage]]&lt;0,0,WWWW[[#This Row],[Total required water points]]-WWWW[[#This Row],['#Water points coverage]])</f>
        <v>3.988</v>
      </c>
      <c r="BD153" s="478">
        <f>ROUND(IF(WWWW[[#This Row],[Total PoP ]]&lt;250,1,WWWW[[#This Row],[Total PoP ]]/250),0)</f>
        <v>4</v>
      </c>
      <c r="BE15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0.34090909090909088</v>
      </c>
      <c r="BF153" s="483">
        <f>WWWW[[#This Row],[% people access to functioning Latrine]]*WWWW[[#This Row],[Total PoP ]]</f>
        <v>300</v>
      </c>
      <c r="BG153" s="478">
        <f>WWWW[[#This Row],['#_of_Functioning_latrines_in_school]]*50</f>
        <v>50</v>
      </c>
      <c r="BH153" s="478">
        <f>ROUND((WWWW[[#This Row],[Total PoP ]]/6),0)</f>
        <v>147</v>
      </c>
      <c r="BI153" s="478">
        <f>IF(WWWW[[#This Row],[Total required Latrines]]-(WWWW[[#This Row],['#_of_sanitary_fly-proof_HH_latrines]])&lt;0,0,WWWW[[#This Row],[Total required Latrines]]-(WWWW[[#This Row],['#_of_sanitary_fly-proof_HH_latrines]]))</f>
        <v>97</v>
      </c>
      <c r="BJ153" s="479">
        <f>1-WWWW[[#This Row],[% people access to functioning Latrine]]</f>
        <v>0.65909090909090917</v>
      </c>
      <c r="BK153"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12</v>
      </c>
      <c r="BL153" s="483">
        <f>IF(WWWW[[#This Row],['#_of_functional_handwashing_facilities_at_HH_level]]*6&gt;WWWW[[#This Row],[Total PoP ]],WWWW[[#This Row],[Total PoP ]],WWWW[[#This Row],['#_of_functional_handwashing_facilities_at_HH_level]]*6)</f>
        <v>72</v>
      </c>
      <c r="BM153" s="478">
        <f>IF(WWWW[[#This Row],['# people reached by regular dedicated hygiene promotion]]&gt;WWWW[[#This Row],['# People received regular supply of hygiene items]],WWWW[[#This Row],['# people reached by regular dedicated hygiene promotion]],WWWW[[#This Row],['# People received regular supply of hygiene items]])</f>
        <v>12</v>
      </c>
      <c r="BN153" s="476">
        <f>IF(WWWW[[#This Row],[HRP3]]/WWWW[[#This Row],[Total PoP ]]&gt;100%,100%,WWWW[[#This Row],[HRP3]]/WWWW[[#This Row],[Total PoP ]])</f>
        <v>1.3636363636363636E-2</v>
      </c>
      <c r="BO153" s="479">
        <f>1-WWWW[[#This Row],[Hygiene Coverage%]]</f>
        <v>0.98636363636363633</v>
      </c>
      <c r="BP153" s="477">
        <f>WWWW[[#This Row],['# people reached by regular dedicated hygiene promotion]]/WWWW[[#This Row],[Total PoP ]]</f>
        <v>1.3636363636363636E-2</v>
      </c>
      <c r="BQ15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53" s="478">
        <f>WWWW[[#This Row],['#_of_affected_women_and_girls_receiving_a_sufficient_quantity_of_sanitary_pads]]</f>
        <v>0</v>
      </c>
      <c r="BS153" s="524">
        <f>IF(WWWW[[#This Row],['# People with access to soap]]&gt;WWWW[[#This Row],['# People with access to Sanity Pads]],WWWW[[#This Row],['# People with access to soap]],WWWW[[#This Row],['# People with access to Sanity Pads]])</f>
        <v>0</v>
      </c>
      <c r="BT153" s="483" t="str">
        <f>IF(OR(WWWW[[#This Row],['#of students in school]]="",WWWW[[#This Row],['#of students in school]]=0),"No","Yes")</f>
        <v>Yes</v>
      </c>
      <c r="BU153" s="480" t="str">
        <f>VLOOKUP(WWWW[[#This Row],[Village  Name]],SiteDB6[[Site Name]:[Location Type 1]],9,FALSE)</f>
        <v>Village</v>
      </c>
      <c r="BV153" s="480" t="str">
        <f>VLOOKUP(WWWW[[#This Row],[Village  Name]],SiteDB6[[Site Name]:[Type of Accommodation]],10,FALSE)</f>
        <v>Village</v>
      </c>
      <c r="BW153" s="480">
        <f>VLOOKUP(WWWW[[#This Row],[Village  Name]],SiteDB6[[Site Name]:[Ethnic or GCA/NGCA]],11,FALSE)</f>
        <v>0</v>
      </c>
      <c r="BX153" s="480">
        <f>VLOOKUP(WWWW[[#This Row],[Village  Name]],SiteDB6[[Site Name]:[Lat]],12,FALSE)</f>
        <v>92.983703613281307</v>
      </c>
      <c r="BY153" s="480">
        <f>VLOOKUP(WWWW[[#This Row],[Village  Name]],SiteDB6[[Site Name]:[Long]],13,FALSE)</f>
        <v>20.776130676269499</v>
      </c>
      <c r="BZ153" s="480">
        <f>VLOOKUP(WWWW[[#This Row],[Village  Name]],SiteDB6[[Site Name]:[Pcode]],3,FALSE)</f>
        <v>196962</v>
      </c>
      <c r="CA153" s="480" t="str">
        <f t="shared" si="8"/>
        <v>Covered</v>
      </c>
      <c r="CB153" s="505"/>
    </row>
    <row r="154" spans="1:80">
      <c r="A154" s="774" t="s">
        <v>3150</v>
      </c>
      <c r="B154" s="774" t="s">
        <v>318</v>
      </c>
      <c r="C154" s="415" t="s">
        <v>318</v>
      </c>
      <c r="D154" s="415" t="s">
        <v>334</v>
      </c>
      <c r="E154" s="415" t="s">
        <v>2648</v>
      </c>
      <c r="F154" s="415" t="s">
        <v>302</v>
      </c>
      <c r="G154" s="644" t="str">
        <f>VLOOKUP(WWWW[[#This Row],[Village  Name]],SiteDB6[[Site Name]:[Location Type]],8,FALSE)</f>
        <v>Village</v>
      </c>
      <c r="H154" s="415" t="s">
        <v>3167</v>
      </c>
      <c r="I154" s="524">
        <v>29</v>
      </c>
      <c r="J154" s="524">
        <v>137</v>
      </c>
      <c r="K154" s="418">
        <v>43647</v>
      </c>
      <c r="L154" s="55">
        <v>44043</v>
      </c>
      <c r="M154" s="524">
        <v>30</v>
      </c>
      <c r="N154" s="524"/>
      <c r="O154" s="524"/>
      <c r="P154" s="524"/>
      <c r="Q154" s="524">
        <v>2</v>
      </c>
      <c r="R154" s="524"/>
      <c r="S154" s="524">
        <v>2</v>
      </c>
      <c r="T154" s="524"/>
      <c r="U154" s="551"/>
      <c r="V154" s="524">
        <v>15</v>
      </c>
      <c r="W154" s="524" t="s">
        <v>130</v>
      </c>
      <c r="X154" s="524"/>
      <c r="Y154" s="524"/>
      <c r="Z154" s="524"/>
      <c r="AA154" s="524"/>
      <c r="AB154" s="524"/>
      <c r="AC154" s="551"/>
      <c r="AD154" s="524"/>
      <c r="AE154" s="524">
        <v>12</v>
      </c>
      <c r="AF154" s="524"/>
      <c r="AG154" s="524"/>
      <c r="AH154" s="524"/>
      <c r="AI154" s="524"/>
      <c r="AJ154" s="524">
        <v>12</v>
      </c>
      <c r="AK154" s="524"/>
      <c r="AL154" s="524"/>
      <c r="AM154" s="524"/>
      <c r="AN154" s="551"/>
      <c r="AO154" s="477"/>
      <c r="AP154" s="477"/>
      <c r="AQ154" s="524"/>
      <c r="AR154" s="524"/>
      <c r="AS154" s="524"/>
      <c r="AT15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54" s="483">
        <f>WWWW[[#This Row],[%Equitable and continuous access to sufficient quantity of safe drinking water]]*WWWW[[#This Row],[Total PoP ]]</f>
        <v>0</v>
      </c>
      <c r="AV15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54" s="483">
        <f>WWWW[[#This Row],[% Access to unimproved water points]]*WWWW[[#This Row],[Total PoP ]]</f>
        <v>137</v>
      </c>
      <c r="AX15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5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137</v>
      </c>
      <c r="AZ154" s="483">
        <f>WWWW[[#This Row],[HRP1]]/250</f>
        <v>0.54800000000000004</v>
      </c>
      <c r="BA154" s="476">
        <f>1-WWWW[[#This Row],[% Equitable and continuous access to sufficient quantity of domestic water]]</f>
        <v>0</v>
      </c>
      <c r="BB154" s="483">
        <f>WWWW[[#This Row],[%equitable and continuous access to sufficient quantity of safe drinking and domestic water''s GAP]]*WWWW[[#This Row],[Total PoP ]]</f>
        <v>0</v>
      </c>
      <c r="BC154" s="478">
        <f>IF(WWWW[[#This Row],[Total required water points]]-WWWW[[#This Row],['#Water points coverage]]&lt;0,0,WWWW[[#This Row],[Total required water points]]-WWWW[[#This Row],['#Water points coverage]])</f>
        <v>0.45199999999999996</v>
      </c>
      <c r="BD154" s="478">
        <f>ROUND(IF(WWWW[[#This Row],[Total PoP ]]&lt;250,1,WWWW[[#This Row],[Total PoP ]]/250),0)</f>
        <v>1</v>
      </c>
      <c r="BE15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0.65693430656934304</v>
      </c>
      <c r="BF154" s="483">
        <f>WWWW[[#This Row],[% people access to functioning Latrine]]*WWWW[[#This Row],[Total PoP ]]</f>
        <v>90</v>
      </c>
      <c r="BG154" s="478">
        <f>WWWW[[#This Row],['#_of_Functioning_latrines_in_school]]*50</f>
        <v>0</v>
      </c>
      <c r="BH154" s="478">
        <f>ROUND((WWWW[[#This Row],[Total PoP ]]/6),0)</f>
        <v>23</v>
      </c>
      <c r="BI154" s="478">
        <f>IF(WWWW[[#This Row],[Total required Latrines]]-(WWWW[[#This Row],['#_of_sanitary_fly-proof_HH_latrines]])&lt;0,0,WWWW[[#This Row],[Total required Latrines]]-(WWWW[[#This Row],['#_of_sanitary_fly-proof_HH_latrines]]))</f>
        <v>8</v>
      </c>
      <c r="BJ154" s="479">
        <f>1-WWWW[[#This Row],[% people access to functioning Latrine]]</f>
        <v>0.34306569343065696</v>
      </c>
      <c r="BK15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12</v>
      </c>
      <c r="BL154" s="483">
        <f>IF(WWWW[[#This Row],['#_of_functional_handwashing_facilities_at_HH_level]]*6&gt;WWWW[[#This Row],[Total PoP ]],WWWW[[#This Row],[Total PoP ]],WWWW[[#This Row],['#_of_functional_handwashing_facilities_at_HH_level]]*6)</f>
        <v>72</v>
      </c>
      <c r="BM154" s="478">
        <f>IF(WWWW[[#This Row],['# people reached by regular dedicated hygiene promotion]]&gt;WWWW[[#This Row],['# People received regular supply of hygiene items]],WWWW[[#This Row],['# people reached by regular dedicated hygiene promotion]],WWWW[[#This Row],['# People received regular supply of hygiene items]])</f>
        <v>12</v>
      </c>
      <c r="BN154" s="476">
        <f>IF(WWWW[[#This Row],[HRP3]]/WWWW[[#This Row],[Total PoP ]]&gt;100%,100%,WWWW[[#This Row],[HRP3]]/WWWW[[#This Row],[Total PoP ]])</f>
        <v>8.7591240875912413E-2</v>
      </c>
      <c r="BO154" s="479">
        <f>1-WWWW[[#This Row],[Hygiene Coverage%]]</f>
        <v>0.91240875912408759</v>
      </c>
      <c r="BP154" s="477">
        <f>WWWW[[#This Row],['# people reached by regular dedicated hygiene promotion]]/WWWW[[#This Row],[Total PoP ]]</f>
        <v>8.7591240875912413E-2</v>
      </c>
      <c r="BQ15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54" s="478">
        <f>WWWW[[#This Row],['#_of_affected_women_and_girls_receiving_a_sufficient_quantity_of_sanitary_pads]]</f>
        <v>0</v>
      </c>
      <c r="BS154" s="524">
        <f>IF(WWWW[[#This Row],['# People with access to soap]]&gt;WWWW[[#This Row],['# People with access to Sanity Pads]],WWWW[[#This Row],['# People with access to soap]],WWWW[[#This Row],['# People with access to Sanity Pads]])</f>
        <v>0</v>
      </c>
      <c r="BT154" s="483" t="str">
        <f>IF(OR(WWWW[[#This Row],['#of students in school]]="",WWWW[[#This Row],['#of students in school]]=0),"No","Yes")</f>
        <v>Yes</v>
      </c>
      <c r="BU154" s="480" t="str">
        <f>VLOOKUP(WWWW[[#This Row],[Village  Name]],SiteDB6[[Site Name]:[Location Type 1]],9,FALSE)</f>
        <v>Village</v>
      </c>
      <c r="BV154" s="480" t="str">
        <f>VLOOKUP(WWWW[[#This Row],[Village  Name]],SiteDB6[[Site Name]:[Type of Accommodation]],10,FALSE)</f>
        <v>Village</v>
      </c>
      <c r="BW154" s="480">
        <f>VLOOKUP(WWWW[[#This Row],[Village  Name]],SiteDB6[[Site Name]:[Ethnic or GCA/NGCA]],11,FALSE)</f>
        <v>0</v>
      </c>
      <c r="BX154" s="480">
        <f>VLOOKUP(WWWW[[#This Row],[Village  Name]],SiteDB6[[Site Name]:[Lat]],12,FALSE)</f>
        <v>92.929412841796903</v>
      </c>
      <c r="BY154" s="480">
        <f>VLOOKUP(WWWW[[#This Row],[Village  Name]],SiteDB6[[Site Name]:[Long]],13,FALSE)</f>
        <v>20.642980575561499</v>
      </c>
      <c r="BZ154" s="480">
        <f>VLOOKUP(WWWW[[#This Row],[Village  Name]],SiteDB6[[Site Name]:[Pcode]],3,FALSE)</f>
        <v>196919</v>
      </c>
      <c r="CA154" s="480" t="str">
        <f t="shared" si="8"/>
        <v>Covered</v>
      </c>
      <c r="CB154" s="505"/>
    </row>
    <row r="155" spans="1:80">
      <c r="A155" s="774" t="s">
        <v>3150</v>
      </c>
      <c r="B155" s="774" t="s">
        <v>318</v>
      </c>
      <c r="C155" s="415" t="s">
        <v>318</v>
      </c>
      <c r="D155" s="415" t="s">
        <v>334</v>
      </c>
      <c r="E155" s="415" t="s">
        <v>2648</v>
      </c>
      <c r="F155" s="415" t="s">
        <v>302</v>
      </c>
      <c r="G155" s="644" t="str">
        <f>VLOOKUP(WWWW[[#This Row],[Village  Name]],SiteDB6[[Site Name]:[Location Type]],8,FALSE)</f>
        <v>Village</v>
      </c>
      <c r="H155" s="415" t="s">
        <v>552</v>
      </c>
      <c r="I155" s="524">
        <v>361</v>
      </c>
      <c r="J155" s="524">
        <v>1669</v>
      </c>
      <c r="K155" s="418">
        <v>43647</v>
      </c>
      <c r="L155" s="55">
        <v>44043</v>
      </c>
      <c r="M155" s="524">
        <v>512</v>
      </c>
      <c r="N155" s="524"/>
      <c r="O155" s="524"/>
      <c r="P155" s="524"/>
      <c r="Q155" s="524">
        <v>4</v>
      </c>
      <c r="R155" s="524"/>
      <c r="S155" s="524">
        <v>5</v>
      </c>
      <c r="T155" s="524">
        <v>1</v>
      </c>
      <c r="U155" s="551"/>
      <c r="V155" s="524">
        <v>210</v>
      </c>
      <c r="W155" s="524" t="s">
        <v>130</v>
      </c>
      <c r="X155" s="524">
        <v>4</v>
      </c>
      <c r="Y155" s="524">
        <v>6</v>
      </c>
      <c r="Z155" s="524"/>
      <c r="AA155" s="524">
        <v>1</v>
      </c>
      <c r="AB155" s="524"/>
      <c r="AC155" s="551"/>
      <c r="AD155" s="524"/>
      <c r="AE155" s="524">
        <v>12</v>
      </c>
      <c r="AF155" s="524"/>
      <c r="AG155" s="524"/>
      <c r="AH155" s="524"/>
      <c r="AI155" s="524"/>
      <c r="AJ155" s="524">
        <v>12</v>
      </c>
      <c r="AK155" s="524"/>
      <c r="AL155" s="524"/>
      <c r="AM155" s="524"/>
      <c r="AN155" s="551"/>
      <c r="AO155" s="477"/>
      <c r="AP155" s="477"/>
      <c r="AQ155" s="524"/>
      <c r="AR155" s="524"/>
      <c r="AS155" s="524"/>
      <c r="AT15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0.14979029358897544</v>
      </c>
      <c r="AU155" s="483">
        <f>WWWW[[#This Row],[%Equitable and continuous access to sufficient quantity of safe drinking water]]*WWWW[[#This Row],[Total PoP ]]</f>
        <v>250</v>
      </c>
      <c r="AV15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55" s="483">
        <f>WWWW[[#This Row],[% Access to unimproved water points]]*WWWW[[#This Row],[Total PoP ]]</f>
        <v>1669</v>
      </c>
      <c r="AX15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5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1669</v>
      </c>
      <c r="AZ155" s="483">
        <f>WWWW[[#This Row],[HRP1]]/250</f>
        <v>6.6760000000000002</v>
      </c>
      <c r="BA155" s="476">
        <f>1-WWWW[[#This Row],[% Equitable and continuous access to sufficient quantity of domestic water]]</f>
        <v>0</v>
      </c>
      <c r="BB155" s="483">
        <f>WWWW[[#This Row],[%equitable and continuous access to sufficient quantity of safe drinking and domestic water''s GAP]]*WWWW[[#This Row],[Total PoP ]]</f>
        <v>0</v>
      </c>
      <c r="BC155" s="478">
        <f>IF(WWWW[[#This Row],[Total required water points]]-WWWW[[#This Row],['#Water points coverage]]&lt;0,0,WWWW[[#This Row],[Total required water points]]-WWWW[[#This Row],['#Water points coverage]])</f>
        <v>0.32399999999999984</v>
      </c>
      <c r="BD155" s="478">
        <f>ROUND(IF(WWWW[[#This Row],[Total PoP ]]&lt;250,1,WWWW[[#This Row],[Total PoP ]]/250),0)</f>
        <v>7</v>
      </c>
      <c r="BE15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0.75494307968843621</v>
      </c>
      <c r="BF155" s="483">
        <f>WWWW[[#This Row],[% people access to functioning Latrine]]*WWWW[[#This Row],[Total PoP ]]</f>
        <v>1260</v>
      </c>
      <c r="BG155" s="478">
        <f>WWWW[[#This Row],['#_of_Functioning_latrines_in_school]]*50</f>
        <v>200</v>
      </c>
      <c r="BH155" s="478">
        <f>ROUND((WWWW[[#This Row],[Total PoP ]]/6),0)</f>
        <v>278</v>
      </c>
      <c r="BI155" s="478">
        <f>IF(WWWW[[#This Row],[Total required Latrines]]-(WWWW[[#This Row],['#_of_sanitary_fly-proof_HH_latrines]])&lt;0,0,WWWW[[#This Row],[Total required Latrines]]-(WWWW[[#This Row],['#_of_sanitary_fly-proof_HH_latrines]]))</f>
        <v>68</v>
      </c>
      <c r="BJ155" s="479">
        <f>1-WWWW[[#This Row],[% people access to functioning Latrine]]</f>
        <v>0.24505692031156379</v>
      </c>
      <c r="BK15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12</v>
      </c>
      <c r="BL155" s="483">
        <f>IF(WWWW[[#This Row],['#_of_functional_handwashing_facilities_at_HH_level]]*6&gt;WWWW[[#This Row],[Total PoP ]],WWWW[[#This Row],[Total PoP ]],WWWW[[#This Row],['#_of_functional_handwashing_facilities_at_HH_level]]*6)</f>
        <v>72</v>
      </c>
      <c r="BM155" s="478">
        <f>IF(WWWW[[#This Row],['# people reached by regular dedicated hygiene promotion]]&gt;WWWW[[#This Row],['# People received regular supply of hygiene items]],WWWW[[#This Row],['# people reached by regular dedicated hygiene promotion]],WWWW[[#This Row],['# People received regular supply of hygiene items]])</f>
        <v>12</v>
      </c>
      <c r="BN155" s="476">
        <f>IF(WWWW[[#This Row],[HRP3]]/WWWW[[#This Row],[Total PoP ]]&gt;100%,100%,WWWW[[#This Row],[HRP3]]/WWWW[[#This Row],[Total PoP ]])</f>
        <v>7.1899340922708206E-3</v>
      </c>
      <c r="BO155" s="479">
        <f>1-WWWW[[#This Row],[Hygiene Coverage%]]</f>
        <v>0.99281006590772913</v>
      </c>
      <c r="BP155" s="477">
        <f>WWWW[[#This Row],['# people reached by regular dedicated hygiene promotion]]/WWWW[[#This Row],[Total PoP ]]</f>
        <v>7.1899340922708206E-3</v>
      </c>
      <c r="BQ15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55" s="478">
        <f>WWWW[[#This Row],['#_of_affected_women_and_girls_receiving_a_sufficient_quantity_of_sanitary_pads]]</f>
        <v>0</v>
      </c>
      <c r="BS155" s="524">
        <f>IF(WWWW[[#This Row],['# People with access to soap]]&gt;WWWW[[#This Row],['# People with access to Sanity Pads]],WWWW[[#This Row],['# People with access to soap]],WWWW[[#This Row],['# People with access to Sanity Pads]])</f>
        <v>0</v>
      </c>
      <c r="BT155" s="483" t="str">
        <f>IF(OR(WWWW[[#This Row],['#of students in school]]="",WWWW[[#This Row],['#of students in school]]=0),"No","Yes")</f>
        <v>Yes</v>
      </c>
      <c r="BU155" s="480" t="str">
        <f>VLOOKUP(WWWW[[#This Row],[Village  Name]],SiteDB6[[Site Name]:[Location Type 1]],9,FALSE)</f>
        <v>Village</v>
      </c>
      <c r="BV155" s="480" t="str">
        <f>VLOOKUP(WWWW[[#This Row],[Village  Name]],SiteDB6[[Site Name]:[Type of Accommodation]],10,FALSE)</f>
        <v>Village</v>
      </c>
      <c r="BW155" s="480" t="str">
        <f>VLOOKUP(WWWW[[#This Row],[Village  Name]],SiteDB6[[Site Name]:[Ethnic or GCA/NGCA]],11,FALSE)</f>
        <v>Rakhine</v>
      </c>
      <c r="BX155" s="480">
        <f>VLOOKUP(WWWW[[#This Row],[Village  Name]],SiteDB6[[Site Name]:[Lat]],12,FALSE)</f>
        <v>20.705930710000001</v>
      </c>
      <c r="BY155" s="480">
        <f>VLOOKUP(WWWW[[#This Row],[Village  Name]],SiteDB6[[Site Name]:[Long]],13,FALSE)</f>
        <v>93.001953130000004</v>
      </c>
      <c r="BZ155" s="480">
        <f>VLOOKUP(WWWW[[#This Row],[Village  Name]],SiteDB6[[Site Name]:[Pcode]],3,FALSE)</f>
        <v>196943</v>
      </c>
      <c r="CA155" s="480" t="str">
        <f t="shared" si="8"/>
        <v>Covered</v>
      </c>
      <c r="CB155" s="505"/>
    </row>
    <row r="156" spans="1:80">
      <c r="A156" s="774" t="s">
        <v>3150</v>
      </c>
      <c r="B156" s="774" t="s">
        <v>318</v>
      </c>
      <c r="C156" s="415" t="s">
        <v>318</v>
      </c>
      <c r="D156" s="415" t="s">
        <v>334</v>
      </c>
      <c r="E156" s="415" t="s">
        <v>2648</v>
      </c>
      <c r="F156" s="415" t="s">
        <v>302</v>
      </c>
      <c r="G156" s="644" t="str">
        <f>VLOOKUP(WWWW[[#This Row],[Village  Name]],SiteDB6[[Site Name]:[Location Type]],8,FALSE)</f>
        <v>Village</v>
      </c>
      <c r="H156" s="415" t="s">
        <v>2280</v>
      </c>
      <c r="I156" s="524">
        <v>86</v>
      </c>
      <c r="J156" s="524">
        <v>404</v>
      </c>
      <c r="K156" s="418">
        <v>43647</v>
      </c>
      <c r="L156" s="55">
        <v>44043</v>
      </c>
      <c r="M156" s="524">
        <v>55</v>
      </c>
      <c r="N156" s="524"/>
      <c r="O156" s="524"/>
      <c r="P156" s="524"/>
      <c r="Q156" s="524">
        <v>3</v>
      </c>
      <c r="R156" s="524"/>
      <c r="S156" s="524"/>
      <c r="T156" s="524"/>
      <c r="U156" s="551"/>
      <c r="V156" s="524">
        <v>35</v>
      </c>
      <c r="W156" s="524" t="s">
        <v>130</v>
      </c>
      <c r="X156" s="524">
        <v>2</v>
      </c>
      <c r="Y156" s="524">
        <v>4</v>
      </c>
      <c r="Z156" s="524"/>
      <c r="AA156" s="524"/>
      <c r="AB156" s="524"/>
      <c r="AC156" s="551"/>
      <c r="AD156" s="524"/>
      <c r="AE156" s="524">
        <v>12</v>
      </c>
      <c r="AF156" s="524"/>
      <c r="AG156" s="524"/>
      <c r="AH156" s="524"/>
      <c r="AI156" s="524"/>
      <c r="AJ156" s="524">
        <v>9</v>
      </c>
      <c r="AK156" s="524"/>
      <c r="AL156" s="524"/>
      <c r="AM156" s="524"/>
      <c r="AN156" s="551"/>
      <c r="AO156" s="477"/>
      <c r="AP156" s="477"/>
      <c r="AQ156" s="524"/>
      <c r="AR156" s="524"/>
      <c r="AS156" s="524"/>
      <c r="AT15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56" s="483">
        <f>WWWW[[#This Row],[%Equitable and continuous access to sufficient quantity of safe drinking water]]*WWWW[[#This Row],[Total PoP ]]</f>
        <v>0</v>
      </c>
      <c r="AV15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56" s="483">
        <f>WWWW[[#This Row],[% Access to unimproved water points]]*WWWW[[#This Row],[Total PoP ]]</f>
        <v>404</v>
      </c>
      <c r="AX15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5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404</v>
      </c>
      <c r="AZ156" s="483">
        <f>WWWW[[#This Row],[HRP1]]/250</f>
        <v>1.6160000000000001</v>
      </c>
      <c r="BA156" s="476">
        <f>1-WWWW[[#This Row],[% Equitable and continuous access to sufficient quantity of domestic water]]</f>
        <v>0</v>
      </c>
      <c r="BB156" s="483">
        <f>WWWW[[#This Row],[%equitable and continuous access to sufficient quantity of safe drinking and domestic water''s GAP]]*WWWW[[#This Row],[Total PoP ]]</f>
        <v>0</v>
      </c>
      <c r="BC156" s="478">
        <f>IF(WWWW[[#This Row],[Total required water points]]-WWWW[[#This Row],['#Water points coverage]]&lt;0,0,WWWW[[#This Row],[Total required water points]]-WWWW[[#This Row],['#Water points coverage]])</f>
        <v>0.3839999999999999</v>
      </c>
      <c r="BD156" s="478">
        <f>ROUND(IF(WWWW[[#This Row],[Total PoP ]]&lt;250,1,WWWW[[#This Row],[Total PoP ]]/250),0)</f>
        <v>2</v>
      </c>
      <c r="BE15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0.51980198019801982</v>
      </c>
      <c r="BF156" s="483">
        <f>WWWW[[#This Row],[% people access to functioning Latrine]]*WWWW[[#This Row],[Total PoP ]]</f>
        <v>210</v>
      </c>
      <c r="BG156" s="478">
        <f>WWWW[[#This Row],['#_of_Functioning_latrines_in_school]]*50</f>
        <v>100</v>
      </c>
      <c r="BH156" s="478">
        <f>ROUND((WWWW[[#This Row],[Total PoP ]]/6),0)</f>
        <v>67</v>
      </c>
      <c r="BI156" s="478">
        <f>IF(WWWW[[#This Row],[Total required Latrines]]-(WWWW[[#This Row],['#_of_sanitary_fly-proof_HH_latrines]])&lt;0,0,WWWW[[#This Row],[Total required Latrines]]-(WWWW[[#This Row],['#_of_sanitary_fly-proof_HH_latrines]]))</f>
        <v>32</v>
      </c>
      <c r="BJ156" s="479">
        <f>1-WWWW[[#This Row],[% people access to functioning Latrine]]</f>
        <v>0.48019801980198018</v>
      </c>
      <c r="BK15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12</v>
      </c>
      <c r="BL156" s="483">
        <f>IF(WWWW[[#This Row],['#_of_functional_handwashing_facilities_at_HH_level]]*6&gt;WWWW[[#This Row],[Total PoP ]],WWWW[[#This Row],[Total PoP ]],WWWW[[#This Row],['#_of_functional_handwashing_facilities_at_HH_level]]*6)</f>
        <v>54</v>
      </c>
      <c r="BM156" s="478">
        <f>IF(WWWW[[#This Row],['# people reached by regular dedicated hygiene promotion]]&gt;WWWW[[#This Row],['# People received regular supply of hygiene items]],WWWW[[#This Row],['# people reached by regular dedicated hygiene promotion]],WWWW[[#This Row],['# People received regular supply of hygiene items]])</f>
        <v>12</v>
      </c>
      <c r="BN156" s="476">
        <f>IF(WWWW[[#This Row],[HRP3]]/WWWW[[#This Row],[Total PoP ]]&gt;100%,100%,WWWW[[#This Row],[HRP3]]/WWWW[[#This Row],[Total PoP ]])</f>
        <v>2.9702970297029702E-2</v>
      </c>
      <c r="BO156" s="479">
        <f>1-WWWW[[#This Row],[Hygiene Coverage%]]</f>
        <v>0.97029702970297027</v>
      </c>
      <c r="BP156" s="477">
        <f>WWWW[[#This Row],['# people reached by regular dedicated hygiene promotion]]/WWWW[[#This Row],[Total PoP ]]</f>
        <v>2.9702970297029702E-2</v>
      </c>
      <c r="BQ15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56" s="478">
        <f>WWWW[[#This Row],['#_of_affected_women_and_girls_receiving_a_sufficient_quantity_of_sanitary_pads]]</f>
        <v>0</v>
      </c>
      <c r="BS156" s="524">
        <f>IF(WWWW[[#This Row],['# People with access to soap]]&gt;WWWW[[#This Row],['# People with access to Sanity Pads]],WWWW[[#This Row],['# People with access to soap]],WWWW[[#This Row],['# People with access to Sanity Pads]])</f>
        <v>0</v>
      </c>
      <c r="BT156" s="483" t="str">
        <f>IF(OR(WWWW[[#This Row],['#of students in school]]="",WWWW[[#This Row],['#of students in school]]=0),"No","Yes")</f>
        <v>Yes</v>
      </c>
      <c r="BU156" s="480" t="str">
        <f>VLOOKUP(WWWW[[#This Row],[Village  Name]],SiteDB6[[Site Name]:[Location Type 1]],9,FALSE)</f>
        <v>Village</v>
      </c>
      <c r="BV156" s="480" t="str">
        <f>VLOOKUP(WWWW[[#This Row],[Village  Name]],SiteDB6[[Site Name]:[Type of Accommodation]],10,FALSE)</f>
        <v>Village</v>
      </c>
      <c r="BW156" s="480">
        <f>VLOOKUP(WWWW[[#This Row],[Village  Name]],SiteDB6[[Site Name]:[Ethnic or GCA/NGCA]],11,FALSE)</f>
        <v>0</v>
      </c>
      <c r="BX156" s="480">
        <f>VLOOKUP(WWWW[[#This Row],[Village  Name]],SiteDB6[[Site Name]:[Lat]],12,FALSE)</f>
        <v>20.640909189999999</v>
      </c>
      <c r="BY156" s="480">
        <f>VLOOKUP(WWWW[[#This Row],[Village  Name]],SiteDB6[[Site Name]:[Long]],13,FALSE)</f>
        <v>92.979751590000006</v>
      </c>
      <c r="BZ156" s="480">
        <f>VLOOKUP(WWWW[[#This Row],[Village  Name]],SiteDB6[[Site Name]:[Pcode]],3,FALSE)</f>
        <v>196938</v>
      </c>
      <c r="CA156" s="480" t="str">
        <f t="shared" si="8"/>
        <v>Covered</v>
      </c>
      <c r="CB156" s="505"/>
    </row>
    <row r="157" spans="1:80">
      <c r="A157" s="774" t="s">
        <v>3150</v>
      </c>
      <c r="B157" s="774" t="s">
        <v>318</v>
      </c>
      <c r="C157" s="415" t="s">
        <v>318</v>
      </c>
      <c r="D157" s="415" t="s">
        <v>334</v>
      </c>
      <c r="E157" s="415" t="s">
        <v>2648</v>
      </c>
      <c r="F157" s="415" t="s">
        <v>302</v>
      </c>
      <c r="G157" s="644" t="str">
        <f>VLOOKUP(WWWW[[#This Row],[Village  Name]],SiteDB6[[Site Name]:[Location Type]],8,FALSE)</f>
        <v>Village</v>
      </c>
      <c r="H157" s="415" t="s">
        <v>3169</v>
      </c>
      <c r="I157" s="524">
        <v>181</v>
      </c>
      <c r="J157" s="524">
        <v>833</v>
      </c>
      <c r="K157" s="418">
        <v>43647</v>
      </c>
      <c r="L157" s="55">
        <v>44043</v>
      </c>
      <c r="M157" s="524">
        <v>195</v>
      </c>
      <c r="N157" s="524"/>
      <c r="O157" s="524"/>
      <c r="P157" s="524"/>
      <c r="Q157" s="524"/>
      <c r="R157" s="524"/>
      <c r="S157" s="524">
        <v>4</v>
      </c>
      <c r="T157" s="524"/>
      <c r="U157" s="551"/>
      <c r="V157" s="524">
        <v>75</v>
      </c>
      <c r="W157" s="524" t="s">
        <v>130</v>
      </c>
      <c r="X157" s="524">
        <v>1</v>
      </c>
      <c r="Y157" s="524">
        <v>4</v>
      </c>
      <c r="Z157" s="524"/>
      <c r="AA157" s="524"/>
      <c r="AB157" s="524"/>
      <c r="AC157" s="551"/>
      <c r="AD157" s="524">
        <v>1</v>
      </c>
      <c r="AE157" s="524">
        <v>11</v>
      </c>
      <c r="AF157" s="524"/>
      <c r="AG157" s="524"/>
      <c r="AH157" s="524"/>
      <c r="AI157" s="524"/>
      <c r="AJ157" s="524">
        <v>11</v>
      </c>
      <c r="AK157" s="524"/>
      <c r="AL157" s="524"/>
      <c r="AM157" s="524"/>
      <c r="AN157" s="551"/>
      <c r="AO157" s="477"/>
      <c r="AP157" s="477"/>
      <c r="AQ157" s="524"/>
      <c r="AR157" s="524"/>
      <c r="AS157" s="524"/>
      <c r="AT15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57" s="483">
        <f>WWWW[[#This Row],[%Equitable and continuous access to sufficient quantity of safe drinking water]]*WWWW[[#This Row],[Total PoP ]]</f>
        <v>0</v>
      </c>
      <c r="AV15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4.8019207683073226E-3</v>
      </c>
      <c r="AW157" s="483">
        <f>WWWW[[#This Row],[% Access to unimproved water points]]*WWWW[[#This Row],[Total PoP ]]</f>
        <v>3.9999999999999996</v>
      </c>
      <c r="AX15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4.8019207683073226E-3</v>
      </c>
      <c r="AY15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3.9999999999999996</v>
      </c>
      <c r="AZ157" s="483">
        <f>WWWW[[#This Row],[HRP1]]/250</f>
        <v>1.5999999999999997E-2</v>
      </c>
      <c r="BA157" s="476">
        <f>1-WWWW[[#This Row],[% Equitable and continuous access to sufficient quantity of domestic water]]</f>
        <v>0.99519807923169268</v>
      </c>
      <c r="BB157" s="483">
        <f>WWWW[[#This Row],[%equitable and continuous access to sufficient quantity of safe drinking and domestic water''s GAP]]*WWWW[[#This Row],[Total PoP ]]</f>
        <v>829</v>
      </c>
      <c r="BC157" s="478">
        <f>IF(WWWW[[#This Row],[Total required water points]]-WWWW[[#This Row],['#Water points coverage]]&lt;0,0,WWWW[[#This Row],[Total required water points]]-WWWW[[#This Row],['#Water points coverage]])</f>
        <v>2.984</v>
      </c>
      <c r="BD157" s="478">
        <f>ROUND(IF(WWWW[[#This Row],[Total PoP ]]&lt;250,1,WWWW[[#This Row],[Total PoP ]]/250),0)</f>
        <v>3</v>
      </c>
      <c r="BE15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0.54021608643457386</v>
      </c>
      <c r="BF157" s="483">
        <f>WWWW[[#This Row],[% people access to functioning Latrine]]*WWWW[[#This Row],[Total PoP ]]</f>
        <v>450</v>
      </c>
      <c r="BG157" s="478">
        <f>WWWW[[#This Row],['#_of_Functioning_latrines_in_school]]*50</f>
        <v>50</v>
      </c>
      <c r="BH157" s="478">
        <f>ROUND((WWWW[[#This Row],[Total PoP ]]/6),0)</f>
        <v>139</v>
      </c>
      <c r="BI157" s="478">
        <f>IF(WWWW[[#This Row],[Total required Latrines]]-(WWWW[[#This Row],['#_of_sanitary_fly-proof_HH_latrines]])&lt;0,0,WWWW[[#This Row],[Total required Latrines]]-(WWWW[[#This Row],['#_of_sanitary_fly-proof_HH_latrines]]))</f>
        <v>64</v>
      </c>
      <c r="BJ157" s="479">
        <f>1-WWWW[[#This Row],[% people access to functioning Latrine]]</f>
        <v>0.45978391356542614</v>
      </c>
      <c r="BK15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12</v>
      </c>
      <c r="BL157" s="483">
        <f>IF(WWWW[[#This Row],['#_of_functional_handwashing_facilities_at_HH_level]]*6&gt;WWWW[[#This Row],[Total PoP ]],WWWW[[#This Row],[Total PoP ]],WWWW[[#This Row],['#_of_functional_handwashing_facilities_at_HH_level]]*6)</f>
        <v>66</v>
      </c>
      <c r="BM157" s="478">
        <f>IF(WWWW[[#This Row],['# people reached by regular dedicated hygiene promotion]]&gt;WWWW[[#This Row],['# People received regular supply of hygiene items]],WWWW[[#This Row],['# people reached by regular dedicated hygiene promotion]],WWWW[[#This Row],['# People received regular supply of hygiene items]])</f>
        <v>12</v>
      </c>
      <c r="BN157" s="476">
        <f>IF(WWWW[[#This Row],[HRP3]]/WWWW[[#This Row],[Total PoP ]]&gt;100%,100%,WWWW[[#This Row],[HRP3]]/WWWW[[#This Row],[Total PoP ]])</f>
        <v>1.4405762304921969E-2</v>
      </c>
      <c r="BO157" s="479">
        <f>1-WWWW[[#This Row],[Hygiene Coverage%]]</f>
        <v>0.98559423769507803</v>
      </c>
      <c r="BP157" s="477">
        <f>WWWW[[#This Row],['# people reached by regular dedicated hygiene promotion]]/WWWW[[#This Row],[Total PoP ]]</f>
        <v>1.4405762304921969E-2</v>
      </c>
      <c r="BQ15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57" s="478">
        <f>WWWW[[#This Row],['#_of_affected_women_and_girls_receiving_a_sufficient_quantity_of_sanitary_pads]]</f>
        <v>0</v>
      </c>
      <c r="BS157" s="524">
        <f>IF(WWWW[[#This Row],['# People with access to soap]]&gt;WWWW[[#This Row],['# People with access to Sanity Pads]],WWWW[[#This Row],['# People with access to soap]],WWWW[[#This Row],['# People with access to Sanity Pads]])</f>
        <v>0</v>
      </c>
      <c r="BT157" s="483" t="str">
        <f>IF(OR(WWWW[[#This Row],['#of students in school]]="",WWWW[[#This Row],['#of students in school]]=0),"No","Yes")</f>
        <v>Yes</v>
      </c>
      <c r="BU157" s="480" t="str">
        <f>VLOOKUP(WWWW[[#This Row],[Village  Name]],SiteDB6[[Site Name]:[Location Type 1]],9,FALSE)</f>
        <v>Village</v>
      </c>
      <c r="BV157" s="480" t="str">
        <f>VLOOKUP(WWWW[[#This Row],[Village  Name]],SiteDB6[[Site Name]:[Type of Accommodation]],10,FALSE)</f>
        <v>Village</v>
      </c>
      <c r="BW157" s="480">
        <f>VLOOKUP(WWWW[[#This Row],[Village  Name]],SiteDB6[[Site Name]:[Ethnic or GCA/NGCA]],11,FALSE)</f>
        <v>0</v>
      </c>
      <c r="BX157" s="480">
        <f>VLOOKUP(WWWW[[#This Row],[Village  Name]],SiteDB6[[Site Name]:[Lat]],12,FALSE)</f>
        <v>92.934356689453097</v>
      </c>
      <c r="BY157" s="480">
        <f>VLOOKUP(WWWW[[#This Row],[Village  Name]],SiteDB6[[Site Name]:[Long]],13,FALSE)</f>
        <v>20.657760620117202</v>
      </c>
      <c r="BZ157" s="480">
        <f>VLOOKUP(WWWW[[#This Row],[Village  Name]],SiteDB6[[Site Name]:[Pcode]],3,FALSE)</f>
        <v>196925</v>
      </c>
      <c r="CA157" s="480" t="str">
        <f t="shared" si="8"/>
        <v>Covered</v>
      </c>
      <c r="CB157" s="505"/>
    </row>
    <row r="158" spans="1:80">
      <c r="A158" s="774" t="s">
        <v>3150</v>
      </c>
      <c r="B158" s="774" t="s">
        <v>318</v>
      </c>
      <c r="C158" s="415" t="s">
        <v>318</v>
      </c>
      <c r="D158" s="415" t="s">
        <v>334</v>
      </c>
      <c r="E158" s="415" t="s">
        <v>2648</v>
      </c>
      <c r="F158" s="415" t="s">
        <v>302</v>
      </c>
      <c r="G158" s="644" t="str">
        <f>VLOOKUP(WWWW[[#This Row],[Village  Name]],SiteDB6[[Site Name]:[Location Type]],8,FALSE)</f>
        <v>Village</v>
      </c>
      <c r="H158" s="415" t="s">
        <v>3171</v>
      </c>
      <c r="I158" s="524">
        <v>34</v>
      </c>
      <c r="J158" s="524">
        <v>198</v>
      </c>
      <c r="K158" s="418">
        <v>43647</v>
      </c>
      <c r="L158" s="55">
        <v>44043</v>
      </c>
      <c r="M158" s="524">
        <v>205</v>
      </c>
      <c r="N158" s="524"/>
      <c r="O158" s="524"/>
      <c r="P158" s="524"/>
      <c r="Q158" s="524">
        <v>2</v>
      </c>
      <c r="R158" s="524"/>
      <c r="S158" s="524">
        <v>2</v>
      </c>
      <c r="T158" s="524"/>
      <c r="U158" s="551"/>
      <c r="V158" s="524">
        <v>4</v>
      </c>
      <c r="W158" s="524" t="s">
        <v>130</v>
      </c>
      <c r="X158" s="524">
        <v>1</v>
      </c>
      <c r="Y158" s="524"/>
      <c r="Z158" s="524"/>
      <c r="AA158" s="524"/>
      <c r="AB158" s="524"/>
      <c r="AC158" s="551"/>
      <c r="AD158" s="524"/>
      <c r="AE158" s="524">
        <v>12</v>
      </c>
      <c r="AF158" s="524"/>
      <c r="AG158" s="524"/>
      <c r="AH158" s="524"/>
      <c r="AI158" s="524"/>
      <c r="AJ158" s="524">
        <v>12</v>
      </c>
      <c r="AK158" s="524"/>
      <c r="AL158" s="524"/>
      <c r="AM158" s="524"/>
      <c r="AN158" s="551"/>
      <c r="AO158" s="477"/>
      <c r="AP158" s="477"/>
      <c r="AQ158" s="524"/>
      <c r="AR158" s="524"/>
      <c r="AS158" s="524"/>
      <c r="AT15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58" s="483">
        <f>WWWW[[#This Row],[%Equitable and continuous access to sufficient quantity of safe drinking water]]*WWWW[[#This Row],[Total PoP ]]</f>
        <v>0</v>
      </c>
      <c r="AV15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58" s="483">
        <f>WWWW[[#This Row],[% Access to unimproved water points]]*WWWW[[#This Row],[Total PoP ]]</f>
        <v>198</v>
      </c>
      <c r="AX15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5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198</v>
      </c>
      <c r="AZ158" s="483">
        <f>WWWW[[#This Row],[HRP1]]/250</f>
        <v>0.79200000000000004</v>
      </c>
      <c r="BA158" s="476">
        <f>1-WWWW[[#This Row],[% Equitable and continuous access to sufficient quantity of domestic water]]</f>
        <v>0</v>
      </c>
      <c r="BB158" s="483">
        <f>WWWW[[#This Row],[%equitable and continuous access to sufficient quantity of safe drinking and domestic water''s GAP]]*WWWW[[#This Row],[Total PoP ]]</f>
        <v>0</v>
      </c>
      <c r="BC158" s="478">
        <f>IF(WWWW[[#This Row],[Total required water points]]-WWWW[[#This Row],['#Water points coverage]]&lt;0,0,WWWW[[#This Row],[Total required water points]]-WWWW[[#This Row],['#Water points coverage]])</f>
        <v>0.20799999999999996</v>
      </c>
      <c r="BD158" s="478">
        <f>ROUND(IF(WWWW[[#This Row],[Total PoP ]]&lt;250,1,WWWW[[#This Row],[Total PoP ]]/250),0)</f>
        <v>1</v>
      </c>
      <c r="BE15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0.12121212121212122</v>
      </c>
      <c r="BF158" s="483">
        <f>WWWW[[#This Row],[% people access to functioning Latrine]]*WWWW[[#This Row],[Total PoP ]]</f>
        <v>24</v>
      </c>
      <c r="BG158" s="478">
        <f>WWWW[[#This Row],['#_of_Functioning_latrines_in_school]]*50</f>
        <v>50</v>
      </c>
      <c r="BH158" s="478">
        <f>ROUND((WWWW[[#This Row],[Total PoP ]]/6),0)</f>
        <v>33</v>
      </c>
      <c r="BI158" s="478">
        <f>IF(WWWW[[#This Row],[Total required Latrines]]-(WWWW[[#This Row],['#_of_sanitary_fly-proof_HH_latrines]])&lt;0,0,WWWW[[#This Row],[Total required Latrines]]-(WWWW[[#This Row],['#_of_sanitary_fly-proof_HH_latrines]]))</f>
        <v>29</v>
      </c>
      <c r="BJ158" s="479">
        <f>1-WWWW[[#This Row],[% people access to functioning Latrine]]</f>
        <v>0.87878787878787878</v>
      </c>
      <c r="BK15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12</v>
      </c>
      <c r="BL158" s="483">
        <f>IF(WWWW[[#This Row],['#_of_functional_handwashing_facilities_at_HH_level]]*6&gt;WWWW[[#This Row],[Total PoP ]],WWWW[[#This Row],[Total PoP ]],WWWW[[#This Row],['#_of_functional_handwashing_facilities_at_HH_level]]*6)</f>
        <v>72</v>
      </c>
      <c r="BM158" s="478">
        <f>IF(WWWW[[#This Row],['# people reached by regular dedicated hygiene promotion]]&gt;WWWW[[#This Row],['# People received regular supply of hygiene items]],WWWW[[#This Row],['# people reached by regular dedicated hygiene promotion]],WWWW[[#This Row],['# People received regular supply of hygiene items]])</f>
        <v>12</v>
      </c>
      <c r="BN158" s="476">
        <f>IF(WWWW[[#This Row],[HRP3]]/WWWW[[#This Row],[Total PoP ]]&gt;100%,100%,WWWW[[#This Row],[HRP3]]/WWWW[[#This Row],[Total PoP ]])</f>
        <v>6.0606060606060608E-2</v>
      </c>
      <c r="BO158" s="479">
        <f>1-WWWW[[#This Row],[Hygiene Coverage%]]</f>
        <v>0.93939393939393945</v>
      </c>
      <c r="BP158" s="477">
        <f>WWWW[[#This Row],['# people reached by regular dedicated hygiene promotion]]/WWWW[[#This Row],[Total PoP ]]</f>
        <v>6.0606060606060608E-2</v>
      </c>
      <c r="BQ15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58" s="478">
        <f>WWWW[[#This Row],['#_of_affected_women_and_girls_receiving_a_sufficient_quantity_of_sanitary_pads]]</f>
        <v>0</v>
      </c>
      <c r="BS158" s="524">
        <f>IF(WWWW[[#This Row],['# People with access to soap]]&gt;WWWW[[#This Row],['# People with access to Sanity Pads]],WWWW[[#This Row],['# People with access to soap]],WWWW[[#This Row],['# People with access to Sanity Pads]])</f>
        <v>0</v>
      </c>
      <c r="BT158" s="483" t="str">
        <f>IF(OR(WWWW[[#This Row],['#of students in school]]="",WWWW[[#This Row],['#of students in school]]=0),"No","Yes")</f>
        <v>Yes</v>
      </c>
      <c r="BU158" s="480" t="str">
        <f>VLOOKUP(WWWW[[#This Row],[Village  Name]],SiteDB6[[Site Name]:[Location Type 1]],9,FALSE)</f>
        <v>Village</v>
      </c>
      <c r="BV158" s="480" t="str">
        <f>VLOOKUP(WWWW[[#This Row],[Village  Name]],SiteDB6[[Site Name]:[Type of Accommodation]],10,FALSE)</f>
        <v>Village</v>
      </c>
      <c r="BW158" s="480">
        <f>VLOOKUP(WWWW[[#This Row],[Village  Name]],SiteDB6[[Site Name]:[Ethnic or GCA/NGCA]],11,FALSE)</f>
        <v>0</v>
      </c>
      <c r="BX158" s="480">
        <f>VLOOKUP(WWWW[[#This Row],[Village  Name]],SiteDB6[[Site Name]:[Lat]],12,FALSE)</f>
        <v>92.928596496582003</v>
      </c>
      <c r="BY158" s="480">
        <f>VLOOKUP(WWWW[[#This Row],[Village  Name]],SiteDB6[[Site Name]:[Long]],13,FALSE)</f>
        <v>20.649574279785199</v>
      </c>
      <c r="BZ158" s="480">
        <f>VLOOKUP(WWWW[[#This Row],[Village  Name]],SiteDB6[[Site Name]:[Pcode]],3,FALSE)</f>
        <v>196920</v>
      </c>
      <c r="CA158" s="480" t="str">
        <f t="shared" si="8"/>
        <v>Covered</v>
      </c>
      <c r="CB158" s="505"/>
    </row>
    <row r="159" spans="1:80">
      <c r="A159" s="774" t="s">
        <v>3150</v>
      </c>
      <c r="B159" s="774" t="s">
        <v>318</v>
      </c>
      <c r="C159" s="415" t="s">
        <v>318</v>
      </c>
      <c r="D159" s="415" t="s">
        <v>334</v>
      </c>
      <c r="E159" s="415" t="s">
        <v>2648</v>
      </c>
      <c r="F159" s="415" t="s">
        <v>302</v>
      </c>
      <c r="G159" s="644" t="str">
        <f>VLOOKUP(WWWW[[#This Row],[Village  Name]],SiteDB6[[Site Name]:[Location Type]],8,FALSE)</f>
        <v>Village</v>
      </c>
      <c r="H159" s="415" t="s">
        <v>3172</v>
      </c>
      <c r="I159" s="524">
        <v>76</v>
      </c>
      <c r="J159" s="524">
        <v>365</v>
      </c>
      <c r="K159" s="418">
        <v>43647</v>
      </c>
      <c r="L159" s="55">
        <v>44043</v>
      </c>
      <c r="M159" s="524">
        <v>400</v>
      </c>
      <c r="N159" s="524"/>
      <c r="O159" s="524"/>
      <c r="P159" s="524"/>
      <c r="Q159" s="524">
        <v>1</v>
      </c>
      <c r="R159" s="524"/>
      <c r="S159" s="524"/>
      <c r="T159" s="524"/>
      <c r="U159" s="551"/>
      <c r="V159" s="524">
        <v>4</v>
      </c>
      <c r="W159" s="524" t="s">
        <v>130</v>
      </c>
      <c r="X159" s="524"/>
      <c r="Y159" s="524">
        <v>2</v>
      </c>
      <c r="Z159" s="524"/>
      <c r="AA159" s="524"/>
      <c r="AB159" s="524"/>
      <c r="AC159" s="551"/>
      <c r="AD159" s="524"/>
      <c r="AE159" s="524">
        <v>12</v>
      </c>
      <c r="AF159" s="524"/>
      <c r="AG159" s="524"/>
      <c r="AH159" s="524"/>
      <c r="AI159" s="524"/>
      <c r="AJ159" s="524">
        <v>12</v>
      </c>
      <c r="AK159" s="524"/>
      <c r="AL159" s="524"/>
      <c r="AM159" s="524"/>
      <c r="AN159" s="551"/>
      <c r="AO159" s="477"/>
      <c r="AP159" s="477"/>
      <c r="AQ159" s="524"/>
      <c r="AR159" s="524"/>
      <c r="AS159" s="524"/>
      <c r="AT15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59" s="483">
        <f>WWWW[[#This Row],[%Equitable and continuous access to sufficient quantity of safe drinking water]]*WWWW[[#This Row],[Total PoP ]]</f>
        <v>0</v>
      </c>
      <c r="AV15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59" s="483">
        <f>WWWW[[#This Row],[% Access to unimproved water points]]*WWWW[[#This Row],[Total PoP ]]</f>
        <v>365</v>
      </c>
      <c r="AX15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5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365</v>
      </c>
      <c r="AZ159" s="483">
        <f>WWWW[[#This Row],[HRP1]]/250</f>
        <v>1.46</v>
      </c>
      <c r="BA159" s="476">
        <f>1-WWWW[[#This Row],[% Equitable and continuous access to sufficient quantity of domestic water]]</f>
        <v>0</v>
      </c>
      <c r="BB159" s="483">
        <f>WWWW[[#This Row],[%equitable and continuous access to sufficient quantity of safe drinking and domestic water''s GAP]]*WWWW[[#This Row],[Total PoP ]]</f>
        <v>0</v>
      </c>
      <c r="BC159" s="478">
        <f>IF(WWWW[[#This Row],[Total required water points]]-WWWW[[#This Row],['#Water points coverage]]&lt;0,0,WWWW[[#This Row],[Total required water points]]-WWWW[[#This Row],['#Water points coverage]])</f>
        <v>0</v>
      </c>
      <c r="BD159" s="478">
        <f>ROUND(IF(WWWW[[#This Row],[Total PoP ]]&lt;250,1,WWWW[[#This Row],[Total PoP ]]/250),0)</f>
        <v>1</v>
      </c>
      <c r="BE15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6.575342465753424E-2</v>
      </c>
      <c r="BF159" s="483">
        <f>WWWW[[#This Row],[% people access to functioning Latrine]]*WWWW[[#This Row],[Total PoP ]]</f>
        <v>23.999999999999996</v>
      </c>
      <c r="BG159" s="478">
        <f>WWWW[[#This Row],['#_of_Functioning_latrines_in_school]]*50</f>
        <v>0</v>
      </c>
      <c r="BH159" s="478">
        <f>ROUND((WWWW[[#This Row],[Total PoP ]]/6),0)</f>
        <v>61</v>
      </c>
      <c r="BI159" s="478">
        <f>IF(WWWW[[#This Row],[Total required Latrines]]-(WWWW[[#This Row],['#_of_sanitary_fly-proof_HH_latrines]])&lt;0,0,WWWW[[#This Row],[Total required Latrines]]-(WWWW[[#This Row],['#_of_sanitary_fly-proof_HH_latrines]]))</f>
        <v>57</v>
      </c>
      <c r="BJ159" s="479">
        <f>1-WWWW[[#This Row],[% people access to functioning Latrine]]</f>
        <v>0.9342465753424658</v>
      </c>
      <c r="BK15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12</v>
      </c>
      <c r="BL159" s="483">
        <f>IF(WWWW[[#This Row],['#_of_functional_handwashing_facilities_at_HH_level]]*6&gt;WWWW[[#This Row],[Total PoP ]],WWWW[[#This Row],[Total PoP ]],WWWW[[#This Row],['#_of_functional_handwashing_facilities_at_HH_level]]*6)</f>
        <v>72</v>
      </c>
      <c r="BM159" s="478">
        <f>IF(WWWW[[#This Row],['# people reached by regular dedicated hygiene promotion]]&gt;WWWW[[#This Row],['# People received regular supply of hygiene items]],WWWW[[#This Row],['# people reached by regular dedicated hygiene promotion]],WWWW[[#This Row],['# People received regular supply of hygiene items]])</f>
        <v>12</v>
      </c>
      <c r="BN159" s="476">
        <f>IF(WWWW[[#This Row],[HRP3]]/WWWW[[#This Row],[Total PoP ]]&gt;100%,100%,WWWW[[#This Row],[HRP3]]/WWWW[[#This Row],[Total PoP ]])</f>
        <v>3.287671232876712E-2</v>
      </c>
      <c r="BO159" s="479">
        <f>1-WWWW[[#This Row],[Hygiene Coverage%]]</f>
        <v>0.9671232876712329</v>
      </c>
      <c r="BP159" s="477">
        <f>WWWW[[#This Row],['# people reached by regular dedicated hygiene promotion]]/WWWW[[#This Row],[Total PoP ]]</f>
        <v>3.287671232876712E-2</v>
      </c>
      <c r="BQ15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59" s="478">
        <f>WWWW[[#This Row],['#_of_affected_women_and_girls_receiving_a_sufficient_quantity_of_sanitary_pads]]</f>
        <v>0</v>
      </c>
      <c r="BS159" s="524">
        <f>IF(WWWW[[#This Row],['# People with access to soap]]&gt;WWWW[[#This Row],['# People with access to Sanity Pads]],WWWW[[#This Row],['# People with access to soap]],WWWW[[#This Row],['# People with access to Sanity Pads]])</f>
        <v>0</v>
      </c>
      <c r="BT159" s="483" t="str">
        <f>IF(OR(WWWW[[#This Row],['#of students in school]]="",WWWW[[#This Row],['#of students in school]]=0),"No","Yes")</f>
        <v>Yes</v>
      </c>
      <c r="BU159" s="480" t="str">
        <f>VLOOKUP(WWWW[[#This Row],[Village  Name]],SiteDB6[[Site Name]:[Location Type 1]],9,FALSE)</f>
        <v>Village</v>
      </c>
      <c r="BV159" s="480" t="str">
        <f>VLOOKUP(WWWW[[#This Row],[Village  Name]],SiteDB6[[Site Name]:[Type of Accommodation]],10,FALSE)</f>
        <v>Village</v>
      </c>
      <c r="BW159" s="480">
        <f>VLOOKUP(WWWW[[#This Row],[Village  Name]],SiteDB6[[Site Name]:[Ethnic or GCA/NGCA]],11,FALSE)</f>
        <v>0</v>
      </c>
      <c r="BX159" s="480">
        <f>VLOOKUP(WWWW[[#This Row],[Village  Name]],SiteDB6[[Site Name]:[Lat]],12,FALSE)</f>
        <v>92.978729248046903</v>
      </c>
      <c r="BY159" s="480">
        <f>VLOOKUP(WWWW[[#This Row],[Village  Name]],SiteDB6[[Site Name]:[Long]],13,FALSE)</f>
        <v>20.768480300903299</v>
      </c>
      <c r="BZ159" s="480">
        <f>VLOOKUP(WWWW[[#This Row],[Village  Name]],SiteDB6[[Site Name]:[Pcode]],3,FALSE)</f>
        <v>196960</v>
      </c>
      <c r="CA159" s="480" t="str">
        <f t="shared" si="8"/>
        <v>Covered</v>
      </c>
      <c r="CB159" s="505"/>
    </row>
    <row r="160" spans="1:80">
      <c r="A160" s="774" t="s">
        <v>3150</v>
      </c>
      <c r="B160" s="774" t="s">
        <v>318</v>
      </c>
      <c r="C160" s="415" t="s">
        <v>318</v>
      </c>
      <c r="D160" s="415" t="s">
        <v>334</v>
      </c>
      <c r="E160" s="415" t="s">
        <v>2648</v>
      </c>
      <c r="F160" s="415" t="s">
        <v>302</v>
      </c>
      <c r="G160" s="644" t="str">
        <f>VLOOKUP(WWWW[[#This Row],[Village  Name]],SiteDB6[[Site Name]:[Location Type]],8,FALSE)</f>
        <v>Village</v>
      </c>
      <c r="H160" s="415" t="s">
        <v>3173</v>
      </c>
      <c r="I160" s="524">
        <v>289</v>
      </c>
      <c r="J160" s="524">
        <v>1331</v>
      </c>
      <c r="K160" s="418">
        <v>43647</v>
      </c>
      <c r="L160" s="55">
        <v>44043</v>
      </c>
      <c r="M160" s="524">
        <v>100</v>
      </c>
      <c r="N160" s="524"/>
      <c r="O160" s="524"/>
      <c r="P160" s="524"/>
      <c r="Q160" s="524">
        <v>1</v>
      </c>
      <c r="R160" s="524"/>
      <c r="S160" s="524">
        <v>4</v>
      </c>
      <c r="T160" s="524"/>
      <c r="U160" s="551"/>
      <c r="V160" s="524">
        <v>51</v>
      </c>
      <c r="W160" s="524" t="s">
        <v>130</v>
      </c>
      <c r="X160" s="524">
        <v>2</v>
      </c>
      <c r="Y160" s="524">
        <v>10</v>
      </c>
      <c r="Z160" s="524"/>
      <c r="AA160" s="524"/>
      <c r="AB160" s="524"/>
      <c r="AC160" s="551"/>
      <c r="AD160" s="524">
        <v>1</v>
      </c>
      <c r="AE160" s="524">
        <v>10</v>
      </c>
      <c r="AF160" s="524"/>
      <c r="AG160" s="524"/>
      <c r="AH160" s="524"/>
      <c r="AI160" s="524"/>
      <c r="AJ160" s="524">
        <v>10</v>
      </c>
      <c r="AK160" s="524"/>
      <c r="AL160" s="524"/>
      <c r="AM160" s="524"/>
      <c r="AN160" s="551"/>
      <c r="AO160" s="477"/>
      <c r="AP160" s="477"/>
      <c r="AQ160" s="524"/>
      <c r="AR160" s="524"/>
      <c r="AS160" s="524"/>
      <c r="AT16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60" s="483">
        <f>WWWW[[#This Row],[%Equitable and continuous access to sufficient quantity of safe drinking water]]*WWWW[[#This Row],[Total PoP ]]</f>
        <v>0</v>
      </c>
      <c r="AV16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60" s="483">
        <f>WWWW[[#This Row],[% Access to unimproved water points]]*WWWW[[#This Row],[Total PoP ]]</f>
        <v>1331</v>
      </c>
      <c r="AX16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6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1331</v>
      </c>
      <c r="AZ160" s="483">
        <f>WWWW[[#This Row],[HRP1]]/250</f>
        <v>5.3239999999999998</v>
      </c>
      <c r="BA160" s="476">
        <f>1-WWWW[[#This Row],[% Equitable and continuous access to sufficient quantity of domestic water]]</f>
        <v>0</v>
      </c>
      <c r="BB160" s="483">
        <f>WWWW[[#This Row],[%equitable and continuous access to sufficient quantity of safe drinking and domestic water''s GAP]]*WWWW[[#This Row],[Total PoP ]]</f>
        <v>0</v>
      </c>
      <c r="BC160" s="478">
        <f>IF(WWWW[[#This Row],[Total required water points]]-WWWW[[#This Row],['#Water points coverage]]&lt;0,0,WWWW[[#This Row],[Total required water points]]-WWWW[[#This Row],['#Water points coverage]])</f>
        <v>0</v>
      </c>
      <c r="BD160" s="478">
        <f>ROUND(IF(WWWW[[#This Row],[Total PoP ]]&lt;250,1,WWWW[[#This Row],[Total PoP ]]/250),0)</f>
        <v>5</v>
      </c>
      <c r="BE16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0.22990232907588279</v>
      </c>
      <c r="BF160" s="483">
        <f>WWWW[[#This Row],[% people access to functioning Latrine]]*WWWW[[#This Row],[Total PoP ]]</f>
        <v>306</v>
      </c>
      <c r="BG160" s="478">
        <f>WWWW[[#This Row],['#_of_Functioning_latrines_in_school]]*50</f>
        <v>100</v>
      </c>
      <c r="BH160" s="478">
        <f>ROUND((WWWW[[#This Row],[Total PoP ]]/6),0)</f>
        <v>222</v>
      </c>
      <c r="BI160" s="478">
        <f>IF(WWWW[[#This Row],[Total required Latrines]]-(WWWW[[#This Row],['#_of_sanitary_fly-proof_HH_latrines]])&lt;0,0,WWWW[[#This Row],[Total required Latrines]]-(WWWW[[#This Row],['#_of_sanitary_fly-proof_HH_latrines]]))</f>
        <v>171</v>
      </c>
      <c r="BJ160" s="479">
        <f>1-WWWW[[#This Row],[% people access to functioning Latrine]]</f>
        <v>0.77009767092411718</v>
      </c>
      <c r="BK16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11</v>
      </c>
      <c r="BL160" s="483">
        <f>IF(WWWW[[#This Row],['#_of_functional_handwashing_facilities_at_HH_level]]*6&gt;WWWW[[#This Row],[Total PoP ]],WWWW[[#This Row],[Total PoP ]],WWWW[[#This Row],['#_of_functional_handwashing_facilities_at_HH_level]]*6)</f>
        <v>60</v>
      </c>
      <c r="BM160" s="478">
        <f>IF(WWWW[[#This Row],['# people reached by regular dedicated hygiene promotion]]&gt;WWWW[[#This Row],['# People received regular supply of hygiene items]],WWWW[[#This Row],['# people reached by regular dedicated hygiene promotion]],WWWW[[#This Row],['# People received regular supply of hygiene items]])</f>
        <v>11</v>
      </c>
      <c r="BN160" s="476">
        <f>IF(WWWW[[#This Row],[HRP3]]/WWWW[[#This Row],[Total PoP ]]&gt;100%,100%,WWWW[[#This Row],[HRP3]]/WWWW[[#This Row],[Total PoP ]])</f>
        <v>8.2644628099173556E-3</v>
      </c>
      <c r="BO160" s="479">
        <f>1-WWWW[[#This Row],[Hygiene Coverage%]]</f>
        <v>0.99173553719008267</v>
      </c>
      <c r="BP160" s="477">
        <f>WWWW[[#This Row],['# people reached by regular dedicated hygiene promotion]]/WWWW[[#This Row],[Total PoP ]]</f>
        <v>8.2644628099173556E-3</v>
      </c>
      <c r="BQ16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60" s="478">
        <f>WWWW[[#This Row],['#_of_affected_women_and_girls_receiving_a_sufficient_quantity_of_sanitary_pads]]</f>
        <v>0</v>
      </c>
      <c r="BS160" s="524">
        <f>IF(WWWW[[#This Row],['# People with access to soap]]&gt;WWWW[[#This Row],['# People with access to Sanity Pads]],WWWW[[#This Row],['# People with access to soap]],WWWW[[#This Row],['# People with access to Sanity Pads]])</f>
        <v>0</v>
      </c>
      <c r="BT160" s="483" t="str">
        <f>IF(OR(WWWW[[#This Row],['#of students in school]]="",WWWW[[#This Row],['#of students in school]]=0),"No","Yes")</f>
        <v>Yes</v>
      </c>
      <c r="BU160" s="480" t="str">
        <f>VLOOKUP(WWWW[[#This Row],[Village  Name]],SiteDB6[[Site Name]:[Location Type 1]],9,FALSE)</f>
        <v>Village</v>
      </c>
      <c r="BV160" s="480" t="str">
        <f>VLOOKUP(WWWW[[#This Row],[Village  Name]],SiteDB6[[Site Name]:[Type of Accommodation]],10,FALSE)</f>
        <v>Village</v>
      </c>
      <c r="BW160" s="480">
        <f>VLOOKUP(WWWW[[#This Row],[Village  Name]],SiteDB6[[Site Name]:[Ethnic or GCA/NGCA]],11,FALSE)</f>
        <v>0</v>
      </c>
      <c r="BX160" s="480">
        <f>VLOOKUP(WWWW[[#This Row],[Village  Name]],SiteDB6[[Site Name]:[Lat]],12,FALSE)</f>
        <v>92.981712341308594</v>
      </c>
      <c r="BY160" s="480">
        <f>VLOOKUP(WWWW[[#This Row],[Village  Name]],SiteDB6[[Site Name]:[Long]],13,FALSE)</f>
        <v>20.772109985351602</v>
      </c>
      <c r="BZ160" s="480">
        <f>VLOOKUP(WWWW[[#This Row],[Village  Name]],SiteDB6[[Site Name]:[Pcode]],3,FALSE)</f>
        <v>196959</v>
      </c>
      <c r="CA160" s="480" t="str">
        <f t="shared" si="8"/>
        <v>Covered</v>
      </c>
      <c r="CB160" s="505"/>
    </row>
    <row r="161" spans="1:80">
      <c r="A161" s="774" t="s">
        <v>3150</v>
      </c>
      <c r="B161" s="774" t="s">
        <v>318</v>
      </c>
      <c r="C161" s="415" t="s">
        <v>318</v>
      </c>
      <c r="D161" s="415" t="s">
        <v>334</v>
      </c>
      <c r="E161" s="415" t="s">
        <v>2648</v>
      </c>
      <c r="F161" s="415" t="s">
        <v>302</v>
      </c>
      <c r="G161" s="644" t="str">
        <f>VLOOKUP(WWWW[[#This Row],[Village  Name]],SiteDB6[[Site Name]:[Location Type]],8,FALSE)</f>
        <v>Village</v>
      </c>
      <c r="H161" s="415" t="s">
        <v>3158</v>
      </c>
      <c r="I161" s="524">
        <v>219</v>
      </c>
      <c r="J161" s="524">
        <v>959</v>
      </c>
      <c r="K161" s="418">
        <v>43647</v>
      </c>
      <c r="L161" s="55">
        <v>44043</v>
      </c>
      <c r="M161" s="524">
        <v>158</v>
      </c>
      <c r="N161" s="524"/>
      <c r="O161" s="524"/>
      <c r="P161" s="524"/>
      <c r="Q161" s="524">
        <v>2</v>
      </c>
      <c r="R161" s="524"/>
      <c r="S161" s="524">
        <v>3</v>
      </c>
      <c r="T161" s="524"/>
      <c r="U161" s="551"/>
      <c r="V161" s="524">
        <v>50</v>
      </c>
      <c r="W161" s="524" t="s">
        <v>130</v>
      </c>
      <c r="X161" s="524">
        <v>2</v>
      </c>
      <c r="Y161" s="524">
        <v>1</v>
      </c>
      <c r="Z161" s="524"/>
      <c r="AA161" s="524"/>
      <c r="AB161" s="524"/>
      <c r="AC161" s="551"/>
      <c r="AD161" s="524"/>
      <c r="AE161" s="524">
        <v>12</v>
      </c>
      <c r="AF161" s="524"/>
      <c r="AG161" s="524"/>
      <c r="AH161" s="524"/>
      <c r="AI161" s="524"/>
      <c r="AJ161" s="524">
        <v>12</v>
      </c>
      <c r="AK161" s="524"/>
      <c r="AL161" s="524"/>
      <c r="AM161" s="524"/>
      <c r="AN161" s="551"/>
      <c r="AO161" s="477"/>
      <c r="AP161" s="477"/>
      <c r="AQ161" s="524"/>
      <c r="AR161" s="524"/>
      <c r="AS161" s="524"/>
      <c r="AT161"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61" s="483">
        <f>WWWW[[#This Row],[%Equitable and continuous access to sufficient quantity of safe drinking water]]*WWWW[[#This Row],[Total PoP ]]</f>
        <v>0</v>
      </c>
      <c r="AV161"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61" s="483">
        <f>WWWW[[#This Row],[% Access to unimproved water points]]*WWWW[[#This Row],[Total PoP ]]</f>
        <v>959</v>
      </c>
      <c r="AX161"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61"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959</v>
      </c>
      <c r="AZ161" s="483">
        <f>WWWW[[#This Row],[HRP1]]/250</f>
        <v>3.8359999999999999</v>
      </c>
      <c r="BA161" s="476">
        <f>1-WWWW[[#This Row],[% Equitable and continuous access to sufficient quantity of domestic water]]</f>
        <v>0</v>
      </c>
      <c r="BB161" s="483">
        <f>WWWW[[#This Row],[%equitable and continuous access to sufficient quantity of safe drinking and domestic water''s GAP]]*WWWW[[#This Row],[Total PoP ]]</f>
        <v>0</v>
      </c>
      <c r="BC161" s="478">
        <f>IF(WWWW[[#This Row],[Total required water points]]-WWWW[[#This Row],['#Water points coverage]]&lt;0,0,WWWW[[#This Row],[Total required water points]]-WWWW[[#This Row],['#Water points coverage]])</f>
        <v>0.16400000000000015</v>
      </c>
      <c r="BD161" s="478">
        <f>ROUND(IF(WWWW[[#This Row],[Total PoP ]]&lt;250,1,WWWW[[#This Row],[Total PoP ]]/250),0)</f>
        <v>4</v>
      </c>
      <c r="BE16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0.31282586027111575</v>
      </c>
      <c r="BF161" s="483">
        <f>WWWW[[#This Row],[% people access to functioning Latrine]]*WWWW[[#This Row],[Total PoP ]]</f>
        <v>300</v>
      </c>
      <c r="BG161" s="478">
        <f>WWWW[[#This Row],['#_of_Functioning_latrines_in_school]]*50</f>
        <v>100</v>
      </c>
      <c r="BH161" s="478">
        <f>ROUND((WWWW[[#This Row],[Total PoP ]]/6),0)</f>
        <v>160</v>
      </c>
      <c r="BI161" s="478">
        <f>IF(WWWW[[#This Row],[Total required Latrines]]-(WWWW[[#This Row],['#_of_sanitary_fly-proof_HH_latrines]])&lt;0,0,WWWW[[#This Row],[Total required Latrines]]-(WWWW[[#This Row],['#_of_sanitary_fly-proof_HH_latrines]]))</f>
        <v>110</v>
      </c>
      <c r="BJ161" s="479">
        <f>1-WWWW[[#This Row],[% people access to functioning Latrine]]</f>
        <v>0.68717413972888419</v>
      </c>
      <c r="BK161"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12</v>
      </c>
      <c r="BL161" s="483">
        <f>IF(WWWW[[#This Row],['#_of_functional_handwashing_facilities_at_HH_level]]*6&gt;WWWW[[#This Row],[Total PoP ]],WWWW[[#This Row],[Total PoP ]],WWWW[[#This Row],['#_of_functional_handwashing_facilities_at_HH_level]]*6)</f>
        <v>72</v>
      </c>
      <c r="BM161" s="478">
        <f>IF(WWWW[[#This Row],['# people reached by regular dedicated hygiene promotion]]&gt;WWWW[[#This Row],['# People received regular supply of hygiene items]],WWWW[[#This Row],['# people reached by regular dedicated hygiene promotion]],WWWW[[#This Row],['# People received regular supply of hygiene items]])</f>
        <v>12</v>
      </c>
      <c r="BN161" s="476">
        <f>IF(WWWW[[#This Row],[HRP3]]/WWWW[[#This Row],[Total PoP ]]&gt;100%,100%,WWWW[[#This Row],[HRP3]]/WWWW[[#This Row],[Total PoP ]])</f>
        <v>1.251303441084463E-2</v>
      </c>
      <c r="BO161" s="479">
        <f>1-WWWW[[#This Row],[Hygiene Coverage%]]</f>
        <v>0.98748696558915539</v>
      </c>
      <c r="BP161" s="477">
        <f>WWWW[[#This Row],['# people reached by regular dedicated hygiene promotion]]/WWWW[[#This Row],[Total PoP ]]</f>
        <v>1.251303441084463E-2</v>
      </c>
      <c r="BQ16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61" s="478">
        <f>WWWW[[#This Row],['#_of_affected_women_and_girls_receiving_a_sufficient_quantity_of_sanitary_pads]]</f>
        <v>0</v>
      </c>
      <c r="BS161" s="524">
        <f>IF(WWWW[[#This Row],['# People with access to soap]]&gt;WWWW[[#This Row],['# People with access to Sanity Pads]],WWWW[[#This Row],['# People with access to soap]],WWWW[[#This Row],['# People with access to Sanity Pads]])</f>
        <v>0</v>
      </c>
      <c r="BT161" s="483" t="str">
        <f>IF(OR(WWWW[[#This Row],['#of students in school]]="",WWWW[[#This Row],['#of students in school]]=0),"No","Yes")</f>
        <v>Yes</v>
      </c>
      <c r="BU161" s="480" t="str">
        <f>VLOOKUP(WWWW[[#This Row],[Village  Name]],SiteDB6[[Site Name]:[Location Type 1]],9,FALSE)</f>
        <v>Village</v>
      </c>
      <c r="BV161" s="480" t="str">
        <f>VLOOKUP(WWWW[[#This Row],[Village  Name]],SiteDB6[[Site Name]:[Type of Accommodation]],10,FALSE)</f>
        <v>Village</v>
      </c>
      <c r="BW161" s="480">
        <f>VLOOKUP(WWWW[[#This Row],[Village  Name]],SiteDB6[[Site Name]:[Ethnic or GCA/NGCA]],11,FALSE)</f>
        <v>0</v>
      </c>
      <c r="BX161" s="480">
        <f>VLOOKUP(WWWW[[#This Row],[Village  Name]],SiteDB6[[Site Name]:[Lat]],12,FALSE)</f>
        <v>92.985267639160199</v>
      </c>
      <c r="BY161" s="480">
        <f>VLOOKUP(WWWW[[#This Row],[Village  Name]],SiteDB6[[Site Name]:[Long]],13,FALSE)</f>
        <v>20.7800903320313</v>
      </c>
      <c r="BZ161" s="480">
        <f>VLOOKUP(WWWW[[#This Row],[Village  Name]],SiteDB6[[Site Name]:[Pcode]],3,FALSE)</f>
        <v>196963</v>
      </c>
      <c r="CA161" s="480" t="str">
        <f t="shared" si="8"/>
        <v>Covered</v>
      </c>
      <c r="CB161" s="505"/>
    </row>
    <row r="162" spans="1:80">
      <c r="A162" s="774" t="s">
        <v>3150</v>
      </c>
      <c r="B162" s="774" t="s">
        <v>318</v>
      </c>
      <c r="C162" s="415" t="s">
        <v>318</v>
      </c>
      <c r="D162" s="415" t="s">
        <v>334</v>
      </c>
      <c r="E162" s="415" t="s">
        <v>2648</v>
      </c>
      <c r="F162" s="415" t="s">
        <v>302</v>
      </c>
      <c r="G162" s="644" t="str">
        <f>VLOOKUP(WWWW[[#This Row],[Village  Name]],SiteDB6[[Site Name]:[Location Type]],8,FALSE)</f>
        <v>Village</v>
      </c>
      <c r="H162" s="415" t="s">
        <v>2960</v>
      </c>
      <c r="I162" s="524">
        <v>158</v>
      </c>
      <c r="J162" s="524">
        <v>456</v>
      </c>
      <c r="K162" s="418">
        <v>43647</v>
      </c>
      <c r="L162" s="55">
        <v>44043</v>
      </c>
      <c r="M162" s="524">
        <v>101</v>
      </c>
      <c r="N162" s="524"/>
      <c r="O162" s="524"/>
      <c r="P162" s="524"/>
      <c r="Q162" s="524">
        <v>3</v>
      </c>
      <c r="R162" s="524"/>
      <c r="S162" s="524">
        <v>1</v>
      </c>
      <c r="T162" s="524">
        <v>1</v>
      </c>
      <c r="U162" s="551"/>
      <c r="V162" s="524">
        <v>250</v>
      </c>
      <c r="W162" s="524" t="s">
        <v>130</v>
      </c>
      <c r="X162" s="524">
        <v>1</v>
      </c>
      <c r="Y162" s="524"/>
      <c r="Z162" s="524"/>
      <c r="AA162" s="524">
        <v>1</v>
      </c>
      <c r="AB162" s="524"/>
      <c r="AC162" s="551"/>
      <c r="AD162" s="524">
        <v>7</v>
      </c>
      <c r="AE162" s="524">
        <v>18</v>
      </c>
      <c r="AF162" s="524"/>
      <c r="AG162" s="524"/>
      <c r="AH162" s="524"/>
      <c r="AI162" s="524"/>
      <c r="AJ162" s="524">
        <v>25</v>
      </c>
      <c r="AK162" s="524"/>
      <c r="AL162" s="524"/>
      <c r="AM162" s="524"/>
      <c r="AN162" s="551"/>
      <c r="AO162" s="477"/>
      <c r="AP162" s="477"/>
      <c r="AQ162" s="524"/>
      <c r="AR162" s="524"/>
      <c r="AS162" s="524"/>
      <c r="AT16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0.54824561403508776</v>
      </c>
      <c r="AU162" s="483">
        <f>WWWW[[#This Row],[%Equitable and continuous access to sufficient quantity of safe drinking water]]*WWWW[[#This Row],[Total PoP ]]</f>
        <v>250.00000000000003</v>
      </c>
      <c r="AV16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62" s="483">
        <f>WWWW[[#This Row],[% Access to unimproved water points]]*WWWW[[#This Row],[Total PoP ]]</f>
        <v>456</v>
      </c>
      <c r="AX16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6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456</v>
      </c>
      <c r="AZ162" s="483">
        <f>WWWW[[#This Row],[HRP1]]/250</f>
        <v>1.8240000000000001</v>
      </c>
      <c r="BA162" s="476">
        <f>1-WWWW[[#This Row],[% Equitable and continuous access to sufficient quantity of domestic water]]</f>
        <v>0</v>
      </c>
      <c r="BB162" s="483">
        <f>WWWW[[#This Row],[%equitable and continuous access to sufficient quantity of safe drinking and domestic water''s GAP]]*WWWW[[#This Row],[Total PoP ]]</f>
        <v>0</v>
      </c>
      <c r="BC162" s="478">
        <f>IF(WWWW[[#This Row],[Total required water points]]-WWWW[[#This Row],['#Water points coverage]]&lt;0,0,WWWW[[#This Row],[Total required water points]]-WWWW[[#This Row],['#Water points coverage]])</f>
        <v>0.17599999999999993</v>
      </c>
      <c r="BD162" s="478">
        <f>ROUND(IF(WWWW[[#This Row],[Total PoP ]]&lt;250,1,WWWW[[#This Row],[Total PoP ]]/250),0)</f>
        <v>2</v>
      </c>
      <c r="BE16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62" s="483">
        <f>WWWW[[#This Row],[% people access to functioning Latrine]]*WWWW[[#This Row],[Total PoP ]]</f>
        <v>456</v>
      </c>
      <c r="BG162" s="478">
        <f>WWWW[[#This Row],['#_of_Functioning_latrines_in_school]]*50</f>
        <v>50</v>
      </c>
      <c r="BH162" s="478">
        <f>ROUND((WWWW[[#This Row],[Total PoP ]]/6),0)</f>
        <v>76</v>
      </c>
      <c r="BI162" s="478">
        <f>IF(WWWW[[#This Row],[Total required Latrines]]-(WWWW[[#This Row],['#_of_sanitary_fly-proof_HH_latrines]])&lt;0,0,WWWW[[#This Row],[Total required Latrines]]-(WWWW[[#This Row],['#_of_sanitary_fly-proof_HH_latrines]]))</f>
        <v>0</v>
      </c>
      <c r="BJ162" s="479">
        <f>1-WWWW[[#This Row],[% people access to functioning Latrine]]</f>
        <v>0</v>
      </c>
      <c r="BK16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v>
      </c>
      <c r="BL162" s="483">
        <f>IF(WWWW[[#This Row],['#_of_functional_handwashing_facilities_at_HH_level]]*6&gt;WWWW[[#This Row],[Total PoP ]],WWWW[[#This Row],[Total PoP ]],WWWW[[#This Row],['#_of_functional_handwashing_facilities_at_HH_level]]*6)</f>
        <v>150</v>
      </c>
      <c r="BM162" s="478">
        <f>IF(WWWW[[#This Row],['# people reached by regular dedicated hygiene promotion]]&gt;WWWW[[#This Row],['# People received regular supply of hygiene items]],WWWW[[#This Row],['# people reached by regular dedicated hygiene promotion]],WWWW[[#This Row],['# People received regular supply of hygiene items]])</f>
        <v>25</v>
      </c>
      <c r="BN162" s="476">
        <f>IF(WWWW[[#This Row],[HRP3]]/WWWW[[#This Row],[Total PoP ]]&gt;100%,100%,WWWW[[#This Row],[HRP3]]/WWWW[[#This Row],[Total PoP ]])</f>
        <v>5.4824561403508769E-2</v>
      </c>
      <c r="BO162" s="479">
        <f>1-WWWW[[#This Row],[Hygiene Coverage%]]</f>
        <v>0.94517543859649122</v>
      </c>
      <c r="BP162" s="477">
        <f>WWWW[[#This Row],['# people reached by regular dedicated hygiene promotion]]/WWWW[[#This Row],[Total PoP ]]</f>
        <v>5.4824561403508769E-2</v>
      </c>
      <c r="BQ16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62" s="478">
        <f>WWWW[[#This Row],['#_of_affected_women_and_girls_receiving_a_sufficient_quantity_of_sanitary_pads]]</f>
        <v>0</v>
      </c>
      <c r="BS162" s="524">
        <f>IF(WWWW[[#This Row],['# People with access to soap]]&gt;WWWW[[#This Row],['# People with access to Sanity Pads]],WWWW[[#This Row],['# People with access to soap]],WWWW[[#This Row],['# People with access to Sanity Pads]])</f>
        <v>0</v>
      </c>
      <c r="BT162" s="483" t="str">
        <f>IF(OR(WWWW[[#This Row],['#of students in school]]="",WWWW[[#This Row],['#of students in school]]=0),"No","Yes")</f>
        <v>Yes</v>
      </c>
      <c r="BU162" s="480" t="str">
        <f>VLOOKUP(WWWW[[#This Row],[Village  Name]],SiteDB6[[Site Name]:[Location Type 1]],9,FALSE)</f>
        <v>Village</v>
      </c>
      <c r="BV162" s="480" t="str">
        <f>VLOOKUP(WWWW[[#This Row],[Village  Name]],SiteDB6[[Site Name]:[Type of Accommodation]],10,FALSE)</f>
        <v>Village</v>
      </c>
      <c r="BW162" s="480">
        <f>VLOOKUP(WWWW[[#This Row],[Village  Name]],SiteDB6[[Site Name]:[Ethnic or GCA/NGCA]],11,FALSE)</f>
        <v>0</v>
      </c>
      <c r="BX162" s="480">
        <f>VLOOKUP(WWWW[[#This Row],[Village  Name]],SiteDB6[[Site Name]:[Lat]],12,FALSE)</f>
        <v>0</v>
      </c>
      <c r="BY162" s="480">
        <f>VLOOKUP(WWWW[[#This Row],[Village  Name]],SiteDB6[[Site Name]:[Long]],13,FALSE)</f>
        <v>0</v>
      </c>
      <c r="BZ162" s="480">
        <f>VLOOKUP(WWWW[[#This Row],[Village  Name]],SiteDB6[[Site Name]:[Pcode]],3,FALSE)</f>
        <v>196948</v>
      </c>
      <c r="CA162" s="480" t="str">
        <f t="shared" si="8"/>
        <v>Covered</v>
      </c>
      <c r="CB162" s="505"/>
    </row>
    <row r="163" spans="1:80">
      <c r="A163" s="774" t="s">
        <v>3150</v>
      </c>
      <c r="B163" s="774" t="s">
        <v>318</v>
      </c>
      <c r="C163" s="415" t="s">
        <v>318</v>
      </c>
      <c r="D163" s="415" t="s">
        <v>334</v>
      </c>
      <c r="E163" s="415" t="s">
        <v>2648</v>
      </c>
      <c r="F163" s="415" t="s">
        <v>302</v>
      </c>
      <c r="G163" s="644" t="str">
        <f>VLOOKUP(WWWW[[#This Row],[Village  Name]],SiteDB6[[Site Name]:[Location Type]],8,FALSE)</f>
        <v>Village</v>
      </c>
      <c r="H163" s="415" t="s">
        <v>2941</v>
      </c>
      <c r="I163" s="524">
        <v>140</v>
      </c>
      <c r="J163" s="524">
        <v>740</v>
      </c>
      <c r="K163" s="418">
        <v>43647</v>
      </c>
      <c r="L163" s="55">
        <v>44043</v>
      </c>
      <c r="M163" s="524">
        <v>103</v>
      </c>
      <c r="N163" s="524"/>
      <c r="O163" s="524"/>
      <c r="P163" s="524"/>
      <c r="Q163" s="524">
        <v>1</v>
      </c>
      <c r="R163" s="524"/>
      <c r="S163" s="524">
        <v>3</v>
      </c>
      <c r="T163" s="524">
        <v>1</v>
      </c>
      <c r="U163" s="551"/>
      <c r="V163" s="524">
        <v>30</v>
      </c>
      <c r="W163" s="524" t="s">
        <v>130</v>
      </c>
      <c r="X163" s="524">
        <v>4</v>
      </c>
      <c r="Y163" s="524">
        <v>1</v>
      </c>
      <c r="Z163" s="524"/>
      <c r="AA163" s="524"/>
      <c r="AB163" s="524"/>
      <c r="AC163" s="551"/>
      <c r="AD163" s="524">
        <v>2</v>
      </c>
      <c r="AE163" s="524">
        <v>23</v>
      </c>
      <c r="AF163" s="524"/>
      <c r="AG163" s="524"/>
      <c r="AH163" s="524"/>
      <c r="AI163" s="524"/>
      <c r="AJ163" s="524">
        <v>25</v>
      </c>
      <c r="AK163" s="524"/>
      <c r="AL163" s="524"/>
      <c r="AM163" s="524"/>
      <c r="AN163" s="551"/>
      <c r="AO163" s="477"/>
      <c r="AP163" s="477"/>
      <c r="AQ163" s="524"/>
      <c r="AR163" s="524"/>
      <c r="AS163" s="524"/>
      <c r="AT163"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0.33783783783783783</v>
      </c>
      <c r="AU163" s="483">
        <f>WWWW[[#This Row],[%Equitable and continuous access to sufficient quantity of safe drinking water]]*WWWW[[#This Row],[Total PoP ]]</f>
        <v>250</v>
      </c>
      <c r="AV163"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63" s="483">
        <f>WWWW[[#This Row],[% Access to unimproved water points]]*WWWW[[#This Row],[Total PoP ]]</f>
        <v>740</v>
      </c>
      <c r="AX163"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63"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740</v>
      </c>
      <c r="AZ163" s="483">
        <f>WWWW[[#This Row],[HRP1]]/250</f>
        <v>2.96</v>
      </c>
      <c r="BA163" s="476">
        <f>1-WWWW[[#This Row],[% Equitable and continuous access to sufficient quantity of domestic water]]</f>
        <v>0</v>
      </c>
      <c r="BB163" s="483">
        <f>WWWW[[#This Row],[%equitable and continuous access to sufficient quantity of safe drinking and domestic water''s GAP]]*WWWW[[#This Row],[Total PoP ]]</f>
        <v>0</v>
      </c>
      <c r="BC163" s="478">
        <f>IF(WWWW[[#This Row],[Total required water points]]-WWWW[[#This Row],['#Water points coverage]]&lt;0,0,WWWW[[#This Row],[Total required water points]]-WWWW[[#This Row],['#Water points coverage]])</f>
        <v>4.0000000000000036E-2</v>
      </c>
      <c r="BD163" s="478">
        <f>ROUND(IF(WWWW[[#This Row],[Total PoP ]]&lt;250,1,WWWW[[#This Row],[Total PoP ]]/250),0)</f>
        <v>3</v>
      </c>
      <c r="BE16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0.24324324324324326</v>
      </c>
      <c r="BF163" s="483">
        <f>WWWW[[#This Row],[% people access to functioning Latrine]]*WWWW[[#This Row],[Total PoP ]]</f>
        <v>180</v>
      </c>
      <c r="BG163" s="478">
        <f>WWWW[[#This Row],['#_of_Functioning_latrines_in_school]]*50</f>
        <v>200</v>
      </c>
      <c r="BH163" s="478">
        <f>ROUND((WWWW[[#This Row],[Total PoP ]]/6),0)</f>
        <v>123</v>
      </c>
      <c r="BI163" s="478">
        <f>IF(WWWW[[#This Row],[Total required Latrines]]-(WWWW[[#This Row],['#_of_sanitary_fly-proof_HH_latrines]])&lt;0,0,WWWW[[#This Row],[Total required Latrines]]-(WWWW[[#This Row],['#_of_sanitary_fly-proof_HH_latrines]]))</f>
        <v>93</v>
      </c>
      <c r="BJ163" s="479">
        <f>1-WWWW[[#This Row],[% people access to functioning Latrine]]</f>
        <v>0.7567567567567568</v>
      </c>
      <c r="BK163"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v>
      </c>
      <c r="BL163" s="483">
        <f>IF(WWWW[[#This Row],['#_of_functional_handwashing_facilities_at_HH_level]]*6&gt;WWWW[[#This Row],[Total PoP ]],WWWW[[#This Row],[Total PoP ]],WWWW[[#This Row],['#_of_functional_handwashing_facilities_at_HH_level]]*6)</f>
        <v>150</v>
      </c>
      <c r="BM163" s="478">
        <f>IF(WWWW[[#This Row],['# people reached by regular dedicated hygiene promotion]]&gt;WWWW[[#This Row],['# People received regular supply of hygiene items]],WWWW[[#This Row],['# people reached by regular dedicated hygiene promotion]],WWWW[[#This Row],['# People received regular supply of hygiene items]])</f>
        <v>25</v>
      </c>
      <c r="BN163" s="476">
        <f>IF(WWWW[[#This Row],[HRP3]]/WWWW[[#This Row],[Total PoP ]]&gt;100%,100%,WWWW[[#This Row],[HRP3]]/WWWW[[#This Row],[Total PoP ]])</f>
        <v>3.3783783783783786E-2</v>
      </c>
      <c r="BO163" s="479">
        <f>1-WWWW[[#This Row],[Hygiene Coverage%]]</f>
        <v>0.96621621621621623</v>
      </c>
      <c r="BP163" s="477">
        <f>WWWW[[#This Row],['# people reached by regular dedicated hygiene promotion]]/WWWW[[#This Row],[Total PoP ]]</f>
        <v>3.3783783783783786E-2</v>
      </c>
      <c r="BQ16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63" s="478">
        <f>WWWW[[#This Row],['#_of_affected_women_and_girls_receiving_a_sufficient_quantity_of_sanitary_pads]]</f>
        <v>0</v>
      </c>
      <c r="BS163" s="524">
        <f>IF(WWWW[[#This Row],['# People with access to soap]]&gt;WWWW[[#This Row],['# People with access to Sanity Pads]],WWWW[[#This Row],['# People with access to soap]],WWWW[[#This Row],['# People with access to Sanity Pads]])</f>
        <v>0</v>
      </c>
      <c r="BT163" s="483" t="str">
        <f>IF(OR(WWWW[[#This Row],['#of students in school]]="",WWWW[[#This Row],['#of students in school]]=0),"No","Yes")</f>
        <v>Yes</v>
      </c>
      <c r="BU163" s="480" t="str">
        <f>VLOOKUP(WWWW[[#This Row],[Village  Name]],SiteDB6[[Site Name]:[Location Type 1]],9,FALSE)</f>
        <v>Village</v>
      </c>
      <c r="BV163" s="480" t="str">
        <f>VLOOKUP(WWWW[[#This Row],[Village  Name]],SiteDB6[[Site Name]:[Type of Accommodation]],10,FALSE)</f>
        <v>Village</v>
      </c>
      <c r="BW163" s="480">
        <f>VLOOKUP(WWWW[[#This Row],[Village  Name]],SiteDB6[[Site Name]:[Ethnic or GCA/NGCA]],11,FALSE)</f>
        <v>0</v>
      </c>
      <c r="BX163" s="480">
        <f>VLOOKUP(WWWW[[#This Row],[Village  Name]],SiteDB6[[Site Name]:[Lat]],12,FALSE)</f>
        <v>0</v>
      </c>
      <c r="BY163" s="480">
        <f>VLOOKUP(WWWW[[#This Row],[Village  Name]],SiteDB6[[Site Name]:[Long]],13,FALSE)</f>
        <v>0</v>
      </c>
      <c r="BZ163" s="480">
        <f>VLOOKUP(WWWW[[#This Row],[Village  Name]],SiteDB6[[Site Name]:[Pcode]],3,FALSE)</f>
        <v>0</v>
      </c>
      <c r="CA163" s="480" t="str">
        <f t="shared" si="8"/>
        <v>Covered</v>
      </c>
      <c r="CB163" s="505"/>
    </row>
    <row r="164" spans="1:80">
      <c r="A164" s="774" t="s">
        <v>3150</v>
      </c>
      <c r="B164" s="774" t="s">
        <v>318</v>
      </c>
      <c r="C164" s="415" t="s">
        <v>318</v>
      </c>
      <c r="D164" s="415" t="s">
        <v>334</v>
      </c>
      <c r="E164" s="415" t="s">
        <v>2648</v>
      </c>
      <c r="F164" s="415" t="s">
        <v>302</v>
      </c>
      <c r="G164" s="644" t="str">
        <f>VLOOKUP(WWWW[[#This Row],[Village  Name]],SiteDB6[[Site Name]:[Location Type]],8,FALSE)</f>
        <v>Village</v>
      </c>
      <c r="H164" s="415" t="s">
        <v>2942</v>
      </c>
      <c r="I164" s="524">
        <v>62</v>
      </c>
      <c r="J164" s="524">
        <v>142</v>
      </c>
      <c r="K164" s="418">
        <v>43647</v>
      </c>
      <c r="L164" s="55">
        <v>44043</v>
      </c>
      <c r="M164" s="524">
        <v>30</v>
      </c>
      <c r="N164" s="524"/>
      <c r="O164" s="524"/>
      <c r="P164" s="524"/>
      <c r="Q164" s="524">
        <v>1</v>
      </c>
      <c r="R164" s="524"/>
      <c r="S164" s="524">
        <v>2</v>
      </c>
      <c r="T164" s="524"/>
      <c r="U164" s="551"/>
      <c r="V164" s="524">
        <v>5</v>
      </c>
      <c r="W164" s="524" t="s">
        <v>130</v>
      </c>
      <c r="X164" s="524">
        <v>2</v>
      </c>
      <c r="Y164" s="524">
        <v>1</v>
      </c>
      <c r="Z164" s="524"/>
      <c r="AA164" s="524"/>
      <c r="AB164" s="524"/>
      <c r="AC164" s="551"/>
      <c r="AD164" s="524">
        <v>7</v>
      </c>
      <c r="AE164" s="524">
        <v>16</v>
      </c>
      <c r="AF164" s="524"/>
      <c r="AG164" s="524"/>
      <c r="AH164" s="524"/>
      <c r="AI164" s="524"/>
      <c r="AJ164" s="524">
        <v>23</v>
      </c>
      <c r="AK164" s="524"/>
      <c r="AL164" s="524"/>
      <c r="AM164" s="524"/>
      <c r="AN164" s="551"/>
      <c r="AO164" s="477"/>
      <c r="AP164" s="477"/>
      <c r="AQ164" s="524"/>
      <c r="AR164" s="524"/>
      <c r="AS164" s="524"/>
      <c r="AT16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64" s="483">
        <f>WWWW[[#This Row],[%Equitable and continuous access to sufficient quantity of safe drinking water]]*WWWW[[#This Row],[Total PoP ]]</f>
        <v>0</v>
      </c>
      <c r="AV16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64" s="483">
        <f>WWWW[[#This Row],[% Access to unimproved water points]]*WWWW[[#This Row],[Total PoP ]]</f>
        <v>142</v>
      </c>
      <c r="AX16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6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142</v>
      </c>
      <c r="AZ164" s="483">
        <f>WWWW[[#This Row],[HRP1]]/250</f>
        <v>0.56799999999999995</v>
      </c>
      <c r="BA164" s="476">
        <f>1-WWWW[[#This Row],[% Equitable and continuous access to sufficient quantity of domestic water]]</f>
        <v>0</v>
      </c>
      <c r="BB164" s="483">
        <f>WWWW[[#This Row],[%equitable and continuous access to sufficient quantity of safe drinking and domestic water''s GAP]]*WWWW[[#This Row],[Total PoP ]]</f>
        <v>0</v>
      </c>
      <c r="BC164" s="478">
        <f>IF(WWWW[[#This Row],[Total required water points]]-WWWW[[#This Row],['#Water points coverage]]&lt;0,0,WWWW[[#This Row],[Total required water points]]-WWWW[[#This Row],['#Water points coverage]])</f>
        <v>0.43200000000000005</v>
      </c>
      <c r="BD164" s="478">
        <f>ROUND(IF(WWWW[[#This Row],[Total PoP ]]&lt;250,1,WWWW[[#This Row],[Total PoP ]]/250),0)</f>
        <v>1</v>
      </c>
      <c r="BE16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0.21126760563380281</v>
      </c>
      <c r="BF164" s="483">
        <f>WWWW[[#This Row],[% people access to functioning Latrine]]*WWWW[[#This Row],[Total PoP ]]</f>
        <v>30</v>
      </c>
      <c r="BG164" s="478">
        <f>WWWW[[#This Row],['#_of_Functioning_latrines_in_school]]*50</f>
        <v>100</v>
      </c>
      <c r="BH164" s="478">
        <f>ROUND((WWWW[[#This Row],[Total PoP ]]/6),0)</f>
        <v>24</v>
      </c>
      <c r="BI164" s="478">
        <f>IF(WWWW[[#This Row],[Total required Latrines]]-(WWWW[[#This Row],['#_of_sanitary_fly-proof_HH_latrines]])&lt;0,0,WWWW[[#This Row],[Total required Latrines]]-(WWWW[[#This Row],['#_of_sanitary_fly-proof_HH_latrines]]))</f>
        <v>19</v>
      </c>
      <c r="BJ164" s="479">
        <f>1-WWWW[[#This Row],[% people access to functioning Latrine]]</f>
        <v>0.78873239436619724</v>
      </c>
      <c r="BK16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23</v>
      </c>
      <c r="BL164" s="483">
        <f>IF(WWWW[[#This Row],['#_of_functional_handwashing_facilities_at_HH_level]]*6&gt;WWWW[[#This Row],[Total PoP ]],WWWW[[#This Row],[Total PoP ]],WWWW[[#This Row],['#_of_functional_handwashing_facilities_at_HH_level]]*6)</f>
        <v>138</v>
      </c>
      <c r="BM164" s="478">
        <f>IF(WWWW[[#This Row],['# people reached by regular dedicated hygiene promotion]]&gt;WWWW[[#This Row],['# People received regular supply of hygiene items]],WWWW[[#This Row],['# people reached by regular dedicated hygiene promotion]],WWWW[[#This Row],['# People received regular supply of hygiene items]])</f>
        <v>23</v>
      </c>
      <c r="BN164" s="476">
        <f>IF(WWWW[[#This Row],[HRP3]]/WWWW[[#This Row],[Total PoP ]]&gt;100%,100%,WWWW[[#This Row],[HRP3]]/WWWW[[#This Row],[Total PoP ]])</f>
        <v>0.1619718309859155</v>
      </c>
      <c r="BO164" s="479">
        <f>1-WWWW[[#This Row],[Hygiene Coverage%]]</f>
        <v>0.8380281690140845</v>
      </c>
      <c r="BP164" s="477">
        <f>WWWW[[#This Row],['# people reached by regular dedicated hygiene promotion]]/WWWW[[#This Row],[Total PoP ]]</f>
        <v>0.1619718309859155</v>
      </c>
      <c r="BQ16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64" s="478">
        <f>WWWW[[#This Row],['#_of_affected_women_and_girls_receiving_a_sufficient_quantity_of_sanitary_pads]]</f>
        <v>0</v>
      </c>
      <c r="BS164" s="524">
        <f>IF(WWWW[[#This Row],['# People with access to soap]]&gt;WWWW[[#This Row],['# People with access to Sanity Pads]],WWWW[[#This Row],['# People with access to soap]],WWWW[[#This Row],['# People with access to Sanity Pads]])</f>
        <v>0</v>
      </c>
      <c r="BT164" s="483" t="str">
        <f>IF(OR(WWWW[[#This Row],['#of students in school]]="",WWWW[[#This Row],['#of students in school]]=0),"No","Yes")</f>
        <v>Yes</v>
      </c>
      <c r="BU164" s="480" t="str">
        <f>VLOOKUP(WWWW[[#This Row],[Village  Name]],SiteDB6[[Site Name]:[Location Type 1]],9,FALSE)</f>
        <v>Village</v>
      </c>
      <c r="BV164" s="480" t="str">
        <f>VLOOKUP(WWWW[[#This Row],[Village  Name]],SiteDB6[[Site Name]:[Type of Accommodation]],10,FALSE)</f>
        <v>Village</v>
      </c>
      <c r="BW164" s="480">
        <f>VLOOKUP(WWWW[[#This Row],[Village  Name]],SiteDB6[[Site Name]:[Ethnic or GCA/NGCA]],11,FALSE)</f>
        <v>0</v>
      </c>
      <c r="BX164" s="480">
        <f>VLOOKUP(WWWW[[#This Row],[Village  Name]],SiteDB6[[Site Name]:[Lat]],12,FALSE)</f>
        <v>20.7489204406738</v>
      </c>
      <c r="BY164" s="480">
        <f>VLOOKUP(WWWW[[#This Row],[Village  Name]],SiteDB6[[Site Name]:[Long]],13,FALSE)</f>
        <v>92.958816528320298</v>
      </c>
      <c r="BZ164" s="480">
        <f>VLOOKUP(WWWW[[#This Row],[Village  Name]],SiteDB6[[Site Name]:[Pcode]],3,FALSE)</f>
        <v>196894</v>
      </c>
      <c r="CA164" s="480" t="str">
        <f t="shared" si="8"/>
        <v>Covered</v>
      </c>
      <c r="CB164" s="505"/>
    </row>
    <row r="165" spans="1:80">
      <c r="A165" s="774" t="s">
        <v>3150</v>
      </c>
      <c r="B165" s="774" t="s">
        <v>318</v>
      </c>
      <c r="C165" s="415" t="s">
        <v>318</v>
      </c>
      <c r="D165" s="415" t="s">
        <v>334</v>
      </c>
      <c r="E165" s="415" t="s">
        <v>2648</v>
      </c>
      <c r="F165" s="415" t="s">
        <v>302</v>
      </c>
      <c r="G165" s="644" t="str">
        <f>VLOOKUP(WWWW[[#This Row],[Village  Name]],SiteDB6[[Site Name]:[Location Type]],8,FALSE)</f>
        <v>Village</v>
      </c>
      <c r="H165" s="415" t="s">
        <v>928</v>
      </c>
      <c r="I165" s="524">
        <v>103</v>
      </c>
      <c r="J165" s="524">
        <v>449</v>
      </c>
      <c r="K165" s="418">
        <v>43647</v>
      </c>
      <c r="L165" s="55">
        <v>44043</v>
      </c>
      <c r="M165" s="524">
        <v>53</v>
      </c>
      <c r="N165" s="524"/>
      <c r="O165" s="524"/>
      <c r="P165" s="524">
        <v>8</v>
      </c>
      <c r="Q165" s="524">
        <v>1</v>
      </c>
      <c r="R165" s="524"/>
      <c r="S165" s="524">
        <v>4</v>
      </c>
      <c r="T165" s="524"/>
      <c r="U165" s="551"/>
      <c r="V165" s="524">
        <v>96</v>
      </c>
      <c r="W165" s="524" t="s">
        <v>130</v>
      </c>
      <c r="X165" s="524">
        <v>2</v>
      </c>
      <c r="Y165" s="524">
        <v>6</v>
      </c>
      <c r="Z165" s="524"/>
      <c r="AA165" s="524"/>
      <c r="AB165" s="524"/>
      <c r="AC165" s="551"/>
      <c r="AD165" s="524">
        <v>0</v>
      </c>
      <c r="AE165" s="524">
        <v>25</v>
      </c>
      <c r="AF165" s="524"/>
      <c r="AG165" s="524"/>
      <c r="AH165" s="524"/>
      <c r="AI165" s="524"/>
      <c r="AJ165" s="524">
        <v>25</v>
      </c>
      <c r="AK165" s="524"/>
      <c r="AL165" s="524"/>
      <c r="AM165" s="524"/>
      <c r="AN165" s="551"/>
      <c r="AO165" s="477"/>
      <c r="AP165" s="477"/>
      <c r="AQ165" s="524"/>
      <c r="AR165" s="524"/>
      <c r="AS165" s="524"/>
      <c r="AT16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65" s="483">
        <f>WWWW[[#This Row],[%Equitable and continuous access to sufficient quantity of safe drinking water]]*WWWW[[#This Row],[Total PoP ]]</f>
        <v>449</v>
      </c>
      <c r="AV16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65" s="483">
        <f>WWWW[[#This Row],[% Access to unimproved water points]]*WWWW[[#This Row],[Total PoP ]]</f>
        <v>449</v>
      </c>
      <c r="AX16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6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449</v>
      </c>
      <c r="AZ165" s="483">
        <f>WWWW[[#This Row],[HRP1]]/250</f>
        <v>1.796</v>
      </c>
      <c r="BA165" s="476">
        <f>1-WWWW[[#This Row],[% Equitable and continuous access to sufficient quantity of domestic water]]</f>
        <v>0</v>
      </c>
      <c r="BB165" s="483">
        <f>WWWW[[#This Row],[%equitable and continuous access to sufficient quantity of safe drinking and domestic water''s GAP]]*WWWW[[#This Row],[Total PoP ]]</f>
        <v>0</v>
      </c>
      <c r="BC165" s="478">
        <f>IF(WWWW[[#This Row],[Total required water points]]-WWWW[[#This Row],['#Water points coverage]]&lt;0,0,WWWW[[#This Row],[Total required water points]]-WWWW[[#This Row],['#Water points coverage]])</f>
        <v>0.20399999999999996</v>
      </c>
      <c r="BD165" s="478">
        <f>ROUND(IF(WWWW[[#This Row],[Total PoP ]]&lt;250,1,WWWW[[#This Row],[Total PoP ]]/250),0)</f>
        <v>2</v>
      </c>
      <c r="BE16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65" s="483">
        <f>WWWW[[#This Row],[% people access to functioning Latrine]]*WWWW[[#This Row],[Total PoP ]]</f>
        <v>449</v>
      </c>
      <c r="BG165" s="478">
        <f>WWWW[[#This Row],['#_of_Functioning_latrines_in_school]]*50</f>
        <v>100</v>
      </c>
      <c r="BH165" s="478">
        <f>ROUND((WWWW[[#This Row],[Total PoP ]]/6),0)</f>
        <v>75</v>
      </c>
      <c r="BI165" s="478">
        <f>IF(WWWW[[#This Row],[Total required Latrines]]-(WWWW[[#This Row],['#_of_sanitary_fly-proof_HH_latrines]])&lt;0,0,WWWW[[#This Row],[Total required Latrines]]-(WWWW[[#This Row],['#_of_sanitary_fly-proof_HH_latrines]]))</f>
        <v>0</v>
      </c>
      <c r="BJ165" s="479">
        <f>1-WWWW[[#This Row],[% people access to functioning Latrine]]</f>
        <v>0</v>
      </c>
      <c r="BK16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v>
      </c>
      <c r="BL165" s="483">
        <f>IF(WWWW[[#This Row],['#_of_functional_handwashing_facilities_at_HH_level]]*6&gt;WWWW[[#This Row],[Total PoP ]],WWWW[[#This Row],[Total PoP ]],WWWW[[#This Row],['#_of_functional_handwashing_facilities_at_HH_level]]*6)</f>
        <v>150</v>
      </c>
      <c r="BM165" s="478">
        <f>IF(WWWW[[#This Row],['# people reached by regular dedicated hygiene promotion]]&gt;WWWW[[#This Row],['# People received regular supply of hygiene items]],WWWW[[#This Row],['# people reached by regular dedicated hygiene promotion]],WWWW[[#This Row],['# People received regular supply of hygiene items]])</f>
        <v>25</v>
      </c>
      <c r="BN165" s="476">
        <f>IF(WWWW[[#This Row],[HRP3]]/WWWW[[#This Row],[Total PoP ]]&gt;100%,100%,WWWW[[#This Row],[HRP3]]/WWWW[[#This Row],[Total PoP ]])</f>
        <v>5.5679287305122498E-2</v>
      </c>
      <c r="BO165" s="479">
        <f>1-WWWW[[#This Row],[Hygiene Coverage%]]</f>
        <v>0.9443207126948775</v>
      </c>
      <c r="BP165" s="477">
        <f>WWWW[[#This Row],['# people reached by regular dedicated hygiene promotion]]/WWWW[[#This Row],[Total PoP ]]</f>
        <v>5.5679287305122498E-2</v>
      </c>
      <c r="BQ16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65" s="478">
        <f>WWWW[[#This Row],['#_of_affected_women_and_girls_receiving_a_sufficient_quantity_of_sanitary_pads]]</f>
        <v>0</v>
      </c>
      <c r="BS165" s="524">
        <f>IF(WWWW[[#This Row],['# People with access to soap]]&gt;WWWW[[#This Row],['# People with access to Sanity Pads]],WWWW[[#This Row],['# People with access to soap]],WWWW[[#This Row],['# People with access to Sanity Pads]])</f>
        <v>0</v>
      </c>
      <c r="BT165" s="483" t="str">
        <f>IF(OR(WWWW[[#This Row],['#of students in school]]="",WWWW[[#This Row],['#of students in school]]=0),"No","Yes")</f>
        <v>Yes</v>
      </c>
      <c r="BU165" s="480" t="str">
        <f>VLOOKUP(WWWW[[#This Row],[Village  Name]],SiteDB6[[Site Name]:[Location Type 1]],9,FALSE)</f>
        <v>Village</v>
      </c>
      <c r="BV165" s="480" t="str">
        <f>VLOOKUP(WWWW[[#This Row],[Village  Name]],SiteDB6[[Site Name]:[Type of Accommodation]],10,FALSE)</f>
        <v>Village</v>
      </c>
      <c r="BW165" s="480" t="str">
        <f>VLOOKUP(WWWW[[#This Row],[Village  Name]],SiteDB6[[Site Name]:[Ethnic or GCA/NGCA]],11,FALSE)</f>
        <v>Mro</v>
      </c>
      <c r="BX165" s="480">
        <f>VLOOKUP(WWWW[[#This Row],[Village  Name]],SiteDB6[[Site Name]:[Lat]],12,FALSE)</f>
        <v>20.720500950000002</v>
      </c>
      <c r="BY165" s="480">
        <f>VLOOKUP(WWWW[[#This Row],[Village  Name]],SiteDB6[[Site Name]:[Long]],13,FALSE)</f>
        <v>92.937339780000002</v>
      </c>
      <c r="BZ165" s="480">
        <f>VLOOKUP(WWWW[[#This Row],[Village  Name]],SiteDB6[[Site Name]:[Pcode]],3,FALSE)</f>
        <v>196950</v>
      </c>
      <c r="CA165" s="480" t="str">
        <f t="shared" si="8"/>
        <v>Covered</v>
      </c>
      <c r="CB165" s="505"/>
    </row>
    <row r="166" spans="1:80">
      <c r="A166" s="774" t="s">
        <v>3150</v>
      </c>
      <c r="B166" s="774" t="s">
        <v>318</v>
      </c>
      <c r="C166" s="415" t="s">
        <v>318</v>
      </c>
      <c r="D166" s="415" t="s">
        <v>334</v>
      </c>
      <c r="E166" s="415" t="s">
        <v>2648</v>
      </c>
      <c r="F166" s="415" t="s">
        <v>302</v>
      </c>
      <c r="G166" s="644" t="str">
        <f>VLOOKUP(WWWW[[#This Row],[Village  Name]],SiteDB6[[Site Name]:[Location Type]],8,FALSE)</f>
        <v>Village</v>
      </c>
      <c r="H166" s="415" t="s">
        <v>2940</v>
      </c>
      <c r="I166" s="524">
        <v>26</v>
      </c>
      <c r="J166" s="524">
        <v>98</v>
      </c>
      <c r="K166" s="418">
        <v>43647</v>
      </c>
      <c r="L166" s="55">
        <v>44043</v>
      </c>
      <c r="M166" s="524">
        <v>30</v>
      </c>
      <c r="N166" s="524"/>
      <c r="O166" s="524"/>
      <c r="P166" s="524"/>
      <c r="Q166" s="524"/>
      <c r="R166" s="524"/>
      <c r="S166" s="524"/>
      <c r="T166" s="524"/>
      <c r="U166" s="551"/>
      <c r="V166" s="524"/>
      <c r="W166" s="524"/>
      <c r="X166" s="524"/>
      <c r="Y166" s="524"/>
      <c r="Z166" s="524"/>
      <c r="AA166" s="524"/>
      <c r="AB166" s="524"/>
      <c r="AC166" s="551"/>
      <c r="AD166" s="524">
        <v>5</v>
      </c>
      <c r="AE166" s="524">
        <v>20</v>
      </c>
      <c r="AF166" s="524"/>
      <c r="AG166" s="524"/>
      <c r="AH166" s="524"/>
      <c r="AI166" s="524"/>
      <c r="AJ166" s="524"/>
      <c r="AK166" s="524"/>
      <c r="AL166" s="524"/>
      <c r="AM166" s="524"/>
      <c r="AN166" s="551"/>
      <c r="AO166" s="477"/>
      <c r="AP166" s="477"/>
      <c r="AQ166" s="524"/>
      <c r="AR166" s="524"/>
      <c r="AS166" s="524"/>
      <c r="AT16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66" s="483">
        <f>WWWW[[#This Row],[%Equitable and continuous access to sufficient quantity of safe drinking water]]*WWWW[[#This Row],[Total PoP ]]</f>
        <v>0</v>
      </c>
      <c r="AV16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66" s="483">
        <f>WWWW[[#This Row],[% Access to unimproved water points]]*WWWW[[#This Row],[Total PoP ]]</f>
        <v>0</v>
      </c>
      <c r="AX16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6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66" s="483">
        <f>WWWW[[#This Row],[HRP1]]/250</f>
        <v>0</v>
      </c>
      <c r="BA166" s="476">
        <f>1-WWWW[[#This Row],[% Equitable and continuous access to sufficient quantity of domestic water]]</f>
        <v>1</v>
      </c>
      <c r="BB166" s="483">
        <f>WWWW[[#This Row],[%equitable and continuous access to sufficient quantity of safe drinking and domestic water''s GAP]]*WWWW[[#This Row],[Total PoP ]]</f>
        <v>98</v>
      </c>
      <c r="BC166" s="478">
        <f>IF(WWWW[[#This Row],[Total required water points]]-WWWW[[#This Row],['#Water points coverage]]&lt;0,0,WWWW[[#This Row],[Total required water points]]-WWWW[[#This Row],['#Water points coverage]])</f>
        <v>1</v>
      </c>
      <c r="BD166" s="478">
        <f>ROUND(IF(WWWW[[#This Row],[Total PoP ]]&lt;250,1,WWWW[[#This Row],[Total PoP ]]/250),0)</f>
        <v>1</v>
      </c>
      <c r="BE16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66" s="483">
        <f>WWWW[[#This Row],[% people access to functioning Latrine]]*WWWW[[#This Row],[Total PoP ]]</f>
        <v>0</v>
      </c>
      <c r="BG166" s="478">
        <f>WWWW[[#This Row],['#_of_Functioning_latrines_in_school]]*50</f>
        <v>0</v>
      </c>
      <c r="BH166" s="478">
        <f>ROUND((WWWW[[#This Row],[Total PoP ]]/6),0)</f>
        <v>16</v>
      </c>
      <c r="BI166" s="478">
        <f>IF(WWWW[[#This Row],[Total required Latrines]]-(WWWW[[#This Row],['#_of_sanitary_fly-proof_HH_latrines]])&lt;0,0,WWWW[[#This Row],[Total required Latrines]]-(WWWW[[#This Row],['#_of_sanitary_fly-proof_HH_latrines]]))</f>
        <v>16</v>
      </c>
      <c r="BJ166" s="479">
        <f>1-WWWW[[#This Row],[% people access to functioning Latrine]]</f>
        <v>1</v>
      </c>
      <c r="BK16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v>
      </c>
      <c r="BL166" s="483">
        <f>IF(WWWW[[#This Row],['#_of_functional_handwashing_facilities_at_HH_level]]*6&gt;WWWW[[#This Row],[Total PoP ]],WWWW[[#This Row],[Total PoP ]],WWWW[[#This Row],['#_of_functional_handwashing_facilities_at_HH_level]]*6)</f>
        <v>0</v>
      </c>
      <c r="BM166" s="478">
        <f>IF(WWWW[[#This Row],['# people reached by regular dedicated hygiene promotion]]&gt;WWWW[[#This Row],['# People received regular supply of hygiene items]],WWWW[[#This Row],['# people reached by regular dedicated hygiene promotion]],WWWW[[#This Row],['# People received regular supply of hygiene items]])</f>
        <v>25</v>
      </c>
      <c r="BN166" s="476">
        <f>IF(WWWW[[#This Row],[HRP3]]/WWWW[[#This Row],[Total PoP ]]&gt;100%,100%,WWWW[[#This Row],[HRP3]]/WWWW[[#This Row],[Total PoP ]])</f>
        <v>0.25510204081632654</v>
      </c>
      <c r="BO166" s="479">
        <f>1-WWWW[[#This Row],[Hygiene Coverage%]]</f>
        <v>0.74489795918367352</v>
      </c>
      <c r="BP166" s="477">
        <f>WWWW[[#This Row],['# people reached by regular dedicated hygiene promotion]]/WWWW[[#This Row],[Total PoP ]]</f>
        <v>0.25510204081632654</v>
      </c>
      <c r="BQ16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66" s="478">
        <f>WWWW[[#This Row],['#_of_affected_women_and_girls_receiving_a_sufficient_quantity_of_sanitary_pads]]</f>
        <v>0</v>
      </c>
      <c r="BS166" s="524">
        <f>IF(WWWW[[#This Row],['# People with access to soap]]&gt;WWWW[[#This Row],['# People with access to Sanity Pads]],WWWW[[#This Row],['# People with access to soap]],WWWW[[#This Row],['# People with access to Sanity Pads]])</f>
        <v>0</v>
      </c>
      <c r="BT166" s="483" t="str">
        <f>IF(OR(WWWW[[#This Row],['#of students in school]]="",WWWW[[#This Row],['#of students in school]]=0),"No","Yes")</f>
        <v>Yes</v>
      </c>
      <c r="BU166" s="480" t="str">
        <f>VLOOKUP(WWWW[[#This Row],[Village  Name]],SiteDB6[[Site Name]:[Location Type 1]],9,FALSE)</f>
        <v>Village</v>
      </c>
      <c r="BV166" s="480" t="str">
        <f>VLOOKUP(WWWW[[#This Row],[Village  Name]],SiteDB6[[Site Name]:[Type of Accommodation]],10,FALSE)</f>
        <v>Village</v>
      </c>
      <c r="BW166" s="480">
        <f>VLOOKUP(WWWW[[#This Row],[Village  Name]],SiteDB6[[Site Name]:[Ethnic or GCA/NGCA]],11,FALSE)</f>
        <v>0</v>
      </c>
      <c r="BX166" s="480">
        <f>VLOOKUP(WWWW[[#This Row],[Village  Name]],SiteDB6[[Site Name]:[Lat]],12,FALSE)</f>
        <v>0</v>
      </c>
      <c r="BY166" s="480">
        <f>VLOOKUP(WWWW[[#This Row],[Village  Name]],SiteDB6[[Site Name]:[Long]],13,FALSE)</f>
        <v>0</v>
      </c>
      <c r="BZ166" s="480">
        <f>VLOOKUP(WWWW[[#This Row],[Village  Name]],SiteDB6[[Site Name]:[Pcode]],3,FALSE)</f>
        <v>0</v>
      </c>
      <c r="CA166" s="480" t="str">
        <f t="shared" si="8"/>
        <v>Covered</v>
      </c>
      <c r="CB166" s="505"/>
    </row>
    <row r="167" spans="1:80">
      <c r="A167" s="774" t="s">
        <v>3150</v>
      </c>
      <c r="B167" s="774" t="s">
        <v>318</v>
      </c>
      <c r="C167" s="415" t="s">
        <v>318</v>
      </c>
      <c r="D167" s="415" t="s">
        <v>334</v>
      </c>
      <c r="E167" s="415" t="s">
        <v>2648</v>
      </c>
      <c r="F167" s="415" t="s">
        <v>295</v>
      </c>
      <c r="G167" s="644" t="str">
        <f>VLOOKUP(WWWW[[#This Row],[Village  Name]],SiteDB6[[Site Name]:[Location Type]],8,FALSE)</f>
        <v>Village</v>
      </c>
      <c r="H167" s="415" t="s">
        <v>448</v>
      </c>
      <c r="I167" s="524">
        <v>389</v>
      </c>
      <c r="J167" s="524">
        <v>1790</v>
      </c>
      <c r="K167" s="418">
        <v>43678</v>
      </c>
      <c r="L167" s="55">
        <v>44043</v>
      </c>
      <c r="M167" s="524">
        <v>350</v>
      </c>
      <c r="N167" s="524"/>
      <c r="O167" s="524"/>
      <c r="P167" s="524">
        <v>230</v>
      </c>
      <c r="Q167" s="524">
        <v>0</v>
      </c>
      <c r="R167" s="524"/>
      <c r="S167" s="524"/>
      <c r="T167" s="524">
        <v>0</v>
      </c>
      <c r="U167" s="551"/>
      <c r="V167" s="524">
        <v>80</v>
      </c>
      <c r="W167" s="524" t="s">
        <v>126</v>
      </c>
      <c r="X167" s="524">
        <v>0</v>
      </c>
      <c r="Y167" s="524">
        <v>20</v>
      </c>
      <c r="Z167" s="524"/>
      <c r="AA167" s="524"/>
      <c r="AB167" s="524"/>
      <c r="AC167" s="551"/>
      <c r="AD167" s="524"/>
      <c r="AE167" s="524">
        <v>50</v>
      </c>
      <c r="AF167" s="524"/>
      <c r="AG167" s="524"/>
      <c r="AH167" s="524"/>
      <c r="AI167" s="524"/>
      <c r="AJ167" s="524">
        <v>45</v>
      </c>
      <c r="AK167" s="524"/>
      <c r="AL167" s="524"/>
      <c r="AM167" s="524"/>
      <c r="AN167" s="551"/>
      <c r="AO167" s="477"/>
      <c r="AP167" s="477"/>
      <c r="AQ167" s="524"/>
      <c r="AR167" s="524"/>
      <c r="AS167" s="524"/>
      <c r="AT16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67" s="483">
        <f>WWWW[[#This Row],[%Equitable and continuous access to sufficient quantity of safe drinking water]]*WWWW[[#This Row],[Total PoP ]]</f>
        <v>1790</v>
      </c>
      <c r="AV16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67" s="483">
        <f>WWWW[[#This Row],[% Access to unimproved water points]]*WWWW[[#This Row],[Total PoP ]]</f>
        <v>0</v>
      </c>
      <c r="AX16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6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1790</v>
      </c>
      <c r="AZ167" s="483">
        <f>WWWW[[#This Row],[HRP1]]/250</f>
        <v>7.16</v>
      </c>
      <c r="BA167" s="476">
        <f>1-WWWW[[#This Row],[% Equitable and continuous access to sufficient quantity of domestic water]]</f>
        <v>0</v>
      </c>
      <c r="BB167" s="483">
        <f>WWWW[[#This Row],[%equitable and continuous access to sufficient quantity of safe drinking and domestic water''s GAP]]*WWWW[[#This Row],[Total PoP ]]</f>
        <v>0</v>
      </c>
      <c r="BC167" s="478">
        <f>IF(WWWW[[#This Row],[Total required water points]]-WWWW[[#This Row],['#Water points coverage]]&lt;0,0,WWWW[[#This Row],[Total required water points]]-WWWW[[#This Row],['#Water points coverage]])</f>
        <v>0</v>
      </c>
      <c r="BD167" s="478">
        <f>ROUND(IF(WWWW[[#This Row],[Total PoP ]]&lt;250,1,WWWW[[#This Row],[Total PoP ]]/250),0)</f>
        <v>7</v>
      </c>
      <c r="BE16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0.26815642458100558</v>
      </c>
      <c r="BF167" s="483">
        <f>WWWW[[#This Row],[% people access to functioning Latrine]]*WWWW[[#This Row],[Total PoP ]]</f>
        <v>480</v>
      </c>
      <c r="BG167" s="478">
        <f>WWWW[[#This Row],['#_of_Functioning_latrines_in_school]]*50</f>
        <v>0</v>
      </c>
      <c r="BH167" s="478">
        <f>ROUND((WWWW[[#This Row],[Total PoP ]]/6),0)</f>
        <v>298</v>
      </c>
      <c r="BI167" s="478">
        <f>IF(WWWW[[#This Row],[Total required Latrines]]-(WWWW[[#This Row],['#_of_sanitary_fly-proof_HH_latrines]])&lt;0,0,WWWW[[#This Row],[Total required Latrines]]-(WWWW[[#This Row],['#_of_sanitary_fly-proof_HH_latrines]]))</f>
        <v>218</v>
      </c>
      <c r="BJ167" s="479">
        <f>1-WWWW[[#This Row],[% people access to functioning Latrine]]</f>
        <v>0.73184357541899447</v>
      </c>
      <c r="BK16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50</v>
      </c>
      <c r="BL167" s="483">
        <f>IF(WWWW[[#This Row],['#_of_functional_handwashing_facilities_at_HH_level]]*6&gt;WWWW[[#This Row],[Total PoP ]],WWWW[[#This Row],[Total PoP ]],WWWW[[#This Row],['#_of_functional_handwashing_facilities_at_HH_level]]*6)</f>
        <v>270</v>
      </c>
      <c r="BM167" s="478">
        <f>IF(WWWW[[#This Row],['# people reached by regular dedicated hygiene promotion]]&gt;WWWW[[#This Row],['# People received regular supply of hygiene items]],WWWW[[#This Row],['# people reached by regular dedicated hygiene promotion]],WWWW[[#This Row],['# People received regular supply of hygiene items]])</f>
        <v>50</v>
      </c>
      <c r="BN167" s="476">
        <f>IF(WWWW[[#This Row],[HRP3]]/WWWW[[#This Row],[Total PoP ]]&gt;100%,100%,WWWW[[#This Row],[HRP3]]/WWWW[[#This Row],[Total PoP ]])</f>
        <v>2.7932960893854747E-2</v>
      </c>
      <c r="BO167" s="479">
        <f>1-WWWW[[#This Row],[Hygiene Coverage%]]</f>
        <v>0.97206703910614523</v>
      </c>
      <c r="BP167" s="477">
        <f>WWWW[[#This Row],['# people reached by regular dedicated hygiene promotion]]/WWWW[[#This Row],[Total PoP ]]</f>
        <v>2.7932960893854747E-2</v>
      </c>
      <c r="BQ16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67" s="478">
        <f>WWWW[[#This Row],['#_of_affected_women_and_girls_receiving_a_sufficient_quantity_of_sanitary_pads]]</f>
        <v>0</v>
      </c>
      <c r="BS167" s="524">
        <f>IF(WWWW[[#This Row],['# People with access to soap]]&gt;WWWW[[#This Row],['# People with access to Sanity Pads]],WWWW[[#This Row],['# People with access to soap]],WWWW[[#This Row],['# People with access to Sanity Pads]])</f>
        <v>0</v>
      </c>
      <c r="BT167" s="483" t="str">
        <f>IF(OR(WWWW[[#This Row],['#of students in school]]="",WWWW[[#This Row],['#of students in school]]=0),"No","Yes")</f>
        <v>Yes</v>
      </c>
      <c r="BU167" s="480" t="str">
        <f>VLOOKUP(WWWW[[#This Row],[Village  Name]],SiteDB6[[Site Name]:[Location Type 1]],9,FALSE)</f>
        <v>Village</v>
      </c>
      <c r="BV167" s="480" t="str">
        <f>VLOOKUP(WWWW[[#This Row],[Village  Name]],SiteDB6[[Site Name]:[Type of Accommodation]],10,FALSE)</f>
        <v>Village</v>
      </c>
      <c r="BW167" s="480" t="str">
        <f>VLOOKUP(WWWW[[#This Row],[Village  Name]],SiteDB6[[Site Name]:[Ethnic or GCA/NGCA]],11,FALSE)</f>
        <v>Muslim</v>
      </c>
      <c r="BX167" s="480">
        <f>VLOOKUP(WWWW[[#This Row],[Village  Name]],SiteDB6[[Site Name]:[Lat]],12,FALSE)</f>
        <v>20.235199999999999</v>
      </c>
      <c r="BY167" s="480">
        <f>VLOOKUP(WWWW[[#This Row],[Village  Name]],SiteDB6[[Site Name]:[Long]],13,FALSE)</f>
        <v>92.805000000000007</v>
      </c>
      <c r="BZ167" s="480">
        <f>VLOOKUP(WWWW[[#This Row],[Village  Name]],SiteDB6[[Site Name]:[Pcode]],3,FALSE)</f>
        <v>196143</v>
      </c>
      <c r="CA167" s="480" t="str">
        <f t="shared" si="8"/>
        <v>Covered</v>
      </c>
      <c r="CB167" s="505"/>
    </row>
    <row r="168" spans="1:80">
      <c r="A168" s="774" t="s">
        <v>3150</v>
      </c>
      <c r="B168" s="774" t="s">
        <v>318</v>
      </c>
      <c r="C168" s="415" t="s">
        <v>318</v>
      </c>
      <c r="D168" s="415" t="s">
        <v>334</v>
      </c>
      <c r="E168" s="415" t="s">
        <v>2648</v>
      </c>
      <c r="F168" s="415" t="s">
        <v>295</v>
      </c>
      <c r="G168" s="644" t="str">
        <f>VLOOKUP(WWWW[[#This Row],[Village  Name]],SiteDB6[[Site Name]:[Location Type]],8,FALSE)</f>
        <v>Village</v>
      </c>
      <c r="H168" s="415" t="s">
        <v>1664</v>
      </c>
      <c r="I168" s="524">
        <v>410</v>
      </c>
      <c r="J168" s="524">
        <v>2100</v>
      </c>
      <c r="K168" s="418">
        <v>43678</v>
      </c>
      <c r="L168" s="55">
        <v>44043</v>
      </c>
      <c r="M168" s="524">
        <v>200</v>
      </c>
      <c r="N168" s="524"/>
      <c r="O168" s="524">
        <v>10</v>
      </c>
      <c r="P168" s="524">
        <v>50</v>
      </c>
      <c r="Q168" s="524"/>
      <c r="R168" s="524"/>
      <c r="S168" s="524"/>
      <c r="T168" s="524">
        <v>1</v>
      </c>
      <c r="U168" s="551"/>
      <c r="V168" s="524">
        <v>280</v>
      </c>
      <c r="W168" s="524" t="s">
        <v>126</v>
      </c>
      <c r="X168" s="524">
        <v>5</v>
      </c>
      <c r="Y168" s="524">
        <v>9</v>
      </c>
      <c r="Z168" s="524"/>
      <c r="AA168" s="524"/>
      <c r="AB168" s="524"/>
      <c r="AC168" s="551"/>
      <c r="AD168" s="524"/>
      <c r="AE168" s="524">
        <v>50</v>
      </c>
      <c r="AF168" s="524"/>
      <c r="AG168" s="524"/>
      <c r="AH168" s="524"/>
      <c r="AI168" s="524"/>
      <c r="AJ168" s="524">
        <v>50</v>
      </c>
      <c r="AK168" s="524"/>
      <c r="AL168" s="524"/>
      <c r="AM168" s="524"/>
      <c r="AN168" s="551"/>
      <c r="AO168" s="477"/>
      <c r="AP168" s="477"/>
      <c r="AQ168" s="524"/>
      <c r="AR168" s="524"/>
      <c r="AS168" s="524"/>
      <c r="AT16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68" s="483">
        <f>WWWW[[#This Row],[%Equitable and continuous access to sufficient quantity of safe drinking water]]*WWWW[[#This Row],[Total PoP ]]</f>
        <v>2100</v>
      </c>
      <c r="AV16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68" s="483">
        <f>WWWW[[#This Row],[% Access to unimproved water points]]*WWWW[[#This Row],[Total PoP ]]</f>
        <v>0</v>
      </c>
      <c r="AX16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6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2100</v>
      </c>
      <c r="AZ168" s="483">
        <f>WWWW[[#This Row],[HRP1]]/250</f>
        <v>8.4</v>
      </c>
      <c r="BA168" s="476">
        <f>1-WWWW[[#This Row],[% Equitable and continuous access to sufficient quantity of domestic water]]</f>
        <v>0</v>
      </c>
      <c r="BB168" s="483">
        <f>WWWW[[#This Row],[%equitable and continuous access to sufficient quantity of safe drinking and domestic water''s GAP]]*WWWW[[#This Row],[Total PoP ]]</f>
        <v>0</v>
      </c>
      <c r="BC168" s="478">
        <f>IF(WWWW[[#This Row],[Total required water points]]-WWWW[[#This Row],['#Water points coverage]]&lt;0,0,WWWW[[#This Row],[Total required water points]]-WWWW[[#This Row],['#Water points coverage]])</f>
        <v>0</v>
      </c>
      <c r="BD168" s="478">
        <f>ROUND(IF(WWWW[[#This Row],[Total PoP ]]&lt;250,1,WWWW[[#This Row],[Total PoP ]]/250),0)</f>
        <v>8</v>
      </c>
      <c r="BE16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v>
      </c>
      <c r="BF168" s="483">
        <f>WWWW[[#This Row],[% people access to functioning Latrine]]*WWWW[[#This Row],[Total PoP ]]</f>
        <v>1680</v>
      </c>
      <c r="BG168" s="478">
        <f>WWWW[[#This Row],['#_of_Functioning_latrines_in_school]]*50</f>
        <v>250</v>
      </c>
      <c r="BH168" s="478">
        <f>ROUND((WWWW[[#This Row],[Total PoP ]]/6),0)</f>
        <v>350</v>
      </c>
      <c r="BI168" s="478">
        <f>IF(WWWW[[#This Row],[Total required Latrines]]-(WWWW[[#This Row],['#_of_sanitary_fly-proof_HH_latrines]])&lt;0,0,WWWW[[#This Row],[Total required Latrines]]-(WWWW[[#This Row],['#_of_sanitary_fly-proof_HH_latrines]]))</f>
        <v>70</v>
      </c>
      <c r="BJ168" s="479">
        <f>1-WWWW[[#This Row],[% people access to functioning Latrine]]</f>
        <v>0.19999999999999996</v>
      </c>
      <c r="BK16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50</v>
      </c>
      <c r="BL168" s="483">
        <f>IF(WWWW[[#This Row],['#_of_functional_handwashing_facilities_at_HH_level]]*6&gt;WWWW[[#This Row],[Total PoP ]],WWWW[[#This Row],[Total PoP ]],WWWW[[#This Row],['#_of_functional_handwashing_facilities_at_HH_level]]*6)</f>
        <v>300</v>
      </c>
      <c r="BM168" s="478">
        <f>IF(WWWW[[#This Row],['# people reached by regular dedicated hygiene promotion]]&gt;WWWW[[#This Row],['# People received regular supply of hygiene items]],WWWW[[#This Row],['# people reached by regular dedicated hygiene promotion]],WWWW[[#This Row],['# People received regular supply of hygiene items]])</f>
        <v>50</v>
      </c>
      <c r="BN168" s="476">
        <f>IF(WWWW[[#This Row],[HRP3]]/WWWW[[#This Row],[Total PoP ]]&gt;100%,100%,WWWW[[#This Row],[HRP3]]/WWWW[[#This Row],[Total PoP ]])</f>
        <v>2.3809523809523808E-2</v>
      </c>
      <c r="BO168" s="479">
        <f>1-WWWW[[#This Row],[Hygiene Coverage%]]</f>
        <v>0.97619047619047616</v>
      </c>
      <c r="BP168" s="477">
        <f>WWWW[[#This Row],['# people reached by regular dedicated hygiene promotion]]/WWWW[[#This Row],[Total PoP ]]</f>
        <v>2.3809523809523808E-2</v>
      </c>
      <c r="BQ16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68" s="478">
        <f>WWWW[[#This Row],['#_of_affected_women_and_girls_receiving_a_sufficient_quantity_of_sanitary_pads]]</f>
        <v>0</v>
      </c>
      <c r="BS168" s="524">
        <f>IF(WWWW[[#This Row],['# People with access to soap]]&gt;WWWW[[#This Row],['# People with access to Sanity Pads]],WWWW[[#This Row],['# People with access to soap]],WWWW[[#This Row],['# People with access to Sanity Pads]])</f>
        <v>0</v>
      </c>
      <c r="BT168" s="483" t="str">
        <f>IF(OR(WWWW[[#This Row],['#of students in school]]="",WWWW[[#This Row],['#of students in school]]=0),"No","Yes")</f>
        <v>Yes</v>
      </c>
      <c r="BU168" s="480" t="str">
        <f>VLOOKUP(WWWW[[#This Row],[Village  Name]],SiteDB6[[Site Name]:[Location Type 1]],9,FALSE)</f>
        <v>Village</v>
      </c>
      <c r="BV168" s="480" t="str">
        <f>VLOOKUP(WWWW[[#This Row],[Village  Name]],SiteDB6[[Site Name]:[Type of Accommodation]],10,FALSE)</f>
        <v>Village</v>
      </c>
      <c r="BW168" s="480">
        <f>VLOOKUP(WWWW[[#This Row],[Village  Name]],SiteDB6[[Site Name]:[Ethnic or GCA/NGCA]],11,FALSE)</f>
        <v>0</v>
      </c>
      <c r="BX168" s="480">
        <f>VLOOKUP(WWWW[[#This Row],[Village  Name]],SiteDB6[[Site Name]:[Lat]],12,FALSE)</f>
        <v>20.2351894378662</v>
      </c>
      <c r="BY168" s="480">
        <f>VLOOKUP(WWWW[[#This Row],[Village  Name]],SiteDB6[[Site Name]:[Long]],13,FALSE)</f>
        <v>92.790191650390597</v>
      </c>
      <c r="BZ168" s="480">
        <f>VLOOKUP(WWWW[[#This Row],[Village  Name]],SiteDB6[[Site Name]:[Pcode]],3,FALSE)</f>
        <v>196138</v>
      </c>
      <c r="CA168" s="480" t="str">
        <f t="shared" si="8"/>
        <v>Covered</v>
      </c>
      <c r="CB168" s="505"/>
    </row>
    <row r="169" spans="1:80">
      <c r="A169" s="774" t="s">
        <v>3150</v>
      </c>
      <c r="B169" s="774" t="s">
        <v>318</v>
      </c>
      <c r="C169" s="415" t="s">
        <v>318</v>
      </c>
      <c r="D169" s="415" t="s">
        <v>334</v>
      </c>
      <c r="E169" s="415" t="s">
        <v>2648</v>
      </c>
      <c r="F169" s="415" t="s">
        <v>295</v>
      </c>
      <c r="G169" s="644" t="str">
        <f>VLOOKUP(WWWW[[#This Row],[Village  Name]],SiteDB6[[Site Name]:[Location Type]],8,FALSE)</f>
        <v>Village</v>
      </c>
      <c r="H169" s="415" t="s">
        <v>3107</v>
      </c>
      <c r="I169" s="524">
        <v>187</v>
      </c>
      <c r="J169" s="524">
        <v>913</v>
      </c>
      <c r="K169" s="418">
        <v>43678</v>
      </c>
      <c r="L169" s="55">
        <v>44043</v>
      </c>
      <c r="M169" s="524">
        <v>110</v>
      </c>
      <c r="N169" s="524"/>
      <c r="O169" s="524">
        <v>7</v>
      </c>
      <c r="P169" s="524">
        <v>10</v>
      </c>
      <c r="Q169" s="524">
        <v>0</v>
      </c>
      <c r="R169" s="524"/>
      <c r="S169" s="524"/>
      <c r="T169" s="524"/>
      <c r="U169" s="551"/>
      <c r="V169" s="524">
        <v>12</v>
      </c>
      <c r="W169" s="524" t="s">
        <v>126</v>
      </c>
      <c r="X169" s="524">
        <v>0</v>
      </c>
      <c r="Y169" s="524">
        <v>14</v>
      </c>
      <c r="Z169" s="524"/>
      <c r="AA169" s="524"/>
      <c r="AB169" s="524"/>
      <c r="AC169" s="551"/>
      <c r="AD169" s="524"/>
      <c r="AE169" s="524">
        <v>50</v>
      </c>
      <c r="AF169" s="524"/>
      <c r="AG169" s="524"/>
      <c r="AH169" s="524"/>
      <c r="AI169" s="524"/>
      <c r="AJ169" s="524">
        <v>50</v>
      </c>
      <c r="AK169" s="524"/>
      <c r="AL169" s="524"/>
      <c r="AM169" s="524"/>
      <c r="AN169" s="551"/>
      <c r="AO169" s="477"/>
      <c r="AP169" s="477"/>
      <c r="AQ169" s="524"/>
      <c r="AR169" s="524"/>
      <c r="AS169" s="524"/>
      <c r="AT16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69" s="483">
        <f>WWWW[[#This Row],[%Equitable and continuous access to sufficient quantity of safe drinking water]]*WWWW[[#This Row],[Total PoP ]]</f>
        <v>913</v>
      </c>
      <c r="AV16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69" s="483">
        <f>WWWW[[#This Row],[% Access to unimproved water points]]*WWWW[[#This Row],[Total PoP ]]</f>
        <v>0</v>
      </c>
      <c r="AX16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6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913</v>
      </c>
      <c r="AZ169" s="483">
        <f>WWWW[[#This Row],[HRP1]]/250</f>
        <v>3.6520000000000001</v>
      </c>
      <c r="BA169" s="476">
        <f>1-WWWW[[#This Row],[% Equitable and continuous access to sufficient quantity of domestic water]]</f>
        <v>0</v>
      </c>
      <c r="BB169" s="483">
        <f>WWWW[[#This Row],[%equitable and continuous access to sufficient quantity of safe drinking and domestic water''s GAP]]*WWWW[[#This Row],[Total PoP ]]</f>
        <v>0</v>
      </c>
      <c r="BC169" s="478">
        <f>IF(WWWW[[#This Row],[Total required water points]]-WWWW[[#This Row],['#Water points coverage]]&lt;0,0,WWWW[[#This Row],[Total required water points]]-WWWW[[#This Row],['#Water points coverage]])</f>
        <v>0.34799999999999986</v>
      </c>
      <c r="BD169" s="478">
        <f>ROUND(IF(WWWW[[#This Row],[Total PoP ]]&lt;250,1,WWWW[[#This Row],[Total PoP ]]/250),0)</f>
        <v>4</v>
      </c>
      <c r="BE16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7.8860898138006577E-2</v>
      </c>
      <c r="BF169" s="483">
        <f>WWWW[[#This Row],[% people access to functioning Latrine]]*WWWW[[#This Row],[Total PoP ]]</f>
        <v>72</v>
      </c>
      <c r="BG169" s="478">
        <f>WWWW[[#This Row],['#_of_Functioning_latrines_in_school]]*50</f>
        <v>0</v>
      </c>
      <c r="BH169" s="478">
        <f>ROUND((WWWW[[#This Row],[Total PoP ]]/6),0)</f>
        <v>152</v>
      </c>
      <c r="BI169" s="478">
        <f>IF(WWWW[[#This Row],[Total required Latrines]]-(WWWW[[#This Row],['#_of_sanitary_fly-proof_HH_latrines]])&lt;0,0,WWWW[[#This Row],[Total required Latrines]]-(WWWW[[#This Row],['#_of_sanitary_fly-proof_HH_latrines]]))</f>
        <v>140</v>
      </c>
      <c r="BJ169" s="479">
        <f>1-WWWW[[#This Row],[% people access to functioning Latrine]]</f>
        <v>0.92113910186199344</v>
      </c>
      <c r="BK16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50</v>
      </c>
      <c r="BL169" s="483">
        <f>IF(WWWW[[#This Row],['#_of_functional_handwashing_facilities_at_HH_level]]*6&gt;WWWW[[#This Row],[Total PoP ]],WWWW[[#This Row],[Total PoP ]],WWWW[[#This Row],['#_of_functional_handwashing_facilities_at_HH_level]]*6)</f>
        <v>300</v>
      </c>
      <c r="BM169" s="478">
        <f>IF(WWWW[[#This Row],['# people reached by regular dedicated hygiene promotion]]&gt;WWWW[[#This Row],['# People received regular supply of hygiene items]],WWWW[[#This Row],['# people reached by regular dedicated hygiene promotion]],WWWW[[#This Row],['# People received regular supply of hygiene items]])</f>
        <v>50</v>
      </c>
      <c r="BN169" s="476">
        <f>IF(WWWW[[#This Row],[HRP3]]/WWWW[[#This Row],[Total PoP ]]&gt;100%,100%,WWWW[[#This Row],[HRP3]]/WWWW[[#This Row],[Total PoP ]])</f>
        <v>5.4764512595837894E-2</v>
      </c>
      <c r="BO169" s="479">
        <f>1-WWWW[[#This Row],[Hygiene Coverage%]]</f>
        <v>0.94523548740416208</v>
      </c>
      <c r="BP169" s="477">
        <f>WWWW[[#This Row],['# people reached by regular dedicated hygiene promotion]]/WWWW[[#This Row],[Total PoP ]]</f>
        <v>5.4764512595837894E-2</v>
      </c>
      <c r="BQ16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69" s="478">
        <f>WWWW[[#This Row],['#_of_affected_women_and_girls_receiving_a_sufficient_quantity_of_sanitary_pads]]</f>
        <v>0</v>
      </c>
      <c r="BS169" s="524">
        <f>IF(WWWW[[#This Row],['# People with access to soap]]&gt;WWWW[[#This Row],['# People with access to Sanity Pads]],WWWW[[#This Row],['# People with access to soap]],WWWW[[#This Row],['# People with access to Sanity Pads]])</f>
        <v>0</v>
      </c>
      <c r="BT169" s="483" t="str">
        <f>IF(OR(WWWW[[#This Row],['#of students in school]]="",WWWW[[#This Row],['#of students in school]]=0),"No","Yes")</f>
        <v>Yes</v>
      </c>
      <c r="BU169" s="480" t="str">
        <f>VLOOKUP(WWWW[[#This Row],[Village  Name]],SiteDB6[[Site Name]:[Location Type 1]],9,FALSE)</f>
        <v>Village</v>
      </c>
      <c r="BV169" s="480" t="str">
        <f>VLOOKUP(WWWW[[#This Row],[Village  Name]],SiteDB6[[Site Name]:[Type of Accommodation]],10,FALSE)</f>
        <v>Village</v>
      </c>
      <c r="BW169" s="480">
        <f>VLOOKUP(WWWW[[#This Row],[Village  Name]],SiteDB6[[Site Name]:[Ethnic or GCA/NGCA]],11,FALSE)</f>
        <v>0</v>
      </c>
      <c r="BX169" s="480">
        <f>VLOOKUP(WWWW[[#This Row],[Village  Name]],SiteDB6[[Site Name]:[Lat]],12,FALSE)</f>
        <v>0</v>
      </c>
      <c r="BY169" s="480">
        <f>VLOOKUP(WWWW[[#This Row],[Village  Name]],SiteDB6[[Site Name]:[Long]],13,FALSE)</f>
        <v>0</v>
      </c>
      <c r="BZ169" s="480">
        <f>VLOOKUP(WWWW[[#This Row],[Village  Name]],SiteDB6[[Site Name]:[Pcode]],3,FALSE)</f>
        <v>0</v>
      </c>
      <c r="CA169" s="480" t="str">
        <f t="shared" si="8"/>
        <v>Covered</v>
      </c>
      <c r="CB169" s="505"/>
    </row>
    <row r="170" spans="1:80">
      <c r="A170" s="774" t="s">
        <v>3150</v>
      </c>
      <c r="B170" s="774" t="s">
        <v>318</v>
      </c>
      <c r="C170" s="415" t="s">
        <v>318</v>
      </c>
      <c r="D170" s="415" t="s">
        <v>334</v>
      </c>
      <c r="E170" s="415" t="s">
        <v>2648</v>
      </c>
      <c r="F170" s="415" t="s">
        <v>295</v>
      </c>
      <c r="G170" s="644" t="str">
        <f>VLOOKUP(WWWW[[#This Row],[Village  Name]],SiteDB6[[Site Name]:[Location Type]],8,FALSE)</f>
        <v>Village</v>
      </c>
      <c r="H170" s="415" t="s">
        <v>3108</v>
      </c>
      <c r="I170" s="524">
        <v>164</v>
      </c>
      <c r="J170" s="524">
        <v>1172</v>
      </c>
      <c r="K170" s="418">
        <v>43678</v>
      </c>
      <c r="L170" s="55">
        <v>44043</v>
      </c>
      <c r="M170" s="524">
        <v>50</v>
      </c>
      <c r="N170" s="524"/>
      <c r="O170" s="524">
        <v>2</v>
      </c>
      <c r="P170" s="524">
        <v>70</v>
      </c>
      <c r="Q170" s="524">
        <v>0</v>
      </c>
      <c r="R170" s="524"/>
      <c r="S170" s="524">
        <v>0</v>
      </c>
      <c r="T170" s="524">
        <v>0</v>
      </c>
      <c r="U170" s="551"/>
      <c r="V170" s="524">
        <v>20</v>
      </c>
      <c r="W170" s="524" t="s">
        <v>126</v>
      </c>
      <c r="X170" s="524"/>
      <c r="Y170" s="524">
        <v>10</v>
      </c>
      <c r="Z170" s="524"/>
      <c r="AA170" s="524"/>
      <c r="AB170" s="524"/>
      <c r="AC170" s="551"/>
      <c r="AD170" s="524"/>
      <c r="AE170" s="524">
        <v>50</v>
      </c>
      <c r="AF170" s="524"/>
      <c r="AG170" s="524"/>
      <c r="AH170" s="524"/>
      <c r="AI170" s="524"/>
      <c r="AJ170" s="524">
        <v>50</v>
      </c>
      <c r="AK170" s="524"/>
      <c r="AL170" s="524"/>
      <c r="AM170" s="524"/>
      <c r="AN170" s="551"/>
      <c r="AO170" s="477"/>
      <c r="AP170" s="477"/>
      <c r="AQ170" s="524"/>
      <c r="AR170" s="524"/>
      <c r="AS170" s="524"/>
      <c r="AT17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70" s="483">
        <f>WWWW[[#This Row],[%Equitable and continuous access to sufficient quantity of safe drinking water]]*WWWW[[#This Row],[Total PoP ]]</f>
        <v>1172</v>
      </c>
      <c r="AV17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70" s="483">
        <f>WWWW[[#This Row],[% Access to unimproved water points]]*WWWW[[#This Row],[Total PoP ]]</f>
        <v>0</v>
      </c>
      <c r="AX17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7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1172</v>
      </c>
      <c r="AZ170" s="483">
        <f>WWWW[[#This Row],[HRP1]]/250</f>
        <v>4.6879999999999997</v>
      </c>
      <c r="BA170" s="476">
        <f>1-WWWW[[#This Row],[% Equitable and continuous access to sufficient quantity of domestic water]]</f>
        <v>0</v>
      </c>
      <c r="BB170" s="483">
        <f>WWWW[[#This Row],[%equitable and continuous access to sufficient quantity of safe drinking and domestic water''s GAP]]*WWWW[[#This Row],[Total PoP ]]</f>
        <v>0</v>
      </c>
      <c r="BC170" s="478">
        <f>IF(WWWW[[#This Row],[Total required water points]]-WWWW[[#This Row],['#Water points coverage]]&lt;0,0,WWWW[[#This Row],[Total required water points]]-WWWW[[#This Row],['#Water points coverage]])</f>
        <v>0.31200000000000028</v>
      </c>
      <c r="BD170" s="478">
        <f>ROUND(IF(WWWW[[#This Row],[Total PoP ]]&lt;250,1,WWWW[[#This Row],[Total PoP ]]/250),0)</f>
        <v>5</v>
      </c>
      <c r="BE17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0.10238907849829351</v>
      </c>
      <c r="BF170" s="483">
        <f>WWWW[[#This Row],[% people access to functioning Latrine]]*WWWW[[#This Row],[Total PoP ]]</f>
        <v>120</v>
      </c>
      <c r="BG170" s="478">
        <f>WWWW[[#This Row],['#_of_Functioning_latrines_in_school]]*50</f>
        <v>0</v>
      </c>
      <c r="BH170" s="478">
        <f>ROUND((WWWW[[#This Row],[Total PoP ]]/6),0)</f>
        <v>195</v>
      </c>
      <c r="BI170" s="478">
        <f>IF(WWWW[[#This Row],[Total required Latrines]]-(WWWW[[#This Row],['#_of_sanitary_fly-proof_HH_latrines]])&lt;0,0,WWWW[[#This Row],[Total required Latrines]]-(WWWW[[#This Row],['#_of_sanitary_fly-proof_HH_latrines]]))</f>
        <v>175</v>
      </c>
      <c r="BJ170" s="479">
        <f>1-WWWW[[#This Row],[% people access to functioning Latrine]]</f>
        <v>0.89761092150170652</v>
      </c>
      <c r="BK17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50</v>
      </c>
      <c r="BL170" s="483">
        <f>IF(WWWW[[#This Row],['#_of_functional_handwashing_facilities_at_HH_level]]*6&gt;WWWW[[#This Row],[Total PoP ]],WWWW[[#This Row],[Total PoP ]],WWWW[[#This Row],['#_of_functional_handwashing_facilities_at_HH_level]]*6)</f>
        <v>300</v>
      </c>
      <c r="BM170" s="478">
        <f>IF(WWWW[[#This Row],['# people reached by regular dedicated hygiene promotion]]&gt;WWWW[[#This Row],['# People received regular supply of hygiene items]],WWWW[[#This Row],['# people reached by regular dedicated hygiene promotion]],WWWW[[#This Row],['# People received regular supply of hygiene items]])</f>
        <v>50</v>
      </c>
      <c r="BN170" s="476">
        <f>IF(WWWW[[#This Row],[HRP3]]/WWWW[[#This Row],[Total PoP ]]&gt;100%,100%,WWWW[[#This Row],[HRP3]]/WWWW[[#This Row],[Total PoP ]])</f>
        <v>4.2662116040955635E-2</v>
      </c>
      <c r="BO170" s="479">
        <f>1-WWWW[[#This Row],[Hygiene Coverage%]]</f>
        <v>0.9573378839590444</v>
      </c>
      <c r="BP170" s="477">
        <f>WWWW[[#This Row],['# people reached by regular dedicated hygiene promotion]]/WWWW[[#This Row],[Total PoP ]]</f>
        <v>4.2662116040955635E-2</v>
      </c>
      <c r="BQ17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70" s="478">
        <f>WWWW[[#This Row],['#_of_affected_women_and_girls_receiving_a_sufficient_quantity_of_sanitary_pads]]</f>
        <v>0</v>
      </c>
      <c r="BS170" s="524">
        <f>IF(WWWW[[#This Row],['# People with access to soap]]&gt;WWWW[[#This Row],['# People with access to Sanity Pads]],WWWW[[#This Row],['# People with access to soap]],WWWW[[#This Row],['# People with access to Sanity Pads]])</f>
        <v>0</v>
      </c>
      <c r="BT170" s="483" t="str">
        <f>IF(OR(WWWW[[#This Row],['#of students in school]]="",WWWW[[#This Row],['#of students in school]]=0),"No","Yes")</f>
        <v>Yes</v>
      </c>
      <c r="BU170" s="480" t="str">
        <f>VLOOKUP(WWWW[[#This Row],[Village  Name]],SiteDB6[[Site Name]:[Location Type 1]],9,FALSE)</f>
        <v>Village</v>
      </c>
      <c r="BV170" s="480" t="str">
        <f>VLOOKUP(WWWW[[#This Row],[Village  Name]],SiteDB6[[Site Name]:[Type of Accommodation]],10,FALSE)</f>
        <v>Village</v>
      </c>
      <c r="BW170" s="480">
        <f>VLOOKUP(WWWW[[#This Row],[Village  Name]],SiteDB6[[Site Name]:[Ethnic or GCA/NGCA]],11,FALSE)</f>
        <v>0</v>
      </c>
      <c r="BX170" s="480">
        <f>VLOOKUP(WWWW[[#This Row],[Village  Name]],SiteDB6[[Site Name]:[Lat]],12,FALSE)</f>
        <v>0</v>
      </c>
      <c r="BY170" s="480">
        <f>VLOOKUP(WWWW[[#This Row],[Village  Name]],SiteDB6[[Site Name]:[Long]],13,FALSE)</f>
        <v>0</v>
      </c>
      <c r="BZ170" s="480">
        <f>VLOOKUP(WWWW[[#This Row],[Village  Name]],SiteDB6[[Site Name]:[Pcode]],3,FALSE)</f>
        <v>0</v>
      </c>
      <c r="CA170" s="480" t="str">
        <f t="shared" si="8"/>
        <v>Covered</v>
      </c>
      <c r="CB170" s="505"/>
    </row>
    <row r="171" spans="1:80">
      <c r="A171" s="774" t="s">
        <v>3150</v>
      </c>
      <c r="B171" s="774" t="s">
        <v>318</v>
      </c>
      <c r="C171" s="415" t="s">
        <v>318</v>
      </c>
      <c r="D171" s="415" t="s">
        <v>334</v>
      </c>
      <c r="E171" s="415" t="s">
        <v>2648</v>
      </c>
      <c r="F171" s="415" t="s">
        <v>295</v>
      </c>
      <c r="G171" s="644" t="str">
        <f>VLOOKUP(WWWW[[#This Row],[Village  Name]],SiteDB6[[Site Name]:[Location Type]],8,FALSE)</f>
        <v>Village</v>
      </c>
      <c r="H171" s="415" t="s">
        <v>3109</v>
      </c>
      <c r="I171" s="524">
        <v>126</v>
      </c>
      <c r="J171" s="524">
        <v>636</v>
      </c>
      <c r="K171" s="418">
        <v>43678</v>
      </c>
      <c r="L171" s="55">
        <v>44043</v>
      </c>
      <c r="M171" s="524">
        <v>136</v>
      </c>
      <c r="N171" s="524"/>
      <c r="O171" s="524"/>
      <c r="P171" s="524">
        <v>23</v>
      </c>
      <c r="Q171" s="524">
        <v>0</v>
      </c>
      <c r="R171" s="524"/>
      <c r="S171" s="524"/>
      <c r="T171" s="524"/>
      <c r="U171" s="551"/>
      <c r="V171" s="524">
        <v>10</v>
      </c>
      <c r="W171" s="524" t="s">
        <v>126</v>
      </c>
      <c r="X171" s="524">
        <v>0</v>
      </c>
      <c r="Y171" s="524">
        <v>15</v>
      </c>
      <c r="Z171" s="524"/>
      <c r="AA171" s="524"/>
      <c r="AB171" s="524"/>
      <c r="AC171" s="551"/>
      <c r="AD171" s="524"/>
      <c r="AE171" s="524">
        <v>50</v>
      </c>
      <c r="AF171" s="524"/>
      <c r="AG171" s="524"/>
      <c r="AH171" s="524"/>
      <c r="AI171" s="524"/>
      <c r="AJ171" s="524">
        <v>48</v>
      </c>
      <c r="AK171" s="524"/>
      <c r="AL171" s="524"/>
      <c r="AM171" s="524"/>
      <c r="AN171" s="551"/>
      <c r="AO171" s="477"/>
      <c r="AP171" s="477"/>
      <c r="AQ171" s="524"/>
      <c r="AR171" s="524"/>
      <c r="AS171" s="524"/>
      <c r="AT171"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71" s="483">
        <f>WWWW[[#This Row],[%Equitable and continuous access to sufficient quantity of safe drinking water]]*WWWW[[#This Row],[Total PoP ]]</f>
        <v>636</v>
      </c>
      <c r="AV171"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71" s="483">
        <f>WWWW[[#This Row],[% Access to unimproved water points]]*WWWW[[#This Row],[Total PoP ]]</f>
        <v>0</v>
      </c>
      <c r="AX171"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71"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636</v>
      </c>
      <c r="AZ171" s="483">
        <f>WWWW[[#This Row],[HRP1]]/250</f>
        <v>2.544</v>
      </c>
      <c r="BA171" s="476">
        <f>1-WWWW[[#This Row],[% Equitable and continuous access to sufficient quantity of domestic water]]</f>
        <v>0</v>
      </c>
      <c r="BB171" s="483">
        <f>WWWW[[#This Row],[%equitable and continuous access to sufficient quantity of safe drinking and domestic water''s GAP]]*WWWW[[#This Row],[Total PoP ]]</f>
        <v>0</v>
      </c>
      <c r="BC171" s="478">
        <f>IF(WWWW[[#This Row],[Total required water points]]-WWWW[[#This Row],['#Water points coverage]]&lt;0,0,WWWW[[#This Row],[Total required water points]]-WWWW[[#This Row],['#Water points coverage]])</f>
        <v>0.45599999999999996</v>
      </c>
      <c r="BD171" s="478">
        <f>ROUND(IF(WWWW[[#This Row],[Total PoP ]]&lt;250,1,WWWW[[#This Row],[Total PoP ]]/250),0)</f>
        <v>3</v>
      </c>
      <c r="BE17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9.4339622641509441E-2</v>
      </c>
      <c r="BF171" s="483">
        <f>WWWW[[#This Row],[% people access to functioning Latrine]]*WWWW[[#This Row],[Total PoP ]]</f>
        <v>60.000000000000007</v>
      </c>
      <c r="BG171" s="478">
        <f>WWWW[[#This Row],['#_of_Functioning_latrines_in_school]]*50</f>
        <v>0</v>
      </c>
      <c r="BH171" s="478">
        <f>ROUND((WWWW[[#This Row],[Total PoP ]]/6),0)</f>
        <v>106</v>
      </c>
      <c r="BI171" s="478">
        <f>IF(WWWW[[#This Row],[Total required Latrines]]-(WWWW[[#This Row],['#_of_sanitary_fly-proof_HH_latrines]])&lt;0,0,WWWW[[#This Row],[Total required Latrines]]-(WWWW[[#This Row],['#_of_sanitary_fly-proof_HH_latrines]]))</f>
        <v>96</v>
      </c>
      <c r="BJ171" s="479">
        <f>1-WWWW[[#This Row],[% people access to functioning Latrine]]</f>
        <v>0.90566037735849059</v>
      </c>
      <c r="BK171"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50</v>
      </c>
      <c r="BL171" s="483">
        <f>IF(WWWW[[#This Row],['#_of_functional_handwashing_facilities_at_HH_level]]*6&gt;WWWW[[#This Row],[Total PoP ]],WWWW[[#This Row],[Total PoP ]],WWWW[[#This Row],['#_of_functional_handwashing_facilities_at_HH_level]]*6)</f>
        <v>288</v>
      </c>
      <c r="BM171" s="478">
        <f>IF(WWWW[[#This Row],['# people reached by regular dedicated hygiene promotion]]&gt;WWWW[[#This Row],['# People received regular supply of hygiene items]],WWWW[[#This Row],['# people reached by regular dedicated hygiene promotion]],WWWW[[#This Row],['# People received regular supply of hygiene items]])</f>
        <v>50</v>
      </c>
      <c r="BN171" s="476">
        <f>IF(WWWW[[#This Row],[HRP3]]/WWWW[[#This Row],[Total PoP ]]&gt;100%,100%,WWWW[[#This Row],[HRP3]]/WWWW[[#This Row],[Total PoP ]])</f>
        <v>7.8616352201257858E-2</v>
      </c>
      <c r="BO171" s="479">
        <f>1-WWWW[[#This Row],[Hygiene Coverage%]]</f>
        <v>0.92138364779874216</v>
      </c>
      <c r="BP171" s="477">
        <f>WWWW[[#This Row],['# people reached by regular dedicated hygiene promotion]]/WWWW[[#This Row],[Total PoP ]]</f>
        <v>7.8616352201257858E-2</v>
      </c>
      <c r="BQ17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71" s="478">
        <f>WWWW[[#This Row],['#_of_affected_women_and_girls_receiving_a_sufficient_quantity_of_sanitary_pads]]</f>
        <v>0</v>
      </c>
      <c r="BS171" s="524">
        <f>IF(WWWW[[#This Row],['# People with access to soap]]&gt;WWWW[[#This Row],['# People with access to Sanity Pads]],WWWW[[#This Row],['# People with access to soap]],WWWW[[#This Row],['# People with access to Sanity Pads]])</f>
        <v>0</v>
      </c>
      <c r="BT171" s="483" t="str">
        <f>IF(OR(WWWW[[#This Row],['#of students in school]]="",WWWW[[#This Row],['#of students in school]]=0),"No","Yes")</f>
        <v>Yes</v>
      </c>
      <c r="BU171" s="480" t="str">
        <f>VLOOKUP(WWWW[[#This Row],[Village  Name]],SiteDB6[[Site Name]:[Location Type 1]],9,FALSE)</f>
        <v>Village</v>
      </c>
      <c r="BV171" s="480" t="str">
        <f>VLOOKUP(WWWW[[#This Row],[Village  Name]],SiteDB6[[Site Name]:[Type of Accommodation]],10,FALSE)</f>
        <v>Village</v>
      </c>
      <c r="BW171" s="480">
        <f>VLOOKUP(WWWW[[#This Row],[Village  Name]],SiteDB6[[Site Name]:[Ethnic or GCA/NGCA]],11,FALSE)</f>
        <v>0</v>
      </c>
      <c r="BX171" s="480">
        <f>VLOOKUP(WWWW[[#This Row],[Village  Name]],SiteDB6[[Site Name]:[Lat]],12,FALSE)</f>
        <v>0</v>
      </c>
      <c r="BY171" s="480">
        <f>VLOOKUP(WWWW[[#This Row],[Village  Name]],SiteDB6[[Site Name]:[Long]],13,FALSE)</f>
        <v>0</v>
      </c>
      <c r="BZ171" s="480">
        <f>VLOOKUP(WWWW[[#This Row],[Village  Name]],SiteDB6[[Site Name]:[Pcode]],3,FALSE)</f>
        <v>0</v>
      </c>
      <c r="CA171" s="480" t="str">
        <f t="shared" si="8"/>
        <v>Covered</v>
      </c>
      <c r="CB171" s="505"/>
    </row>
    <row r="172" spans="1:80">
      <c r="A172" s="774" t="s">
        <v>3150</v>
      </c>
      <c r="B172" s="774" t="s">
        <v>318</v>
      </c>
      <c r="C172" s="415" t="s">
        <v>318</v>
      </c>
      <c r="D172" s="415" t="s">
        <v>334</v>
      </c>
      <c r="E172" s="415" t="s">
        <v>2648</v>
      </c>
      <c r="F172" s="415" t="s">
        <v>295</v>
      </c>
      <c r="G172" s="644" t="str">
        <f>VLOOKUP(WWWW[[#This Row],[Village  Name]],SiteDB6[[Site Name]:[Location Type]],8,FALSE)</f>
        <v>Village</v>
      </c>
      <c r="H172" s="415" t="s">
        <v>442</v>
      </c>
      <c r="I172" s="524">
        <v>240</v>
      </c>
      <c r="J172" s="524">
        <v>1150</v>
      </c>
      <c r="K172" s="418">
        <v>43678</v>
      </c>
      <c r="L172" s="55">
        <v>44043</v>
      </c>
      <c r="M172" s="524">
        <v>320</v>
      </c>
      <c r="N172" s="524"/>
      <c r="O172" s="524">
        <v>10</v>
      </c>
      <c r="P172" s="524">
        <v>40</v>
      </c>
      <c r="Q172" s="524">
        <v>0</v>
      </c>
      <c r="R172" s="524"/>
      <c r="S172" s="524">
        <v>0</v>
      </c>
      <c r="T172" s="524">
        <v>0</v>
      </c>
      <c r="U172" s="551"/>
      <c r="V172" s="524">
        <v>100</v>
      </c>
      <c r="W172" s="524" t="s">
        <v>126</v>
      </c>
      <c r="X172" s="524">
        <v>6</v>
      </c>
      <c r="Y172" s="524">
        <v>15</v>
      </c>
      <c r="Z172" s="524"/>
      <c r="AA172" s="524"/>
      <c r="AB172" s="524"/>
      <c r="AC172" s="551"/>
      <c r="AD172" s="524"/>
      <c r="AE172" s="524">
        <v>50</v>
      </c>
      <c r="AF172" s="524"/>
      <c r="AG172" s="524"/>
      <c r="AH172" s="524"/>
      <c r="AI172" s="524"/>
      <c r="AJ172" s="524">
        <v>46</v>
      </c>
      <c r="AK172" s="524"/>
      <c r="AL172" s="524"/>
      <c r="AM172" s="524"/>
      <c r="AN172" s="551"/>
      <c r="AO172" s="477"/>
      <c r="AP172" s="477"/>
      <c r="AQ172" s="524"/>
      <c r="AR172" s="524"/>
      <c r="AS172" s="524"/>
      <c r="AT172"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72" s="483">
        <f>WWWW[[#This Row],[%Equitable and continuous access to sufficient quantity of safe drinking water]]*WWWW[[#This Row],[Total PoP ]]</f>
        <v>1150</v>
      </c>
      <c r="AV172"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72" s="483">
        <f>WWWW[[#This Row],[% Access to unimproved water points]]*WWWW[[#This Row],[Total PoP ]]</f>
        <v>0</v>
      </c>
      <c r="AX172"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72"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1150</v>
      </c>
      <c r="AZ172" s="483">
        <f>WWWW[[#This Row],[HRP1]]/250</f>
        <v>4.5999999999999996</v>
      </c>
      <c r="BA172" s="476">
        <f>1-WWWW[[#This Row],[% Equitable and continuous access to sufficient quantity of domestic water]]</f>
        <v>0</v>
      </c>
      <c r="BB172" s="483">
        <f>WWWW[[#This Row],[%equitable and continuous access to sufficient quantity of safe drinking and domestic water''s GAP]]*WWWW[[#This Row],[Total PoP ]]</f>
        <v>0</v>
      </c>
      <c r="BC172" s="478">
        <f>IF(WWWW[[#This Row],[Total required water points]]-WWWW[[#This Row],['#Water points coverage]]&lt;0,0,WWWW[[#This Row],[Total required water points]]-WWWW[[#This Row],['#Water points coverage]])</f>
        <v>0.40000000000000036</v>
      </c>
      <c r="BD172" s="478">
        <f>ROUND(IF(WWWW[[#This Row],[Total PoP ]]&lt;250,1,WWWW[[#This Row],[Total PoP ]]/250),0)</f>
        <v>5</v>
      </c>
      <c r="BE17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0.52173913043478259</v>
      </c>
      <c r="BF172" s="483">
        <f>WWWW[[#This Row],[% people access to functioning Latrine]]*WWWW[[#This Row],[Total PoP ]]</f>
        <v>600</v>
      </c>
      <c r="BG172" s="478">
        <f>WWWW[[#This Row],['#_of_Functioning_latrines_in_school]]*50</f>
        <v>300</v>
      </c>
      <c r="BH172" s="478">
        <f>ROUND((WWWW[[#This Row],[Total PoP ]]/6),0)</f>
        <v>192</v>
      </c>
      <c r="BI172" s="478">
        <f>IF(WWWW[[#This Row],[Total required Latrines]]-(WWWW[[#This Row],['#_of_sanitary_fly-proof_HH_latrines]])&lt;0,0,WWWW[[#This Row],[Total required Latrines]]-(WWWW[[#This Row],['#_of_sanitary_fly-proof_HH_latrines]]))</f>
        <v>92</v>
      </c>
      <c r="BJ172" s="479">
        <f>1-WWWW[[#This Row],[% people access to functioning Latrine]]</f>
        <v>0.47826086956521741</v>
      </c>
      <c r="BK172"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50</v>
      </c>
      <c r="BL172" s="483">
        <f>IF(WWWW[[#This Row],['#_of_functional_handwashing_facilities_at_HH_level]]*6&gt;WWWW[[#This Row],[Total PoP ]],WWWW[[#This Row],[Total PoP ]],WWWW[[#This Row],['#_of_functional_handwashing_facilities_at_HH_level]]*6)</f>
        <v>276</v>
      </c>
      <c r="BM172" s="478">
        <f>IF(WWWW[[#This Row],['# people reached by regular dedicated hygiene promotion]]&gt;WWWW[[#This Row],['# People received regular supply of hygiene items]],WWWW[[#This Row],['# people reached by regular dedicated hygiene promotion]],WWWW[[#This Row],['# People received regular supply of hygiene items]])</f>
        <v>50</v>
      </c>
      <c r="BN172" s="476">
        <f>IF(WWWW[[#This Row],[HRP3]]/WWWW[[#This Row],[Total PoP ]]&gt;100%,100%,WWWW[[#This Row],[HRP3]]/WWWW[[#This Row],[Total PoP ]])</f>
        <v>4.3478260869565216E-2</v>
      </c>
      <c r="BO172" s="479">
        <f>1-WWWW[[#This Row],[Hygiene Coverage%]]</f>
        <v>0.95652173913043481</v>
      </c>
      <c r="BP172" s="477">
        <f>WWWW[[#This Row],['# people reached by regular dedicated hygiene promotion]]/WWWW[[#This Row],[Total PoP ]]</f>
        <v>4.3478260869565216E-2</v>
      </c>
      <c r="BQ17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72" s="478">
        <f>WWWW[[#This Row],['#_of_affected_women_and_girls_receiving_a_sufficient_quantity_of_sanitary_pads]]</f>
        <v>0</v>
      </c>
      <c r="BS172" s="524">
        <f>IF(WWWW[[#This Row],['# People with access to soap]]&gt;WWWW[[#This Row],['# People with access to Sanity Pads]],WWWW[[#This Row],['# People with access to soap]],WWWW[[#This Row],['# People with access to Sanity Pads]])</f>
        <v>0</v>
      </c>
      <c r="BT172" s="483" t="str">
        <f>IF(OR(WWWW[[#This Row],['#of students in school]]="",WWWW[[#This Row],['#of students in school]]=0),"No","Yes")</f>
        <v>Yes</v>
      </c>
      <c r="BU172" s="480" t="str">
        <f>VLOOKUP(WWWW[[#This Row],[Village  Name]],SiteDB6[[Site Name]:[Location Type 1]],9,FALSE)</f>
        <v>Village</v>
      </c>
      <c r="BV172" s="480" t="str">
        <f>VLOOKUP(WWWW[[#This Row],[Village  Name]],SiteDB6[[Site Name]:[Type of Accommodation]],10,FALSE)</f>
        <v>Village</v>
      </c>
      <c r="BW172" s="480" t="str">
        <f>VLOOKUP(WWWW[[#This Row],[Village  Name]],SiteDB6[[Site Name]:[Ethnic or GCA/NGCA]],11,FALSE)</f>
        <v>Muslim</v>
      </c>
      <c r="BX172" s="480">
        <f>VLOOKUP(WWWW[[#This Row],[Village  Name]],SiteDB6[[Site Name]:[Lat]],12,FALSE)</f>
        <v>20.212700000000002</v>
      </c>
      <c r="BY172" s="480">
        <f>VLOOKUP(WWWW[[#This Row],[Village  Name]],SiteDB6[[Site Name]:[Long]],13,FALSE)</f>
        <v>92.820800000000006</v>
      </c>
      <c r="BZ172" s="480">
        <f>VLOOKUP(WWWW[[#This Row],[Village  Name]],SiteDB6[[Site Name]:[Pcode]],3,FALSE)</f>
        <v>196144</v>
      </c>
      <c r="CA172" s="480" t="str">
        <f t="shared" si="8"/>
        <v>Covered</v>
      </c>
      <c r="CB172" s="505"/>
    </row>
    <row r="173" spans="1:80">
      <c r="A173" s="774" t="s">
        <v>3150</v>
      </c>
      <c r="B173" s="774" t="s">
        <v>318</v>
      </c>
      <c r="C173" s="415" t="s">
        <v>318</v>
      </c>
      <c r="D173" s="415" t="s">
        <v>334</v>
      </c>
      <c r="E173" s="415" t="s">
        <v>2648</v>
      </c>
      <c r="F173" s="415" t="s">
        <v>295</v>
      </c>
      <c r="G173" s="644" t="str">
        <f>VLOOKUP(WWWW[[#This Row],[Village  Name]],SiteDB6[[Site Name]:[Location Type]],8,FALSE)</f>
        <v>Village</v>
      </c>
      <c r="H173" s="415" t="s">
        <v>871</v>
      </c>
      <c r="I173" s="524">
        <v>430</v>
      </c>
      <c r="J173" s="524">
        <v>1530</v>
      </c>
      <c r="K173" s="418">
        <v>43678</v>
      </c>
      <c r="L173" s="55">
        <v>44043</v>
      </c>
      <c r="M173" s="524">
        <v>480</v>
      </c>
      <c r="N173" s="524"/>
      <c r="O173" s="524">
        <v>30</v>
      </c>
      <c r="P173" s="524">
        <v>124</v>
      </c>
      <c r="Q173" s="524">
        <v>0</v>
      </c>
      <c r="R173" s="524"/>
      <c r="S173" s="524"/>
      <c r="T173" s="524">
        <v>1</v>
      </c>
      <c r="U173" s="551"/>
      <c r="V173" s="524">
        <v>130</v>
      </c>
      <c r="W173" s="524" t="s">
        <v>126</v>
      </c>
      <c r="X173" s="524">
        <v>6</v>
      </c>
      <c r="Y173" s="524">
        <v>2</v>
      </c>
      <c r="Z173" s="524"/>
      <c r="AA173" s="524"/>
      <c r="AB173" s="524"/>
      <c r="AC173" s="551"/>
      <c r="AD173" s="524"/>
      <c r="AE173" s="524">
        <v>50</v>
      </c>
      <c r="AF173" s="524"/>
      <c r="AG173" s="524"/>
      <c r="AH173" s="524"/>
      <c r="AI173" s="524"/>
      <c r="AJ173" s="524">
        <v>42</v>
      </c>
      <c r="AK173" s="524"/>
      <c r="AL173" s="524"/>
      <c r="AM173" s="524"/>
      <c r="AN173" s="551"/>
      <c r="AO173" s="477"/>
      <c r="AP173" s="477"/>
      <c r="AQ173" s="524"/>
      <c r="AR173" s="524"/>
      <c r="AS173" s="524"/>
      <c r="AT173"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73" s="483">
        <f>WWWW[[#This Row],[%Equitable and continuous access to sufficient quantity of safe drinking water]]*WWWW[[#This Row],[Total PoP ]]</f>
        <v>1530</v>
      </c>
      <c r="AV173"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73" s="483">
        <f>WWWW[[#This Row],[% Access to unimproved water points]]*WWWW[[#This Row],[Total PoP ]]</f>
        <v>0</v>
      </c>
      <c r="AX173"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73"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1530</v>
      </c>
      <c r="AZ173" s="483">
        <f>WWWW[[#This Row],[HRP1]]/250</f>
        <v>6.12</v>
      </c>
      <c r="BA173" s="476">
        <f>1-WWWW[[#This Row],[% Equitable and continuous access to sufficient quantity of domestic water]]</f>
        <v>0</v>
      </c>
      <c r="BB173" s="483">
        <f>WWWW[[#This Row],[%equitable and continuous access to sufficient quantity of safe drinking and domestic water''s GAP]]*WWWW[[#This Row],[Total PoP ]]</f>
        <v>0</v>
      </c>
      <c r="BC173" s="478">
        <f>IF(WWWW[[#This Row],[Total required water points]]-WWWW[[#This Row],['#Water points coverage]]&lt;0,0,WWWW[[#This Row],[Total required water points]]-WWWW[[#This Row],['#Water points coverage]])</f>
        <v>0</v>
      </c>
      <c r="BD173" s="478">
        <f>ROUND(IF(WWWW[[#This Row],[Total PoP ]]&lt;250,1,WWWW[[#This Row],[Total PoP ]]/250),0)</f>
        <v>6</v>
      </c>
      <c r="BE17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0.50980392156862742</v>
      </c>
      <c r="BF173" s="483">
        <f>WWWW[[#This Row],[% people access to functioning Latrine]]*WWWW[[#This Row],[Total PoP ]]</f>
        <v>780</v>
      </c>
      <c r="BG173" s="478">
        <f>WWWW[[#This Row],['#_of_Functioning_latrines_in_school]]*50</f>
        <v>300</v>
      </c>
      <c r="BH173" s="478">
        <f>ROUND((WWWW[[#This Row],[Total PoP ]]/6),0)</f>
        <v>255</v>
      </c>
      <c r="BI173" s="478">
        <f>IF(WWWW[[#This Row],[Total required Latrines]]-(WWWW[[#This Row],['#_of_sanitary_fly-proof_HH_latrines]])&lt;0,0,WWWW[[#This Row],[Total required Latrines]]-(WWWW[[#This Row],['#_of_sanitary_fly-proof_HH_latrines]]))</f>
        <v>125</v>
      </c>
      <c r="BJ173" s="479">
        <f>1-WWWW[[#This Row],[% people access to functioning Latrine]]</f>
        <v>0.49019607843137258</v>
      </c>
      <c r="BK173"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50</v>
      </c>
      <c r="BL173" s="483">
        <f>IF(WWWW[[#This Row],['#_of_functional_handwashing_facilities_at_HH_level]]*6&gt;WWWW[[#This Row],[Total PoP ]],WWWW[[#This Row],[Total PoP ]],WWWW[[#This Row],['#_of_functional_handwashing_facilities_at_HH_level]]*6)</f>
        <v>252</v>
      </c>
      <c r="BM173" s="478">
        <f>IF(WWWW[[#This Row],['# people reached by regular dedicated hygiene promotion]]&gt;WWWW[[#This Row],['# People received regular supply of hygiene items]],WWWW[[#This Row],['# people reached by regular dedicated hygiene promotion]],WWWW[[#This Row],['# People received regular supply of hygiene items]])</f>
        <v>50</v>
      </c>
      <c r="BN173" s="476">
        <f>IF(WWWW[[#This Row],[HRP3]]/WWWW[[#This Row],[Total PoP ]]&gt;100%,100%,WWWW[[#This Row],[HRP3]]/WWWW[[#This Row],[Total PoP ]])</f>
        <v>3.2679738562091505E-2</v>
      </c>
      <c r="BO173" s="479">
        <f>1-WWWW[[#This Row],[Hygiene Coverage%]]</f>
        <v>0.9673202614379085</v>
      </c>
      <c r="BP173" s="477">
        <f>WWWW[[#This Row],['# people reached by regular dedicated hygiene promotion]]/WWWW[[#This Row],[Total PoP ]]</f>
        <v>3.2679738562091505E-2</v>
      </c>
      <c r="BQ17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73" s="478">
        <f>WWWW[[#This Row],['#_of_affected_women_and_girls_receiving_a_sufficient_quantity_of_sanitary_pads]]</f>
        <v>0</v>
      </c>
      <c r="BS173" s="524">
        <f>IF(WWWW[[#This Row],['# People with access to soap]]&gt;WWWW[[#This Row],['# People with access to Sanity Pads]],WWWW[[#This Row],['# People with access to soap]],WWWW[[#This Row],['# People with access to Sanity Pads]])</f>
        <v>0</v>
      </c>
      <c r="BT173" s="483" t="str">
        <f>IF(OR(WWWW[[#This Row],['#of students in school]]="",WWWW[[#This Row],['#of students in school]]=0),"No","Yes")</f>
        <v>Yes</v>
      </c>
      <c r="BU173" s="480" t="str">
        <f>VLOOKUP(WWWW[[#This Row],[Village  Name]],SiteDB6[[Site Name]:[Location Type 1]],9,FALSE)</f>
        <v>Village</v>
      </c>
      <c r="BV173" s="480" t="str">
        <f>VLOOKUP(WWWW[[#This Row],[Village  Name]],SiteDB6[[Site Name]:[Type of Accommodation]],10,FALSE)</f>
        <v>Village</v>
      </c>
      <c r="BW173" s="480" t="str">
        <f>VLOOKUP(WWWW[[#This Row],[Village  Name]],SiteDB6[[Site Name]:[Ethnic or GCA/NGCA]],11,FALSE)</f>
        <v>Muslim</v>
      </c>
      <c r="BX173" s="480">
        <f>VLOOKUP(WWWW[[#This Row],[Village  Name]],SiteDB6[[Site Name]:[Lat]],12,FALSE)</f>
        <v>20.219509120000001</v>
      </c>
      <c r="BY173" s="480">
        <f>VLOOKUP(WWWW[[#This Row],[Village  Name]],SiteDB6[[Site Name]:[Long]],13,FALSE)</f>
        <v>92.811332699999994</v>
      </c>
      <c r="BZ173" s="480">
        <f>VLOOKUP(WWWW[[#This Row],[Village  Name]],SiteDB6[[Site Name]:[Pcode]],3,FALSE)</f>
        <v>196145</v>
      </c>
      <c r="CA173" s="480" t="str">
        <f t="shared" si="8"/>
        <v>Covered</v>
      </c>
      <c r="CB173" s="505"/>
    </row>
    <row r="174" spans="1:80">
      <c r="A174" s="774" t="s">
        <v>3150</v>
      </c>
      <c r="B174" s="774" t="s">
        <v>318</v>
      </c>
      <c r="C174" s="415" t="s">
        <v>318</v>
      </c>
      <c r="D174" s="415" t="s">
        <v>334</v>
      </c>
      <c r="E174" s="415" t="s">
        <v>2648</v>
      </c>
      <c r="F174" s="415" t="s">
        <v>295</v>
      </c>
      <c r="G174" s="644" t="str">
        <f>VLOOKUP(WWWW[[#This Row],[Village  Name]],SiteDB6[[Site Name]:[Location Type]],8,FALSE)</f>
        <v>Village</v>
      </c>
      <c r="H174" s="415" t="s">
        <v>838</v>
      </c>
      <c r="I174" s="524">
        <v>150</v>
      </c>
      <c r="J174" s="524">
        <v>590</v>
      </c>
      <c r="K174" s="418">
        <v>43678</v>
      </c>
      <c r="L174" s="55">
        <v>44043</v>
      </c>
      <c r="M174" s="524">
        <v>112</v>
      </c>
      <c r="N174" s="524"/>
      <c r="O174" s="524">
        <v>4</v>
      </c>
      <c r="P174" s="524">
        <v>20</v>
      </c>
      <c r="Q174" s="524">
        <v>0</v>
      </c>
      <c r="R174" s="524"/>
      <c r="S174" s="524">
        <v>0</v>
      </c>
      <c r="T174" s="524">
        <v>1</v>
      </c>
      <c r="U174" s="551"/>
      <c r="V174" s="524">
        <v>10</v>
      </c>
      <c r="W174" s="524" t="s">
        <v>126</v>
      </c>
      <c r="X174" s="524">
        <v>2</v>
      </c>
      <c r="Y174" s="524">
        <v>0</v>
      </c>
      <c r="Z174" s="524"/>
      <c r="AA174" s="524"/>
      <c r="AB174" s="524"/>
      <c r="AC174" s="551"/>
      <c r="AD174" s="524"/>
      <c r="AE174" s="524">
        <v>50</v>
      </c>
      <c r="AF174" s="524"/>
      <c r="AG174" s="524"/>
      <c r="AH174" s="524"/>
      <c r="AI174" s="524"/>
      <c r="AJ174" s="524">
        <v>43</v>
      </c>
      <c r="AK174" s="524"/>
      <c r="AL174" s="524"/>
      <c r="AM174" s="524"/>
      <c r="AN174" s="551"/>
      <c r="AO174" s="477"/>
      <c r="AP174" s="477"/>
      <c r="AQ174" s="524"/>
      <c r="AR174" s="524"/>
      <c r="AS174" s="524"/>
      <c r="AT174"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74" s="483">
        <f>WWWW[[#This Row],[%Equitable and continuous access to sufficient quantity of safe drinking water]]*WWWW[[#This Row],[Total PoP ]]</f>
        <v>590</v>
      </c>
      <c r="AV174"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74" s="483">
        <f>WWWW[[#This Row],[% Access to unimproved water points]]*WWWW[[#This Row],[Total PoP ]]</f>
        <v>0</v>
      </c>
      <c r="AX174"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74"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590</v>
      </c>
      <c r="AZ174" s="483">
        <f>WWWW[[#This Row],[HRP1]]/250</f>
        <v>2.36</v>
      </c>
      <c r="BA174" s="476">
        <f>1-WWWW[[#This Row],[% Equitable and continuous access to sufficient quantity of domestic water]]</f>
        <v>0</v>
      </c>
      <c r="BB174" s="483">
        <f>WWWW[[#This Row],[%equitable and continuous access to sufficient quantity of safe drinking and domestic water''s GAP]]*WWWW[[#This Row],[Total PoP ]]</f>
        <v>0</v>
      </c>
      <c r="BC174" s="478">
        <f>IF(WWWW[[#This Row],[Total required water points]]-WWWW[[#This Row],['#Water points coverage]]&lt;0,0,WWWW[[#This Row],[Total required water points]]-WWWW[[#This Row],['#Water points coverage]])</f>
        <v>0</v>
      </c>
      <c r="BD174" s="478">
        <f>ROUND(IF(WWWW[[#This Row],[Total PoP ]]&lt;250,1,WWWW[[#This Row],[Total PoP ]]/250),0)</f>
        <v>2</v>
      </c>
      <c r="BE17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0.10169491525423729</v>
      </c>
      <c r="BF174" s="483">
        <f>WWWW[[#This Row],[% people access to functioning Latrine]]*WWWW[[#This Row],[Total PoP ]]</f>
        <v>60.000000000000007</v>
      </c>
      <c r="BG174" s="478">
        <f>WWWW[[#This Row],['#_of_Functioning_latrines_in_school]]*50</f>
        <v>100</v>
      </c>
      <c r="BH174" s="478">
        <f>ROUND((WWWW[[#This Row],[Total PoP ]]/6),0)</f>
        <v>98</v>
      </c>
      <c r="BI174" s="478">
        <f>IF(WWWW[[#This Row],[Total required Latrines]]-(WWWW[[#This Row],['#_of_sanitary_fly-proof_HH_latrines]])&lt;0,0,WWWW[[#This Row],[Total required Latrines]]-(WWWW[[#This Row],['#_of_sanitary_fly-proof_HH_latrines]]))</f>
        <v>88</v>
      </c>
      <c r="BJ174" s="479">
        <f>1-WWWW[[#This Row],[% people access to functioning Latrine]]</f>
        <v>0.89830508474576276</v>
      </c>
      <c r="BK174"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50</v>
      </c>
      <c r="BL174" s="483">
        <f>IF(WWWW[[#This Row],['#_of_functional_handwashing_facilities_at_HH_level]]*6&gt;WWWW[[#This Row],[Total PoP ]],WWWW[[#This Row],[Total PoP ]],WWWW[[#This Row],['#_of_functional_handwashing_facilities_at_HH_level]]*6)</f>
        <v>258</v>
      </c>
      <c r="BM174" s="478">
        <f>IF(WWWW[[#This Row],['# people reached by regular dedicated hygiene promotion]]&gt;WWWW[[#This Row],['# People received regular supply of hygiene items]],WWWW[[#This Row],['# people reached by regular dedicated hygiene promotion]],WWWW[[#This Row],['# People received regular supply of hygiene items]])</f>
        <v>50</v>
      </c>
      <c r="BN174" s="476">
        <f>IF(WWWW[[#This Row],[HRP3]]/WWWW[[#This Row],[Total PoP ]]&gt;100%,100%,WWWW[[#This Row],[HRP3]]/WWWW[[#This Row],[Total PoP ]])</f>
        <v>8.4745762711864403E-2</v>
      </c>
      <c r="BO174" s="479">
        <f>1-WWWW[[#This Row],[Hygiene Coverage%]]</f>
        <v>0.9152542372881356</v>
      </c>
      <c r="BP174" s="477">
        <f>WWWW[[#This Row],['# people reached by regular dedicated hygiene promotion]]/WWWW[[#This Row],[Total PoP ]]</f>
        <v>8.4745762711864403E-2</v>
      </c>
      <c r="BQ17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74" s="478">
        <f>WWWW[[#This Row],['#_of_affected_women_and_girls_receiving_a_sufficient_quantity_of_sanitary_pads]]</f>
        <v>0</v>
      </c>
      <c r="BS174" s="524">
        <f>IF(WWWW[[#This Row],['# People with access to soap]]&gt;WWWW[[#This Row],['# People with access to Sanity Pads]],WWWW[[#This Row],['# People with access to soap]],WWWW[[#This Row],['# People with access to Sanity Pads]])</f>
        <v>0</v>
      </c>
      <c r="BT174" s="483" t="str">
        <f>IF(OR(WWWW[[#This Row],['#of students in school]]="",WWWW[[#This Row],['#of students in school]]=0),"No","Yes")</f>
        <v>Yes</v>
      </c>
      <c r="BU174" s="480" t="str">
        <f>VLOOKUP(WWWW[[#This Row],[Village  Name]],SiteDB6[[Site Name]:[Location Type 1]],9,FALSE)</f>
        <v>Village</v>
      </c>
      <c r="BV174" s="480" t="str">
        <f>VLOOKUP(WWWW[[#This Row],[Village  Name]],SiteDB6[[Site Name]:[Type of Accommodation]],10,FALSE)</f>
        <v>Village</v>
      </c>
      <c r="BW174" s="480" t="str">
        <f>VLOOKUP(WWWW[[#This Row],[Village  Name]],SiteDB6[[Site Name]:[Ethnic or GCA/NGCA]],11,FALSE)</f>
        <v>Rakhine</v>
      </c>
      <c r="BX174" s="480">
        <f>VLOOKUP(WWWW[[#This Row],[Village  Name]],SiteDB6[[Site Name]:[Lat]],12,FALSE)</f>
        <v>20.2199096679688</v>
      </c>
      <c r="BY174" s="480">
        <f>VLOOKUP(WWWW[[#This Row],[Village  Name]],SiteDB6[[Site Name]:[Long]],13,FALSE)</f>
        <v>92.7716064453125</v>
      </c>
      <c r="BZ174" s="480">
        <f>VLOOKUP(WWWW[[#This Row],[Village  Name]],SiteDB6[[Site Name]:[Pcode]],3,FALSE)</f>
        <v>196141</v>
      </c>
      <c r="CA174" s="480" t="str">
        <f t="shared" si="8"/>
        <v>Covered</v>
      </c>
      <c r="CB174" s="505"/>
    </row>
    <row r="175" spans="1:80">
      <c r="A175" s="774" t="s">
        <v>3150</v>
      </c>
      <c r="B175" s="774" t="s">
        <v>318</v>
      </c>
      <c r="C175" s="415" t="s">
        <v>318</v>
      </c>
      <c r="D175" s="415" t="s">
        <v>334</v>
      </c>
      <c r="E175" s="415" t="s">
        <v>2648</v>
      </c>
      <c r="F175" s="415" t="s">
        <v>295</v>
      </c>
      <c r="G175" s="644" t="str">
        <f>VLOOKUP(WWWW[[#This Row],[Village  Name]],SiteDB6[[Site Name]:[Location Type]],8,FALSE)</f>
        <v>Village</v>
      </c>
      <c r="H175" s="415" t="s">
        <v>835</v>
      </c>
      <c r="I175" s="524">
        <v>289</v>
      </c>
      <c r="J175" s="524">
        <v>3400</v>
      </c>
      <c r="K175" s="418">
        <v>43678</v>
      </c>
      <c r="L175" s="55">
        <v>44043</v>
      </c>
      <c r="M175" s="524">
        <v>287</v>
      </c>
      <c r="N175" s="524"/>
      <c r="O175" s="524">
        <v>0</v>
      </c>
      <c r="P175" s="524">
        <v>200</v>
      </c>
      <c r="Q175" s="524">
        <v>0</v>
      </c>
      <c r="R175" s="524"/>
      <c r="S175" s="524">
        <v>0</v>
      </c>
      <c r="T175" s="524">
        <v>0</v>
      </c>
      <c r="U175" s="551"/>
      <c r="V175" s="524">
        <v>50</v>
      </c>
      <c r="W175" s="524" t="s">
        <v>126</v>
      </c>
      <c r="X175" s="524">
        <v>3</v>
      </c>
      <c r="Y175" s="524">
        <v>6</v>
      </c>
      <c r="Z175" s="524"/>
      <c r="AA175" s="524"/>
      <c r="AB175" s="524"/>
      <c r="AC175" s="551"/>
      <c r="AD175" s="524"/>
      <c r="AE175" s="524">
        <v>50</v>
      </c>
      <c r="AF175" s="524"/>
      <c r="AG175" s="524"/>
      <c r="AH175" s="524"/>
      <c r="AI175" s="524"/>
      <c r="AJ175" s="524">
        <v>44</v>
      </c>
      <c r="AK175" s="524"/>
      <c r="AL175" s="524"/>
      <c r="AM175" s="524"/>
      <c r="AN175" s="551"/>
      <c r="AO175" s="477"/>
      <c r="AP175" s="477"/>
      <c r="AQ175" s="524"/>
      <c r="AR175" s="524"/>
      <c r="AS175" s="524"/>
      <c r="AT175"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75" s="483">
        <f>WWWW[[#This Row],[%Equitable and continuous access to sufficient quantity of safe drinking water]]*WWWW[[#This Row],[Total PoP ]]</f>
        <v>3400</v>
      </c>
      <c r="AV175"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75" s="483">
        <f>WWWW[[#This Row],[% Access to unimproved water points]]*WWWW[[#This Row],[Total PoP ]]</f>
        <v>0</v>
      </c>
      <c r="AX175"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75"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3400</v>
      </c>
      <c r="AZ175" s="483">
        <f>WWWW[[#This Row],[HRP1]]/250</f>
        <v>13.6</v>
      </c>
      <c r="BA175" s="476">
        <f>1-WWWW[[#This Row],[% Equitable and continuous access to sufficient quantity of domestic water]]</f>
        <v>0</v>
      </c>
      <c r="BB175" s="483">
        <f>WWWW[[#This Row],[%equitable and continuous access to sufficient quantity of safe drinking and domestic water''s GAP]]*WWWW[[#This Row],[Total PoP ]]</f>
        <v>0</v>
      </c>
      <c r="BC175" s="478">
        <f>IF(WWWW[[#This Row],[Total required water points]]-WWWW[[#This Row],['#Water points coverage]]&lt;0,0,WWWW[[#This Row],[Total required water points]]-WWWW[[#This Row],['#Water points coverage]])</f>
        <v>0.40000000000000036</v>
      </c>
      <c r="BD175" s="478">
        <f>ROUND(IF(WWWW[[#This Row],[Total PoP ]]&lt;250,1,WWWW[[#This Row],[Total PoP ]]/250),0)</f>
        <v>14</v>
      </c>
      <c r="BE17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8.8235294117647065E-2</v>
      </c>
      <c r="BF175" s="483">
        <f>WWWW[[#This Row],[% people access to functioning Latrine]]*WWWW[[#This Row],[Total PoP ]]</f>
        <v>300</v>
      </c>
      <c r="BG175" s="478">
        <f>WWWW[[#This Row],['#_of_Functioning_latrines_in_school]]*50</f>
        <v>150</v>
      </c>
      <c r="BH175" s="478">
        <f>ROUND((WWWW[[#This Row],[Total PoP ]]/6),0)</f>
        <v>567</v>
      </c>
      <c r="BI175" s="478">
        <f>IF(WWWW[[#This Row],[Total required Latrines]]-(WWWW[[#This Row],['#_of_sanitary_fly-proof_HH_latrines]])&lt;0,0,WWWW[[#This Row],[Total required Latrines]]-(WWWW[[#This Row],['#_of_sanitary_fly-proof_HH_latrines]]))</f>
        <v>517</v>
      </c>
      <c r="BJ175" s="479">
        <f>1-WWWW[[#This Row],[% people access to functioning Latrine]]</f>
        <v>0.91176470588235292</v>
      </c>
      <c r="BK175"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50</v>
      </c>
      <c r="BL175" s="483">
        <f>IF(WWWW[[#This Row],['#_of_functional_handwashing_facilities_at_HH_level]]*6&gt;WWWW[[#This Row],[Total PoP ]],WWWW[[#This Row],[Total PoP ]],WWWW[[#This Row],['#_of_functional_handwashing_facilities_at_HH_level]]*6)</f>
        <v>264</v>
      </c>
      <c r="BM175" s="478">
        <f>IF(WWWW[[#This Row],['# people reached by regular dedicated hygiene promotion]]&gt;WWWW[[#This Row],['# People received regular supply of hygiene items]],WWWW[[#This Row],['# people reached by regular dedicated hygiene promotion]],WWWW[[#This Row],['# People received regular supply of hygiene items]])</f>
        <v>50</v>
      </c>
      <c r="BN175" s="476">
        <f>IF(WWWW[[#This Row],[HRP3]]/WWWW[[#This Row],[Total PoP ]]&gt;100%,100%,WWWW[[#This Row],[HRP3]]/WWWW[[#This Row],[Total PoP ]])</f>
        <v>1.4705882352941176E-2</v>
      </c>
      <c r="BO175" s="479">
        <f>1-WWWW[[#This Row],[Hygiene Coverage%]]</f>
        <v>0.98529411764705888</v>
      </c>
      <c r="BP175" s="477">
        <f>WWWW[[#This Row],['# people reached by regular dedicated hygiene promotion]]/WWWW[[#This Row],[Total PoP ]]</f>
        <v>1.4705882352941176E-2</v>
      </c>
      <c r="BQ17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75" s="478">
        <f>WWWW[[#This Row],['#_of_affected_women_and_girls_receiving_a_sufficient_quantity_of_sanitary_pads]]</f>
        <v>0</v>
      </c>
      <c r="BS175" s="524">
        <f>IF(WWWW[[#This Row],['# People with access to soap]]&gt;WWWW[[#This Row],['# People with access to Sanity Pads]],WWWW[[#This Row],['# People with access to soap]],WWWW[[#This Row],['# People with access to Sanity Pads]])</f>
        <v>0</v>
      </c>
      <c r="BT175" s="483" t="str">
        <f>IF(OR(WWWW[[#This Row],['#of students in school]]="",WWWW[[#This Row],['#of students in school]]=0),"No","Yes")</f>
        <v>Yes</v>
      </c>
      <c r="BU175" s="480" t="str">
        <f>VLOOKUP(WWWW[[#This Row],[Village  Name]],SiteDB6[[Site Name]:[Location Type 1]],9,FALSE)</f>
        <v>Village</v>
      </c>
      <c r="BV175" s="480" t="str">
        <f>VLOOKUP(WWWW[[#This Row],[Village  Name]],SiteDB6[[Site Name]:[Type of Accommodation]],10,FALSE)</f>
        <v>Village</v>
      </c>
      <c r="BW175" s="480" t="str">
        <f>VLOOKUP(WWWW[[#This Row],[Village  Name]],SiteDB6[[Site Name]:[Ethnic or GCA/NGCA]],11,FALSE)</f>
        <v>Muslim</v>
      </c>
      <c r="BX175" s="480">
        <f>VLOOKUP(WWWW[[#This Row],[Village  Name]],SiteDB6[[Site Name]:[Lat]],12,FALSE)</f>
        <v>20.208799362182599</v>
      </c>
      <c r="BY175" s="480">
        <f>VLOOKUP(WWWW[[#This Row],[Village  Name]],SiteDB6[[Site Name]:[Long]],13,FALSE)</f>
        <v>92.794113159179702</v>
      </c>
      <c r="BZ175" s="480">
        <f>VLOOKUP(WWWW[[#This Row],[Village  Name]],SiteDB6[[Site Name]:[Pcode]],3,FALSE)</f>
        <v>196142</v>
      </c>
      <c r="CA175" s="480" t="str">
        <f t="shared" si="8"/>
        <v>Covered</v>
      </c>
      <c r="CB175" s="505"/>
    </row>
    <row r="176" spans="1:80">
      <c r="A176" s="774" t="s">
        <v>3150</v>
      </c>
      <c r="B176" s="774" t="s">
        <v>287</v>
      </c>
      <c r="C176" s="415" t="s">
        <v>287</v>
      </c>
      <c r="D176" s="415" t="s">
        <v>327</v>
      </c>
      <c r="E176" s="415" t="s">
        <v>2648</v>
      </c>
      <c r="F176" s="415" t="s">
        <v>402</v>
      </c>
      <c r="G176" s="644" t="str">
        <f>VLOOKUP(WWWW[[#This Row],[Village  Name]],SiteDB6[[Site Name]:[Location Type]],8,FALSE)</f>
        <v>Village</v>
      </c>
      <c r="H176" s="415" t="s">
        <v>3159</v>
      </c>
      <c r="I176" s="524">
        <v>106</v>
      </c>
      <c r="J176" s="524">
        <v>469</v>
      </c>
      <c r="K176" s="418">
        <v>43359</v>
      </c>
      <c r="L176" s="55">
        <v>44196</v>
      </c>
      <c r="M176" s="524">
        <v>189</v>
      </c>
      <c r="N176" s="524"/>
      <c r="O176" s="524"/>
      <c r="P176" s="524"/>
      <c r="Q176" s="524">
        <v>0</v>
      </c>
      <c r="R176" s="524"/>
      <c r="S176" s="524">
        <v>469</v>
      </c>
      <c r="T176" s="524">
        <v>1</v>
      </c>
      <c r="U176" s="551"/>
      <c r="V176" s="524">
        <v>30</v>
      </c>
      <c r="W176" s="524" t="s">
        <v>40</v>
      </c>
      <c r="X176" s="524">
        <v>14</v>
      </c>
      <c r="Y176" s="524">
        <v>9</v>
      </c>
      <c r="Z176" s="524"/>
      <c r="AA176" s="524"/>
      <c r="AB176" s="524"/>
      <c r="AC176" s="551"/>
      <c r="AD176" s="524"/>
      <c r="AE176" s="524"/>
      <c r="AF176" s="524"/>
      <c r="AG176" s="524"/>
      <c r="AH176" s="524"/>
      <c r="AI176" s="524"/>
      <c r="AJ176" s="524"/>
      <c r="AK176" s="524"/>
      <c r="AL176" s="524"/>
      <c r="AM176" s="524"/>
      <c r="AN176" s="551"/>
      <c r="AO176" s="477"/>
      <c r="AP176" s="477"/>
      <c r="AQ176" s="524"/>
      <c r="AR176" s="524"/>
      <c r="AS176" s="524"/>
      <c r="AT176"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0.53304904051172708</v>
      </c>
      <c r="AU176" s="483">
        <f>WWWW[[#This Row],[%Equitable and continuous access to sufficient quantity of safe drinking water]]*WWWW[[#This Row],[Total PoP ]]</f>
        <v>250</v>
      </c>
      <c r="AV176"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76" s="483">
        <f>WWWW[[#This Row],[% Access to unimproved water points]]*WWWW[[#This Row],[Total PoP ]]</f>
        <v>469</v>
      </c>
      <c r="AX176"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76"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469</v>
      </c>
      <c r="AZ176" s="483">
        <f>WWWW[[#This Row],[HRP1]]/250</f>
        <v>1.8759999999999999</v>
      </c>
      <c r="BA176" s="476">
        <f>1-WWWW[[#This Row],[% Equitable and continuous access to sufficient quantity of domestic water]]</f>
        <v>0</v>
      </c>
      <c r="BB176" s="483">
        <f>WWWW[[#This Row],[%equitable and continuous access to sufficient quantity of safe drinking and domestic water''s GAP]]*WWWW[[#This Row],[Total PoP ]]</f>
        <v>0</v>
      </c>
      <c r="BC176" s="478">
        <f>IF(WWWW[[#This Row],[Total required water points]]-WWWW[[#This Row],['#Water points coverage]]&lt;0,0,WWWW[[#This Row],[Total required water points]]-WWWW[[#This Row],['#Water points coverage]])</f>
        <v>0.12400000000000011</v>
      </c>
      <c r="BD176" s="478">
        <f>ROUND(IF(WWWW[[#This Row],[Total PoP ]]&lt;250,1,WWWW[[#This Row],[Total PoP ]]/250),0)</f>
        <v>2</v>
      </c>
      <c r="BE17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0.38379530916844351</v>
      </c>
      <c r="BF176" s="483">
        <f>WWWW[[#This Row],[% people access to functioning Latrine]]*WWWW[[#This Row],[Total PoP ]]</f>
        <v>180</v>
      </c>
      <c r="BG176" s="478">
        <f>WWWW[[#This Row],['#_of_Functioning_latrines_in_school]]*50</f>
        <v>700</v>
      </c>
      <c r="BH176" s="478">
        <f>ROUND((WWWW[[#This Row],[Total PoP ]]/6),0)</f>
        <v>78</v>
      </c>
      <c r="BI176" s="478">
        <f>IF(WWWW[[#This Row],[Total required Latrines]]-(WWWW[[#This Row],['#_of_sanitary_fly-proof_HH_latrines]])&lt;0,0,WWWW[[#This Row],[Total required Latrines]]-(WWWW[[#This Row],['#_of_sanitary_fly-proof_HH_latrines]]))</f>
        <v>48</v>
      </c>
      <c r="BJ176" s="479">
        <f>1-WWWW[[#This Row],[% people access to functioning Latrine]]</f>
        <v>0.61620469083155649</v>
      </c>
      <c r="BK176"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76" s="483">
        <f>IF(WWWW[[#This Row],['#_of_functional_handwashing_facilities_at_HH_level]]*6&gt;WWWW[[#This Row],[Total PoP ]],WWWW[[#This Row],[Total PoP ]],WWWW[[#This Row],['#_of_functional_handwashing_facilities_at_HH_level]]*6)</f>
        <v>0</v>
      </c>
      <c r="BM176" s="478">
        <f>IF(WWWW[[#This Row],['# people reached by regular dedicated hygiene promotion]]&gt;WWWW[[#This Row],['# People received regular supply of hygiene items]],WWWW[[#This Row],['# people reached by regular dedicated hygiene promotion]],WWWW[[#This Row],['# People received regular supply of hygiene items]])</f>
        <v>0</v>
      </c>
      <c r="BN176" s="476">
        <f>IF(WWWW[[#This Row],[HRP3]]/WWWW[[#This Row],[Total PoP ]]&gt;100%,100%,WWWW[[#This Row],[HRP3]]/WWWW[[#This Row],[Total PoP ]])</f>
        <v>0</v>
      </c>
      <c r="BO176" s="479">
        <f>1-WWWW[[#This Row],[Hygiene Coverage%]]</f>
        <v>1</v>
      </c>
      <c r="BP176" s="477">
        <f>WWWW[[#This Row],['# people reached by regular dedicated hygiene promotion]]/WWWW[[#This Row],[Total PoP ]]</f>
        <v>0</v>
      </c>
      <c r="BQ17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76" s="478">
        <f>WWWW[[#This Row],['#_of_affected_women_and_girls_receiving_a_sufficient_quantity_of_sanitary_pads]]</f>
        <v>0</v>
      </c>
      <c r="BS176" s="524">
        <f>IF(WWWW[[#This Row],['# People with access to soap]]&gt;WWWW[[#This Row],['# People with access to Sanity Pads]],WWWW[[#This Row],['# People with access to soap]],WWWW[[#This Row],['# People with access to Sanity Pads]])</f>
        <v>0</v>
      </c>
      <c r="BT176" s="483" t="str">
        <f>IF(OR(WWWW[[#This Row],['#of students in school]]="",WWWW[[#This Row],['#of students in school]]=0),"No","Yes")</f>
        <v>Yes</v>
      </c>
      <c r="BU176" s="480" t="str">
        <f>VLOOKUP(WWWW[[#This Row],[Village  Name]],SiteDB6[[Site Name]:[Location Type 1]],9,FALSE)</f>
        <v>Village</v>
      </c>
      <c r="BV176" s="480" t="str">
        <f>VLOOKUP(WWWW[[#This Row],[Village  Name]],SiteDB6[[Site Name]:[Type of Accommodation]],10,FALSE)</f>
        <v>Village</v>
      </c>
      <c r="BW176" s="480">
        <f>VLOOKUP(WWWW[[#This Row],[Village  Name]],SiteDB6[[Site Name]:[Ethnic or GCA/NGCA]],11,FALSE)</f>
        <v>0</v>
      </c>
      <c r="BX176" s="480">
        <f>VLOOKUP(WWWW[[#This Row],[Village  Name]],SiteDB6[[Site Name]:[Lat]],12,FALSE)</f>
        <v>92.994781494140597</v>
      </c>
      <c r="BY176" s="480">
        <f>VLOOKUP(WWWW[[#This Row],[Village  Name]],SiteDB6[[Site Name]:[Long]],13,FALSE)</f>
        <v>19.9693508148193</v>
      </c>
      <c r="BZ176" s="480">
        <f>VLOOKUP(WWWW[[#This Row],[Village  Name]],SiteDB6[[Site Name]:[Pcode]],3,FALSE)</f>
        <v>197541</v>
      </c>
      <c r="CA176" s="480" t="str">
        <f t="shared" ref="CA176:CA180" si="9">IF(C176="none","Notcovered","Covered")</f>
        <v>Covered</v>
      </c>
      <c r="CB176" s="505"/>
    </row>
    <row r="177" spans="1:80">
      <c r="A177" s="774" t="s">
        <v>3150</v>
      </c>
      <c r="B177" s="774" t="s">
        <v>287</v>
      </c>
      <c r="C177" s="415" t="s">
        <v>287</v>
      </c>
      <c r="D177" s="415" t="s">
        <v>327</v>
      </c>
      <c r="E177" s="415" t="s">
        <v>2648</v>
      </c>
      <c r="F177" s="415" t="s">
        <v>402</v>
      </c>
      <c r="G177" s="644" t="str">
        <f>VLOOKUP(WWWW[[#This Row],[Village  Name]],SiteDB6[[Site Name]:[Location Type]],8,FALSE)</f>
        <v>Village</v>
      </c>
      <c r="H177" s="415" t="s">
        <v>3160</v>
      </c>
      <c r="I177" s="524">
        <v>37</v>
      </c>
      <c r="J177" s="524">
        <v>207</v>
      </c>
      <c r="K177" s="418">
        <v>43359</v>
      </c>
      <c r="L177" s="55">
        <v>44196</v>
      </c>
      <c r="M177" s="524">
        <v>33</v>
      </c>
      <c r="N177" s="524"/>
      <c r="O177" s="524"/>
      <c r="P177" s="524"/>
      <c r="Q177" s="524">
        <v>1</v>
      </c>
      <c r="R177" s="524"/>
      <c r="S177" s="524">
        <v>207</v>
      </c>
      <c r="T177" s="524">
        <v>0</v>
      </c>
      <c r="U177" s="551"/>
      <c r="V177" s="524">
        <v>0</v>
      </c>
      <c r="W177" s="524" t="s">
        <v>40</v>
      </c>
      <c r="X177" s="524">
        <v>2</v>
      </c>
      <c r="Y177" s="524">
        <v>3</v>
      </c>
      <c r="Z177" s="524"/>
      <c r="AA177" s="524"/>
      <c r="AB177" s="524"/>
      <c r="AC177" s="551"/>
      <c r="AD177" s="524"/>
      <c r="AE177" s="524"/>
      <c r="AF177" s="524"/>
      <c r="AG177" s="524"/>
      <c r="AH177" s="524"/>
      <c r="AI177" s="524"/>
      <c r="AJ177" s="524"/>
      <c r="AK177" s="524"/>
      <c r="AL177" s="524"/>
      <c r="AM177" s="524"/>
      <c r="AN177" s="551"/>
      <c r="AO177" s="477"/>
      <c r="AP177" s="477"/>
      <c r="AQ177" s="524"/>
      <c r="AR177" s="524"/>
      <c r="AS177" s="524"/>
      <c r="AT177"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77" s="483">
        <f>WWWW[[#This Row],[%Equitable and continuous access to sufficient quantity of safe drinking water]]*WWWW[[#This Row],[Total PoP ]]</f>
        <v>0</v>
      </c>
      <c r="AV177"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77" s="483">
        <f>WWWW[[#This Row],[% Access to unimproved water points]]*WWWW[[#This Row],[Total PoP ]]</f>
        <v>207</v>
      </c>
      <c r="AX177"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77"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207</v>
      </c>
      <c r="AZ177" s="483">
        <f>WWWW[[#This Row],[HRP1]]/250</f>
        <v>0.82799999999999996</v>
      </c>
      <c r="BA177" s="476">
        <f>1-WWWW[[#This Row],[% Equitable and continuous access to sufficient quantity of domestic water]]</f>
        <v>0</v>
      </c>
      <c r="BB177" s="483">
        <f>WWWW[[#This Row],[%equitable and continuous access to sufficient quantity of safe drinking and domestic water''s GAP]]*WWWW[[#This Row],[Total PoP ]]</f>
        <v>0</v>
      </c>
      <c r="BC177" s="478">
        <f>IF(WWWW[[#This Row],[Total required water points]]-WWWW[[#This Row],['#Water points coverage]]&lt;0,0,WWWW[[#This Row],[Total required water points]]-WWWW[[#This Row],['#Water points coverage]])</f>
        <v>0.17200000000000004</v>
      </c>
      <c r="BD177" s="478">
        <f>ROUND(IF(WWWW[[#This Row],[Total PoP ]]&lt;250,1,WWWW[[#This Row],[Total PoP ]]/250),0)</f>
        <v>1</v>
      </c>
      <c r="BE17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77" s="483">
        <f>WWWW[[#This Row],[% people access to functioning Latrine]]*WWWW[[#This Row],[Total PoP ]]</f>
        <v>0</v>
      </c>
      <c r="BG177" s="478">
        <f>WWWW[[#This Row],['#_of_Functioning_latrines_in_school]]*50</f>
        <v>100</v>
      </c>
      <c r="BH177" s="478">
        <f>ROUND((WWWW[[#This Row],[Total PoP ]]/6),0)</f>
        <v>35</v>
      </c>
      <c r="BI177" s="478">
        <f>IF(WWWW[[#This Row],[Total required Latrines]]-(WWWW[[#This Row],['#_of_sanitary_fly-proof_HH_latrines]])&lt;0,0,WWWW[[#This Row],[Total required Latrines]]-(WWWW[[#This Row],['#_of_sanitary_fly-proof_HH_latrines]]))</f>
        <v>35</v>
      </c>
      <c r="BJ177" s="479">
        <f>1-WWWW[[#This Row],[% people access to functioning Latrine]]</f>
        <v>1</v>
      </c>
      <c r="BK177"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77" s="483">
        <f>IF(WWWW[[#This Row],['#_of_functional_handwashing_facilities_at_HH_level]]*6&gt;WWWW[[#This Row],[Total PoP ]],WWWW[[#This Row],[Total PoP ]],WWWW[[#This Row],['#_of_functional_handwashing_facilities_at_HH_level]]*6)</f>
        <v>0</v>
      </c>
      <c r="BM177" s="478">
        <f>IF(WWWW[[#This Row],['# people reached by regular dedicated hygiene promotion]]&gt;WWWW[[#This Row],['# People received regular supply of hygiene items]],WWWW[[#This Row],['# people reached by regular dedicated hygiene promotion]],WWWW[[#This Row],['# People received regular supply of hygiene items]])</f>
        <v>0</v>
      </c>
      <c r="BN177" s="476">
        <f>IF(WWWW[[#This Row],[HRP3]]/WWWW[[#This Row],[Total PoP ]]&gt;100%,100%,WWWW[[#This Row],[HRP3]]/WWWW[[#This Row],[Total PoP ]])</f>
        <v>0</v>
      </c>
      <c r="BO177" s="479">
        <f>1-WWWW[[#This Row],[Hygiene Coverage%]]</f>
        <v>1</v>
      </c>
      <c r="BP177" s="477">
        <f>WWWW[[#This Row],['# people reached by regular dedicated hygiene promotion]]/WWWW[[#This Row],[Total PoP ]]</f>
        <v>0</v>
      </c>
      <c r="BQ17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77" s="478">
        <f>WWWW[[#This Row],['#_of_affected_women_and_girls_receiving_a_sufficient_quantity_of_sanitary_pads]]</f>
        <v>0</v>
      </c>
      <c r="BS177" s="524">
        <f>IF(WWWW[[#This Row],['# People with access to soap]]&gt;WWWW[[#This Row],['# People with access to Sanity Pads]],WWWW[[#This Row],['# People with access to soap]],WWWW[[#This Row],['# People with access to Sanity Pads]])</f>
        <v>0</v>
      </c>
      <c r="BT177" s="483" t="str">
        <f>IF(OR(WWWW[[#This Row],['#of students in school]]="",WWWW[[#This Row],['#of students in school]]=0),"No","Yes")</f>
        <v>Yes</v>
      </c>
      <c r="BU177" s="480" t="str">
        <f>VLOOKUP(WWWW[[#This Row],[Village  Name]],SiteDB6[[Site Name]:[Location Type 1]],9,FALSE)</f>
        <v>Village</v>
      </c>
      <c r="BV177" s="480" t="str">
        <f>VLOOKUP(WWWW[[#This Row],[Village  Name]],SiteDB6[[Site Name]:[Type of Accommodation]],10,FALSE)</f>
        <v>Village</v>
      </c>
      <c r="BW177" s="480">
        <f>VLOOKUP(WWWW[[#This Row],[Village  Name]],SiteDB6[[Site Name]:[Ethnic or GCA/NGCA]],11,FALSE)</f>
        <v>0</v>
      </c>
      <c r="BX177" s="480">
        <f>VLOOKUP(WWWW[[#This Row],[Village  Name]],SiteDB6[[Site Name]:[Lat]],12,FALSE)</f>
        <v>93.005447387695298</v>
      </c>
      <c r="BY177" s="480">
        <f>VLOOKUP(WWWW[[#This Row],[Village  Name]],SiteDB6[[Site Name]:[Long]],13,FALSE)</f>
        <v>19.914190292358398</v>
      </c>
      <c r="BZ177" s="480">
        <f>VLOOKUP(WWWW[[#This Row],[Village  Name]],SiteDB6[[Site Name]:[Pcode]],3,FALSE)</f>
        <v>197567</v>
      </c>
      <c r="CA177" s="480" t="str">
        <f t="shared" si="9"/>
        <v>Covered</v>
      </c>
      <c r="CB177" s="505"/>
    </row>
    <row r="178" spans="1:80">
      <c r="A178" s="774" t="s">
        <v>3150</v>
      </c>
      <c r="B178" s="774" t="s">
        <v>287</v>
      </c>
      <c r="C178" s="415" t="s">
        <v>287</v>
      </c>
      <c r="D178" s="415" t="s">
        <v>327</v>
      </c>
      <c r="E178" s="415" t="s">
        <v>2648</v>
      </c>
      <c r="F178" s="415" t="s">
        <v>402</v>
      </c>
      <c r="G178" s="644" t="str">
        <f>VLOOKUP(WWWW[[#This Row],[Village  Name]],SiteDB6[[Site Name]:[Location Type]],8,FALSE)</f>
        <v>Village</v>
      </c>
      <c r="H178" s="415" t="s">
        <v>521</v>
      </c>
      <c r="I178" s="524">
        <v>486</v>
      </c>
      <c r="J178" s="524">
        <v>2042</v>
      </c>
      <c r="K178" s="418">
        <v>43359</v>
      </c>
      <c r="L178" s="55">
        <v>44196</v>
      </c>
      <c r="M178" s="524">
        <v>531</v>
      </c>
      <c r="N178" s="524"/>
      <c r="O178" s="524"/>
      <c r="P178" s="524"/>
      <c r="Q178" s="524">
        <v>5</v>
      </c>
      <c r="R178" s="524"/>
      <c r="S178" s="524">
        <v>2042</v>
      </c>
      <c r="T178" s="524">
        <v>1</v>
      </c>
      <c r="U178" s="551"/>
      <c r="V178" s="524">
        <v>30</v>
      </c>
      <c r="W178" s="524" t="s">
        <v>40</v>
      </c>
      <c r="X178" s="524">
        <v>10</v>
      </c>
      <c r="Y178" s="524">
        <v>21</v>
      </c>
      <c r="Z178" s="524"/>
      <c r="AA178" s="524"/>
      <c r="AB178" s="524"/>
      <c r="AC178" s="551"/>
      <c r="AD178" s="524"/>
      <c r="AE178" s="524"/>
      <c r="AF178" s="524"/>
      <c r="AG178" s="524"/>
      <c r="AH178" s="524"/>
      <c r="AI178" s="524"/>
      <c r="AJ178" s="524"/>
      <c r="AK178" s="524"/>
      <c r="AL178" s="524"/>
      <c r="AM178" s="524"/>
      <c r="AN178" s="551"/>
      <c r="AO178" s="477"/>
      <c r="AP178" s="477"/>
      <c r="AQ178" s="524"/>
      <c r="AR178" s="524"/>
      <c r="AS178" s="524"/>
      <c r="AT178"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0.12242899118511263</v>
      </c>
      <c r="AU178" s="483">
        <f>WWWW[[#This Row],[%Equitable and continuous access to sufficient quantity of safe drinking water]]*WWWW[[#This Row],[Total PoP ]]</f>
        <v>250</v>
      </c>
      <c r="AV178"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78" s="483">
        <f>WWWW[[#This Row],[% Access to unimproved water points]]*WWWW[[#This Row],[Total PoP ]]</f>
        <v>2042</v>
      </c>
      <c r="AX178"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78"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2042</v>
      </c>
      <c r="AZ178" s="483">
        <f>WWWW[[#This Row],[HRP1]]/250</f>
        <v>8.1679999999999993</v>
      </c>
      <c r="BA178" s="476">
        <f>1-WWWW[[#This Row],[% Equitable and continuous access to sufficient quantity of domestic water]]</f>
        <v>0</v>
      </c>
      <c r="BB178" s="483">
        <f>WWWW[[#This Row],[%equitable and continuous access to sufficient quantity of safe drinking and domestic water''s GAP]]*WWWW[[#This Row],[Total PoP ]]</f>
        <v>0</v>
      </c>
      <c r="BC178" s="478">
        <f>IF(WWWW[[#This Row],[Total required water points]]-WWWW[[#This Row],['#Water points coverage]]&lt;0,0,WWWW[[#This Row],[Total required water points]]-WWWW[[#This Row],['#Water points coverage]])</f>
        <v>0</v>
      </c>
      <c r="BD178" s="478">
        <f>ROUND(IF(WWWW[[#This Row],[Total PoP ]]&lt;250,1,WWWW[[#This Row],[Total PoP ]]/250),0)</f>
        <v>8</v>
      </c>
      <c r="BE17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8.8148873653281098E-2</v>
      </c>
      <c r="BF178" s="483">
        <f>WWWW[[#This Row],[% people access to functioning Latrine]]*WWWW[[#This Row],[Total PoP ]]</f>
        <v>180</v>
      </c>
      <c r="BG178" s="478">
        <f>WWWW[[#This Row],['#_of_Functioning_latrines_in_school]]*50</f>
        <v>500</v>
      </c>
      <c r="BH178" s="478">
        <f>ROUND((WWWW[[#This Row],[Total PoP ]]/6),0)</f>
        <v>340</v>
      </c>
      <c r="BI178" s="478">
        <f>IF(WWWW[[#This Row],[Total required Latrines]]-(WWWW[[#This Row],['#_of_sanitary_fly-proof_HH_latrines]])&lt;0,0,WWWW[[#This Row],[Total required Latrines]]-(WWWW[[#This Row],['#_of_sanitary_fly-proof_HH_latrines]]))</f>
        <v>310</v>
      </c>
      <c r="BJ178" s="479">
        <f>1-WWWW[[#This Row],[% people access to functioning Latrine]]</f>
        <v>0.91185112634671894</v>
      </c>
      <c r="BK178"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78" s="483">
        <f>IF(WWWW[[#This Row],['#_of_functional_handwashing_facilities_at_HH_level]]*6&gt;WWWW[[#This Row],[Total PoP ]],WWWW[[#This Row],[Total PoP ]],WWWW[[#This Row],['#_of_functional_handwashing_facilities_at_HH_level]]*6)</f>
        <v>0</v>
      </c>
      <c r="BM178" s="478">
        <f>IF(WWWW[[#This Row],['# people reached by regular dedicated hygiene promotion]]&gt;WWWW[[#This Row],['# People received regular supply of hygiene items]],WWWW[[#This Row],['# people reached by regular dedicated hygiene promotion]],WWWW[[#This Row],['# People received regular supply of hygiene items]])</f>
        <v>0</v>
      </c>
      <c r="BN178" s="476">
        <f>IF(WWWW[[#This Row],[HRP3]]/WWWW[[#This Row],[Total PoP ]]&gt;100%,100%,WWWW[[#This Row],[HRP3]]/WWWW[[#This Row],[Total PoP ]])</f>
        <v>0</v>
      </c>
      <c r="BO178" s="479">
        <f>1-WWWW[[#This Row],[Hygiene Coverage%]]</f>
        <v>1</v>
      </c>
      <c r="BP178" s="477">
        <f>WWWW[[#This Row],['# people reached by regular dedicated hygiene promotion]]/WWWW[[#This Row],[Total PoP ]]</f>
        <v>0</v>
      </c>
      <c r="BQ17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78" s="478">
        <f>WWWW[[#This Row],['#_of_affected_women_and_girls_receiving_a_sufficient_quantity_of_sanitary_pads]]</f>
        <v>0</v>
      </c>
      <c r="BS178" s="524">
        <f>IF(WWWW[[#This Row],['# People with access to soap]]&gt;WWWW[[#This Row],['# People with access to Sanity Pads]],WWWW[[#This Row],['# People with access to soap]],WWWW[[#This Row],['# People with access to Sanity Pads]])</f>
        <v>0</v>
      </c>
      <c r="BT178" s="483" t="str">
        <f>IF(OR(WWWW[[#This Row],['#of students in school]]="",WWWW[[#This Row],['#of students in school]]=0),"No","Yes")</f>
        <v>Yes</v>
      </c>
      <c r="BU178" s="480" t="str">
        <f>VLOOKUP(WWWW[[#This Row],[Village  Name]],SiteDB6[[Site Name]:[Location Type 1]],9,FALSE)</f>
        <v>Village</v>
      </c>
      <c r="BV178" s="480" t="str">
        <f>VLOOKUP(WWWW[[#This Row],[Village  Name]],SiteDB6[[Site Name]:[Type of Accommodation]],10,FALSE)</f>
        <v>Village</v>
      </c>
      <c r="BW178" s="480"/>
      <c r="BX178" s="480">
        <v>20.0305500030518</v>
      </c>
      <c r="BY178" s="480">
        <v>92.966842651367202</v>
      </c>
      <c r="BZ178" s="480">
        <v>197538</v>
      </c>
      <c r="CA178" s="480" t="str">
        <f t="shared" si="9"/>
        <v>Covered</v>
      </c>
      <c r="CB178" s="505"/>
    </row>
    <row r="179" spans="1:80">
      <c r="A179" s="774" t="s">
        <v>3150</v>
      </c>
      <c r="B179" s="774" t="s">
        <v>287</v>
      </c>
      <c r="C179" s="415" t="s">
        <v>287</v>
      </c>
      <c r="D179" s="415" t="s">
        <v>327</v>
      </c>
      <c r="E179" s="415" t="s">
        <v>2648</v>
      </c>
      <c r="F179" s="415" t="s">
        <v>402</v>
      </c>
      <c r="G179" s="644" t="str">
        <f>VLOOKUP(WWWW[[#This Row],[Village  Name]],SiteDB6[[Site Name]:[Location Type]],8,FALSE)</f>
        <v>Village</v>
      </c>
      <c r="H179" s="415" t="s">
        <v>3165</v>
      </c>
      <c r="I179" s="524">
        <v>340</v>
      </c>
      <c r="J179" s="524">
        <v>1408</v>
      </c>
      <c r="K179" s="418">
        <v>43359</v>
      </c>
      <c r="L179" s="55">
        <v>44196</v>
      </c>
      <c r="M179" s="524">
        <v>223</v>
      </c>
      <c r="N179" s="524"/>
      <c r="O179" s="524"/>
      <c r="P179" s="524"/>
      <c r="Q179" s="524">
        <v>0</v>
      </c>
      <c r="R179" s="524"/>
      <c r="S179" s="524">
        <v>1408</v>
      </c>
      <c r="T179" s="524">
        <v>0</v>
      </c>
      <c r="U179" s="551"/>
      <c r="V179" s="524">
        <v>30</v>
      </c>
      <c r="W179" s="524" t="s">
        <v>126</v>
      </c>
      <c r="X179" s="524">
        <v>1</v>
      </c>
      <c r="Y179" s="524">
        <v>8</v>
      </c>
      <c r="Z179" s="524"/>
      <c r="AA179" s="524"/>
      <c r="AB179" s="524"/>
      <c r="AC179" s="551"/>
      <c r="AD179" s="524"/>
      <c r="AE179" s="524"/>
      <c r="AF179" s="524"/>
      <c r="AG179" s="524"/>
      <c r="AH179" s="524"/>
      <c r="AI179" s="524"/>
      <c r="AJ179" s="524"/>
      <c r="AK179" s="524"/>
      <c r="AL179" s="524"/>
      <c r="AM179" s="524"/>
      <c r="AN179" s="551"/>
      <c r="AO179" s="477"/>
      <c r="AP179" s="477"/>
      <c r="AQ179" s="524"/>
      <c r="AR179" s="524"/>
      <c r="AS179" s="524"/>
      <c r="AT179"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79" s="483">
        <f>WWWW[[#This Row],[%Equitable and continuous access to sufficient quantity of safe drinking water]]*WWWW[[#This Row],[Total PoP ]]</f>
        <v>0</v>
      </c>
      <c r="AV179"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79" s="483">
        <f>WWWW[[#This Row],[% Access to unimproved water points]]*WWWW[[#This Row],[Total PoP ]]</f>
        <v>1408</v>
      </c>
      <c r="AX179"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79"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1408</v>
      </c>
      <c r="AZ179" s="483">
        <f>WWWW[[#This Row],[HRP1]]/250</f>
        <v>5.6319999999999997</v>
      </c>
      <c r="BA179" s="476">
        <f>1-WWWW[[#This Row],[% Equitable and continuous access to sufficient quantity of domestic water]]</f>
        <v>0</v>
      </c>
      <c r="BB179" s="483">
        <f>WWWW[[#This Row],[%equitable and continuous access to sufficient quantity of safe drinking and domestic water''s GAP]]*WWWW[[#This Row],[Total PoP ]]</f>
        <v>0</v>
      </c>
      <c r="BC179" s="478">
        <f>IF(WWWW[[#This Row],[Total required water points]]-WWWW[[#This Row],['#Water points coverage]]&lt;0,0,WWWW[[#This Row],[Total required water points]]-WWWW[[#This Row],['#Water points coverage]])</f>
        <v>0.36800000000000033</v>
      </c>
      <c r="BD179" s="478">
        <f>ROUND(IF(WWWW[[#This Row],[Total PoP ]]&lt;250,1,WWWW[[#This Row],[Total PoP ]]/250),0)</f>
        <v>6</v>
      </c>
      <c r="BE17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0.12784090909090909</v>
      </c>
      <c r="BF179" s="483">
        <f>WWWW[[#This Row],[% people access to functioning Latrine]]*WWWW[[#This Row],[Total PoP ]]</f>
        <v>180</v>
      </c>
      <c r="BG179" s="478">
        <f>WWWW[[#This Row],['#_of_Functioning_latrines_in_school]]*50</f>
        <v>50</v>
      </c>
      <c r="BH179" s="478">
        <f>ROUND((WWWW[[#This Row],[Total PoP ]]/6),0)</f>
        <v>235</v>
      </c>
      <c r="BI179" s="478">
        <f>IF(WWWW[[#This Row],[Total required Latrines]]-(WWWW[[#This Row],['#_of_sanitary_fly-proof_HH_latrines]])&lt;0,0,WWWW[[#This Row],[Total required Latrines]]-(WWWW[[#This Row],['#_of_sanitary_fly-proof_HH_latrines]]))</f>
        <v>205</v>
      </c>
      <c r="BJ179" s="479">
        <f>1-WWWW[[#This Row],[% people access to functioning Latrine]]</f>
        <v>0.87215909090909094</v>
      </c>
      <c r="BK179"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79" s="483">
        <f>IF(WWWW[[#This Row],['#_of_functional_handwashing_facilities_at_HH_level]]*6&gt;WWWW[[#This Row],[Total PoP ]],WWWW[[#This Row],[Total PoP ]],WWWW[[#This Row],['#_of_functional_handwashing_facilities_at_HH_level]]*6)</f>
        <v>0</v>
      </c>
      <c r="BM179" s="478">
        <f>IF(WWWW[[#This Row],['# people reached by regular dedicated hygiene promotion]]&gt;WWWW[[#This Row],['# People received regular supply of hygiene items]],WWWW[[#This Row],['# people reached by regular dedicated hygiene promotion]],WWWW[[#This Row],['# People received regular supply of hygiene items]])</f>
        <v>0</v>
      </c>
      <c r="BN179" s="476">
        <f>IF(WWWW[[#This Row],[HRP3]]/WWWW[[#This Row],[Total PoP ]]&gt;100%,100%,WWWW[[#This Row],[HRP3]]/WWWW[[#This Row],[Total PoP ]])</f>
        <v>0</v>
      </c>
      <c r="BO179" s="479">
        <f>1-WWWW[[#This Row],[Hygiene Coverage%]]</f>
        <v>1</v>
      </c>
      <c r="BP179" s="477">
        <f>WWWW[[#This Row],['# people reached by regular dedicated hygiene promotion]]/WWWW[[#This Row],[Total PoP ]]</f>
        <v>0</v>
      </c>
      <c r="BQ17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79" s="478">
        <f>WWWW[[#This Row],['#_of_affected_women_and_girls_receiving_a_sufficient_quantity_of_sanitary_pads]]</f>
        <v>0</v>
      </c>
      <c r="BS179" s="524">
        <f>IF(WWWW[[#This Row],['# People with access to soap]]&gt;WWWW[[#This Row],['# People with access to Sanity Pads]],WWWW[[#This Row],['# People with access to soap]],WWWW[[#This Row],['# People with access to Sanity Pads]])</f>
        <v>0</v>
      </c>
      <c r="BT179" s="483" t="str">
        <f>IF(OR(WWWW[[#This Row],['#of students in school]]="",WWWW[[#This Row],['#of students in school]]=0),"No","Yes")</f>
        <v>Yes</v>
      </c>
      <c r="BU179" s="480" t="str">
        <f>VLOOKUP(WWWW[[#This Row],[Village  Name]],SiteDB6[[Site Name]:[Location Type 1]],9,FALSE)</f>
        <v>Village</v>
      </c>
      <c r="BV179" s="480" t="str">
        <f>VLOOKUP(WWWW[[#This Row],[Village  Name]],SiteDB6[[Site Name]:[Type of Accommodation]],10,FALSE)</f>
        <v>Village</v>
      </c>
      <c r="BW179" s="480">
        <f>VLOOKUP(WWWW[[#This Row],[Village  Name]],SiteDB6[[Site Name]:[Ethnic or GCA/NGCA]],11,FALSE)</f>
        <v>0</v>
      </c>
      <c r="BX179" s="480">
        <f>VLOOKUP(WWWW[[#This Row],[Village  Name]],SiteDB6[[Site Name]:[Lat]],12,FALSE)</f>
        <v>92.925521850585895</v>
      </c>
      <c r="BY179" s="480">
        <f>VLOOKUP(WWWW[[#This Row],[Village  Name]],SiteDB6[[Site Name]:[Long]],13,FALSE)</f>
        <v>20.091190338134801</v>
      </c>
      <c r="BZ179" s="480">
        <f>VLOOKUP(WWWW[[#This Row],[Village  Name]],SiteDB6[[Site Name]:[Pcode]],3,FALSE)</f>
        <v>217989</v>
      </c>
      <c r="CA179" s="480" t="str">
        <f t="shared" si="9"/>
        <v>Covered</v>
      </c>
      <c r="CB179" s="505"/>
    </row>
    <row r="180" spans="1:80">
      <c r="A180" s="774" t="s">
        <v>3150</v>
      </c>
      <c r="B180" s="774" t="s">
        <v>287</v>
      </c>
      <c r="C180" s="415" t="s">
        <v>287</v>
      </c>
      <c r="D180" s="415" t="s">
        <v>327</v>
      </c>
      <c r="E180" s="415" t="s">
        <v>2648</v>
      </c>
      <c r="F180" s="415" t="s">
        <v>402</v>
      </c>
      <c r="G180" s="644" t="str">
        <f>VLOOKUP(WWWW[[#This Row],[Village  Name]],SiteDB6[[Site Name]:[Location Type]],8,FALSE)</f>
        <v>Village</v>
      </c>
      <c r="H180" s="415" t="s">
        <v>825</v>
      </c>
      <c r="I180" s="524">
        <v>72</v>
      </c>
      <c r="J180" s="524">
        <v>308</v>
      </c>
      <c r="K180" s="418">
        <v>43359</v>
      </c>
      <c r="L180" s="55">
        <v>44196</v>
      </c>
      <c r="M180" s="524">
        <v>65</v>
      </c>
      <c r="N180" s="524"/>
      <c r="O180" s="524"/>
      <c r="P180" s="524"/>
      <c r="Q180" s="524">
        <v>1</v>
      </c>
      <c r="R180" s="524"/>
      <c r="S180" s="524">
        <v>308</v>
      </c>
      <c r="T180" s="524">
        <v>0</v>
      </c>
      <c r="U180" s="551"/>
      <c r="V180" s="524">
        <v>3</v>
      </c>
      <c r="W180" s="524" t="s">
        <v>126</v>
      </c>
      <c r="X180" s="524">
        <v>0</v>
      </c>
      <c r="Y180" s="524">
        <v>3</v>
      </c>
      <c r="Z180" s="524"/>
      <c r="AA180" s="524"/>
      <c r="AB180" s="524"/>
      <c r="AC180" s="551"/>
      <c r="AD180" s="524"/>
      <c r="AE180" s="524"/>
      <c r="AF180" s="524"/>
      <c r="AG180" s="524"/>
      <c r="AH180" s="524"/>
      <c r="AI180" s="524"/>
      <c r="AJ180" s="524"/>
      <c r="AK180" s="524"/>
      <c r="AL180" s="524"/>
      <c r="AM180" s="524"/>
      <c r="AN180" s="551"/>
      <c r="AO180" s="477"/>
      <c r="AP180" s="477"/>
      <c r="AQ180" s="524"/>
      <c r="AR180" s="524"/>
      <c r="AS180" s="524"/>
      <c r="AT180" s="479">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80" s="483">
        <f>WWWW[[#This Row],[%Equitable and continuous access to sufficient quantity of safe drinking water]]*WWWW[[#This Row],[Total PoP ]]</f>
        <v>0</v>
      </c>
      <c r="AV180" s="479">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180" s="483">
        <f>WWWW[[#This Row],[% Access to unimproved water points]]*WWWW[[#This Row],[Total PoP ]]</f>
        <v>308</v>
      </c>
      <c r="AX180" s="4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80" s="48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308</v>
      </c>
      <c r="AZ180" s="483">
        <f>WWWW[[#This Row],[HRP1]]/250</f>
        <v>1.232</v>
      </c>
      <c r="BA180" s="476">
        <f>1-WWWW[[#This Row],[% Equitable and continuous access to sufficient quantity of domestic water]]</f>
        <v>0</v>
      </c>
      <c r="BB180" s="483">
        <f>WWWW[[#This Row],[%equitable and continuous access to sufficient quantity of safe drinking and domestic water''s GAP]]*WWWW[[#This Row],[Total PoP ]]</f>
        <v>0</v>
      </c>
      <c r="BC180" s="478">
        <f>IF(WWWW[[#This Row],[Total required water points]]-WWWW[[#This Row],['#Water points coverage]]&lt;0,0,WWWW[[#This Row],[Total required water points]]-WWWW[[#This Row],['#Water points coverage]])</f>
        <v>0</v>
      </c>
      <c r="BD180" s="478">
        <f>ROUND(IF(WWWW[[#This Row],[Total PoP ]]&lt;250,1,WWWW[[#This Row],[Total PoP ]]/250),0)</f>
        <v>1</v>
      </c>
      <c r="BE18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5.844155844155844E-2</v>
      </c>
      <c r="BF180" s="483">
        <f>WWWW[[#This Row],[% people access to functioning Latrine]]*WWWW[[#This Row],[Total PoP ]]</f>
        <v>18</v>
      </c>
      <c r="BG180" s="478">
        <f>WWWW[[#This Row],['#_of_Functioning_latrines_in_school]]*50</f>
        <v>0</v>
      </c>
      <c r="BH180" s="478">
        <f>ROUND((WWWW[[#This Row],[Total PoP ]]/6),0)</f>
        <v>51</v>
      </c>
      <c r="BI180" s="478">
        <f>IF(WWWW[[#This Row],[Total required Latrines]]-(WWWW[[#This Row],['#_of_sanitary_fly-proof_HH_latrines]])&lt;0,0,WWWW[[#This Row],[Total required Latrines]]-(WWWW[[#This Row],['#_of_sanitary_fly-proof_HH_latrines]]))</f>
        <v>48</v>
      </c>
      <c r="BJ180" s="479">
        <f>1-WWWW[[#This Row],[% people access to functioning Latrine]]</f>
        <v>0.94155844155844159</v>
      </c>
      <c r="BK180" s="483">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80" s="483">
        <f>IF(WWWW[[#This Row],['#_of_functional_handwashing_facilities_at_HH_level]]*6&gt;WWWW[[#This Row],[Total PoP ]],WWWW[[#This Row],[Total PoP ]],WWWW[[#This Row],['#_of_functional_handwashing_facilities_at_HH_level]]*6)</f>
        <v>0</v>
      </c>
      <c r="BM180" s="478">
        <f>IF(WWWW[[#This Row],['# people reached by regular dedicated hygiene promotion]]&gt;WWWW[[#This Row],['# People received regular supply of hygiene items]],WWWW[[#This Row],['# people reached by regular dedicated hygiene promotion]],WWWW[[#This Row],['# People received regular supply of hygiene items]])</f>
        <v>0</v>
      </c>
      <c r="BN180" s="476">
        <f>IF(WWWW[[#This Row],[HRP3]]/WWWW[[#This Row],[Total PoP ]]&gt;100%,100%,WWWW[[#This Row],[HRP3]]/WWWW[[#This Row],[Total PoP ]])</f>
        <v>0</v>
      </c>
      <c r="BO180" s="479">
        <f>1-WWWW[[#This Row],[Hygiene Coverage%]]</f>
        <v>1</v>
      </c>
      <c r="BP180" s="477">
        <f>WWWW[[#This Row],['# people reached by regular dedicated hygiene promotion]]/WWWW[[#This Row],[Total PoP ]]</f>
        <v>0</v>
      </c>
      <c r="BQ18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80" s="478">
        <f>WWWW[[#This Row],['#_of_affected_women_and_girls_receiving_a_sufficient_quantity_of_sanitary_pads]]</f>
        <v>0</v>
      </c>
      <c r="BS180" s="524">
        <f>IF(WWWW[[#This Row],['# People with access to soap]]&gt;WWWW[[#This Row],['# People with access to Sanity Pads]],WWWW[[#This Row],['# People with access to soap]],WWWW[[#This Row],['# People with access to Sanity Pads]])</f>
        <v>0</v>
      </c>
      <c r="BT180" s="483" t="str">
        <f>IF(OR(WWWW[[#This Row],['#of students in school]]="",WWWW[[#This Row],['#of students in school]]=0),"No","Yes")</f>
        <v>Yes</v>
      </c>
      <c r="BU180" s="480" t="str">
        <f>VLOOKUP(WWWW[[#This Row],[Village  Name]],SiteDB6[[Site Name]:[Location Type 1]],9,FALSE)</f>
        <v>Village</v>
      </c>
      <c r="BV180" s="480" t="str">
        <f>VLOOKUP(WWWW[[#This Row],[Village  Name]],SiteDB6[[Site Name]:[Type of Accommodation]],10,FALSE)</f>
        <v>Village</v>
      </c>
      <c r="BW180" s="480">
        <f>VLOOKUP(WWWW[[#This Row],[Village  Name]],SiteDB6[[Site Name]:[Ethnic or GCA/NGCA]],11,FALSE)</f>
        <v>0</v>
      </c>
      <c r="BX180" s="480">
        <f>VLOOKUP(WWWW[[#This Row],[Village  Name]],SiteDB6[[Site Name]:[Lat]],12,FALSE)</f>
        <v>20.06903076</v>
      </c>
      <c r="BY180" s="480">
        <f>VLOOKUP(WWWW[[#This Row],[Village  Name]],SiteDB6[[Site Name]:[Long]],13,FALSE)</f>
        <v>92.930137630000004</v>
      </c>
      <c r="BZ180" s="480">
        <f>VLOOKUP(WWWW[[#This Row],[Village  Name]],SiteDB6[[Site Name]:[Pcode]],3,FALSE)</f>
        <v>197562</v>
      </c>
      <c r="CA180" s="480" t="str">
        <f t="shared" si="9"/>
        <v>Covered</v>
      </c>
      <c r="CB180" s="505"/>
    </row>
    <row r="181" spans="1:80">
      <c r="A181" s="774" t="s">
        <v>3150</v>
      </c>
      <c r="B181" s="703" t="s">
        <v>2812</v>
      </c>
      <c r="C181" s="703" t="s">
        <v>2812</v>
      </c>
      <c r="D181" s="704" t="s">
        <v>3176</v>
      </c>
      <c r="E181" s="704" t="s">
        <v>36</v>
      </c>
      <c r="F181" s="704" t="s">
        <v>132</v>
      </c>
      <c r="G181" s="705" t="str">
        <f>VLOOKUP(WWWW[[#This Row],[Village  Name]],SiteDB6[[Site Name]:[Location Type]],8,FALSE)</f>
        <v>Village</v>
      </c>
      <c r="H181" s="704" t="s">
        <v>3177</v>
      </c>
      <c r="I181" s="706">
        <v>43</v>
      </c>
      <c r="J181" s="706">
        <v>185</v>
      </c>
      <c r="K181" s="707">
        <v>43081</v>
      </c>
      <c r="L181" s="708">
        <v>44104</v>
      </c>
      <c r="M181" s="706"/>
      <c r="N181" s="706"/>
      <c r="O181" s="524">
        <v>1</v>
      </c>
      <c r="P181" s="706"/>
      <c r="Q181" s="706"/>
      <c r="R181" s="706"/>
      <c r="S181" s="706"/>
      <c r="T181" s="706"/>
      <c r="U181" s="709"/>
      <c r="V181" s="706">
        <v>33</v>
      </c>
      <c r="W181" s="706"/>
      <c r="X181" s="706">
        <v>2</v>
      </c>
      <c r="Y181" s="706"/>
      <c r="Z181" s="706"/>
      <c r="AA181" s="706"/>
      <c r="AB181" s="706"/>
      <c r="AC181" s="709"/>
      <c r="AD181" s="706">
        <v>11</v>
      </c>
      <c r="AE181" s="706">
        <v>18</v>
      </c>
      <c r="AF181" s="706"/>
      <c r="AG181" s="706"/>
      <c r="AH181" s="706"/>
      <c r="AI181" s="706"/>
      <c r="AJ181" s="524"/>
      <c r="AK181" s="706"/>
      <c r="AL181" s="524"/>
      <c r="AM181" s="524"/>
      <c r="AN181" s="709"/>
      <c r="AO181" s="477"/>
      <c r="AP181" s="477"/>
      <c r="AQ181" s="524"/>
      <c r="AR181" s="524"/>
      <c r="AS181" s="524"/>
      <c r="AT181"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81" s="711">
        <f>WWWW[[#This Row],[%Equitable and continuous access to sufficient quantity of safe drinking water]]*WWWW[[#This Row],[Total PoP ]]</f>
        <v>185</v>
      </c>
      <c r="AV181"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81" s="711">
        <f>WWWW[[#This Row],[% Access to unimproved water points]]*WWWW[[#This Row],[Total PoP ]]</f>
        <v>0</v>
      </c>
      <c r="AX181"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81"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185</v>
      </c>
      <c r="AZ181" s="711">
        <f>WWWW[[#This Row],[HRP1]]/250</f>
        <v>0.74</v>
      </c>
      <c r="BA181" s="713">
        <f>1-WWWW[[#This Row],[% Equitable and continuous access to sufficient quantity of domestic water]]</f>
        <v>0</v>
      </c>
      <c r="BB181" s="711">
        <f>WWWW[[#This Row],[%equitable and continuous access to sufficient quantity of safe drinking and domestic water''s GAP]]*WWWW[[#This Row],[Total PoP ]]</f>
        <v>0</v>
      </c>
      <c r="BC181" s="714">
        <f>IF(WWWW[[#This Row],[Total required water points]]-WWWW[[#This Row],['#Water points coverage]]&lt;0,0,WWWW[[#This Row],[Total required water points]]-WWWW[[#This Row],['#Water points coverage]])</f>
        <v>0.26</v>
      </c>
      <c r="BD181" s="714">
        <f>ROUND(IF(WWWW[[#This Row],[Total PoP ]]&lt;250,1,WWWW[[#This Row],[Total PoP ]]/250),0)</f>
        <v>1</v>
      </c>
      <c r="BE18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81" s="711">
        <f>WWWW[[#This Row],[% people access to functioning Latrine]]*WWWW[[#This Row],[Total PoP ]]</f>
        <v>185</v>
      </c>
      <c r="BG181" s="714">
        <f>WWWW[[#This Row],['#_of_Functioning_latrines_in_school]]*50</f>
        <v>100</v>
      </c>
      <c r="BH181" s="714">
        <f>ROUND((WWWW[[#This Row],[Total PoP ]]/6),0)</f>
        <v>31</v>
      </c>
      <c r="BI181" s="714">
        <f>IF(WWWW[[#This Row],[Total required Latrines]]-(WWWW[[#This Row],['#_of_sanitary_fly-proof_HH_latrines]])&lt;0,0,WWWW[[#This Row],[Total required Latrines]]-(WWWW[[#This Row],['#_of_sanitary_fly-proof_HH_latrines]]))</f>
        <v>0</v>
      </c>
      <c r="BJ181" s="710">
        <f>1-WWWW[[#This Row],[% people access to functioning Latrine]]</f>
        <v>0</v>
      </c>
      <c r="BK181"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29</v>
      </c>
      <c r="BL181" s="483">
        <f>IF(WWWW[[#This Row],['#_of_functional_handwashing_facilities_at_HH_level]]*6&gt;WWWW[[#This Row],[Total PoP ]],WWWW[[#This Row],[Total PoP ]],WWWW[[#This Row],['#_of_functional_handwashing_facilities_at_HH_level]]*6)</f>
        <v>0</v>
      </c>
      <c r="BM181" s="714">
        <f>IF(WWWW[[#This Row],['# people reached by regular dedicated hygiene promotion]]&gt;WWWW[[#This Row],['# People received regular supply of hygiene items]],WWWW[[#This Row],['# people reached by regular dedicated hygiene promotion]],WWWW[[#This Row],['# People received regular supply of hygiene items]])</f>
        <v>29</v>
      </c>
      <c r="BN181" s="713">
        <f>IF(WWWW[[#This Row],[HRP3]]/WWWW[[#This Row],[Total PoP ]]&gt;100%,100%,WWWW[[#This Row],[HRP3]]/WWWW[[#This Row],[Total PoP ]])</f>
        <v>0.15675675675675677</v>
      </c>
      <c r="BO181" s="710">
        <f>1-WWWW[[#This Row],[Hygiene Coverage%]]</f>
        <v>0.84324324324324329</v>
      </c>
      <c r="BP181" s="712">
        <f>WWWW[[#This Row],['# people reached by regular dedicated hygiene promotion]]/WWWW[[#This Row],[Total PoP ]]</f>
        <v>0.15675675675675677</v>
      </c>
      <c r="BQ18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81" s="478">
        <f>WWWW[[#This Row],['#_of_affected_women_and_girls_receiving_a_sufficient_quantity_of_sanitary_pads]]</f>
        <v>0</v>
      </c>
      <c r="BS181" s="524">
        <f>IF(WWWW[[#This Row],['# People with access to soap]]&gt;WWWW[[#This Row],['# People with access to Sanity Pads]],WWWW[[#This Row],['# People with access to soap]],WWWW[[#This Row],['# People with access to Sanity Pads]])</f>
        <v>0</v>
      </c>
      <c r="BT181" s="483" t="str">
        <f>IF(OR(WWWW[[#This Row],['#of students in school]]="",WWWW[[#This Row],['#of students in school]]=0),"No","Yes")</f>
        <v>No</v>
      </c>
      <c r="BU181" s="705" t="str">
        <f>VLOOKUP(WWWW[[#This Row],[Village  Name]],SiteDB6[[Site Name]:[Location Type 1]],9,FALSE)</f>
        <v>Village</v>
      </c>
      <c r="BV181" s="705" t="str">
        <f>VLOOKUP(WWWW[[#This Row],[Village  Name]],SiteDB6[[Site Name]:[Type of Accommodation]],10,FALSE)</f>
        <v>Village</v>
      </c>
      <c r="BW181" s="705">
        <f>VLOOKUP(WWWW[[#This Row],[Village  Name]],SiteDB6[[Site Name]:[Ethnic or GCA/NGCA]],11,FALSE)</f>
        <v>0</v>
      </c>
      <c r="BX181" s="705">
        <f>VLOOKUP(WWWW[[#This Row],[Village  Name]],SiteDB6[[Site Name]:[Lat]],12,FALSE)</f>
        <v>0</v>
      </c>
      <c r="BY181" s="705">
        <f>VLOOKUP(WWWW[[#This Row],[Village  Name]],SiteDB6[[Site Name]:[Long]],13,FALSE)</f>
        <v>0</v>
      </c>
      <c r="BZ181" s="705">
        <f>VLOOKUP(WWWW[[#This Row],[Village  Name]],SiteDB6[[Site Name]:[Pcode]],3,FALSE)</f>
        <v>0</v>
      </c>
      <c r="CA181" s="705" t="str">
        <f t="shared" ref="CA181:CA201" si="10">IF(C181="none","Notcovered","Covered")</f>
        <v>Covered</v>
      </c>
      <c r="CB181" s="715"/>
    </row>
    <row r="182" spans="1:80">
      <c r="A182" s="774" t="s">
        <v>3150</v>
      </c>
      <c r="B182" s="703" t="s">
        <v>2812</v>
      </c>
      <c r="C182" s="703" t="s">
        <v>2812</v>
      </c>
      <c r="D182" s="704" t="s">
        <v>3176</v>
      </c>
      <c r="E182" s="704" t="s">
        <v>36</v>
      </c>
      <c r="F182" s="704" t="s">
        <v>132</v>
      </c>
      <c r="G182" s="705" t="str">
        <f>VLOOKUP(WWWW[[#This Row],[Village  Name]],SiteDB6[[Site Name]:[Location Type]],8,FALSE)</f>
        <v>Village</v>
      </c>
      <c r="H182" s="704" t="s">
        <v>3178</v>
      </c>
      <c r="I182" s="706">
        <v>33</v>
      </c>
      <c r="J182" s="706">
        <v>174</v>
      </c>
      <c r="K182" s="707">
        <v>43081</v>
      </c>
      <c r="L182" s="708">
        <v>44104</v>
      </c>
      <c r="M182" s="706"/>
      <c r="N182" s="706"/>
      <c r="O182" s="524">
        <v>1</v>
      </c>
      <c r="P182" s="706"/>
      <c r="Q182" s="706"/>
      <c r="R182" s="706"/>
      <c r="S182" s="706"/>
      <c r="T182" s="706"/>
      <c r="U182" s="709"/>
      <c r="V182" s="706">
        <v>26</v>
      </c>
      <c r="W182" s="706"/>
      <c r="X182" s="706"/>
      <c r="Y182" s="706"/>
      <c r="Z182" s="706"/>
      <c r="AA182" s="706"/>
      <c r="AB182" s="706"/>
      <c r="AC182" s="709"/>
      <c r="AD182" s="706">
        <v>5</v>
      </c>
      <c r="AE182" s="706">
        <v>20</v>
      </c>
      <c r="AF182" s="706"/>
      <c r="AG182" s="706"/>
      <c r="AH182" s="706"/>
      <c r="AI182" s="706"/>
      <c r="AJ182" s="524"/>
      <c r="AK182" s="706"/>
      <c r="AL182" s="524"/>
      <c r="AM182" s="524"/>
      <c r="AN182" s="709"/>
      <c r="AO182" s="477"/>
      <c r="AP182" s="477"/>
      <c r="AQ182" s="524"/>
      <c r="AR182" s="524"/>
      <c r="AS182" s="524"/>
      <c r="AT182"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82" s="711">
        <f>WWWW[[#This Row],[%Equitable and continuous access to sufficient quantity of safe drinking water]]*WWWW[[#This Row],[Total PoP ]]</f>
        <v>174</v>
      </c>
      <c r="AV182"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82" s="711">
        <f>WWWW[[#This Row],[% Access to unimproved water points]]*WWWW[[#This Row],[Total PoP ]]</f>
        <v>0</v>
      </c>
      <c r="AX182"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82"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174</v>
      </c>
      <c r="AZ182" s="711">
        <f>WWWW[[#This Row],[HRP1]]/250</f>
        <v>0.69599999999999995</v>
      </c>
      <c r="BA182" s="713">
        <f>1-WWWW[[#This Row],[% Equitable and continuous access to sufficient quantity of domestic water]]</f>
        <v>0</v>
      </c>
      <c r="BB182" s="711">
        <f>WWWW[[#This Row],[%equitable and continuous access to sufficient quantity of safe drinking and domestic water''s GAP]]*WWWW[[#This Row],[Total PoP ]]</f>
        <v>0</v>
      </c>
      <c r="BC182" s="714">
        <f>IF(WWWW[[#This Row],[Total required water points]]-WWWW[[#This Row],['#Water points coverage]]&lt;0,0,WWWW[[#This Row],[Total required water points]]-WWWW[[#This Row],['#Water points coverage]])</f>
        <v>0.30400000000000005</v>
      </c>
      <c r="BD182" s="714">
        <f>ROUND(IF(WWWW[[#This Row],[Total PoP ]]&lt;250,1,WWWW[[#This Row],[Total PoP ]]/250),0)</f>
        <v>1</v>
      </c>
      <c r="BE18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0.89655172413793105</v>
      </c>
      <c r="BF182" s="711">
        <f>WWWW[[#This Row],[% people access to functioning Latrine]]*WWWW[[#This Row],[Total PoP ]]</f>
        <v>156</v>
      </c>
      <c r="BG182" s="714">
        <f>WWWW[[#This Row],['#_of_Functioning_latrines_in_school]]*50</f>
        <v>0</v>
      </c>
      <c r="BH182" s="714">
        <f>ROUND((WWWW[[#This Row],[Total PoP ]]/6),0)</f>
        <v>29</v>
      </c>
      <c r="BI182" s="714">
        <f>IF(WWWW[[#This Row],[Total required Latrines]]-(WWWW[[#This Row],['#_of_sanitary_fly-proof_HH_latrines]])&lt;0,0,WWWW[[#This Row],[Total required Latrines]]-(WWWW[[#This Row],['#_of_sanitary_fly-proof_HH_latrines]]))</f>
        <v>3</v>
      </c>
      <c r="BJ182" s="710">
        <f>1-WWWW[[#This Row],[% people access to functioning Latrine]]</f>
        <v>0.10344827586206895</v>
      </c>
      <c r="BK182"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v>
      </c>
      <c r="BL182" s="483">
        <f>IF(WWWW[[#This Row],['#_of_functional_handwashing_facilities_at_HH_level]]*6&gt;WWWW[[#This Row],[Total PoP ]],WWWW[[#This Row],[Total PoP ]],WWWW[[#This Row],['#_of_functional_handwashing_facilities_at_HH_level]]*6)</f>
        <v>0</v>
      </c>
      <c r="BM182" s="714">
        <f>IF(WWWW[[#This Row],['# people reached by regular dedicated hygiene promotion]]&gt;WWWW[[#This Row],['# People received regular supply of hygiene items]],WWWW[[#This Row],['# people reached by regular dedicated hygiene promotion]],WWWW[[#This Row],['# People received regular supply of hygiene items]])</f>
        <v>25</v>
      </c>
      <c r="BN182" s="713">
        <f>IF(WWWW[[#This Row],[HRP3]]/WWWW[[#This Row],[Total PoP ]]&gt;100%,100%,WWWW[[#This Row],[HRP3]]/WWWW[[#This Row],[Total PoP ]])</f>
        <v>0.14367816091954022</v>
      </c>
      <c r="BO182" s="710">
        <f>1-WWWW[[#This Row],[Hygiene Coverage%]]</f>
        <v>0.85632183908045978</v>
      </c>
      <c r="BP182" s="712">
        <f>WWWW[[#This Row],['# people reached by regular dedicated hygiene promotion]]/WWWW[[#This Row],[Total PoP ]]</f>
        <v>0.14367816091954022</v>
      </c>
      <c r="BQ18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82" s="478">
        <f>WWWW[[#This Row],['#_of_affected_women_and_girls_receiving_a_sufficient_quantity_of_sanitary_pads]]</f>
        <v>0</v>
      </c>
      <c r="BS182" s="524">
        <f>IF(WWWW[[#This Row],['# People with access to soap]]&gt;WWWW[[#This Row],['# People with access to Sanity Pads]],WWWW[[#This Row],['# People with access to soap]],WWWW[[#This Row],['# People with access to Sanity Pads]])</f>
        <v>0</v>
      </c>
      <c r="BT182" s="483" t="str">
        <f>IF(OR(WWWW[[#This Row],['#of students in school]]="",WWWW[[#This Row],['#of students in school]]=0),"No","Yes")</f>
        <v>No</v>
      </c>
      <c r="BU182" s="705" t="str">
        <f>VLOOKUP(WWWW[[#This Row],[Village  Name]],SiteDB6[[Site Name]:[Location Type 1]],9,FALSE)</f>
        <v>Village</v>
      </c>
      <c r="BV182" s="705" t="str">
        <f>VLOOKUP(WWWW[[#This Row],[Village  Name]],SiteDB6[[Site Name]:[Type of Accommodation]],10,FALSE)</f>
        <v>Village</v>
      </c>
      <c r="BW182" s="705">
        <f>VLOOKUP(WWWW[[#This Row],[Village  Name]],SiteDB6[[Site Name]:[Ethnic or GCA/NGCA]],11,FALSE)</f>
        <v>0</v>
      </c>
      <c r="BX182" s="705">
        <f>VLOOKUP(WWWW[[#This Row],[Village  Name]],SiteDB6[[Site Name]:[Lat]],12,FALSE)</f>
        <v>0</v>
      </c>
      <c r="BY182" s="705">
        <f>VLOOKUP(WWWW[[#This Row],[Village  Name]],SiteDB6[[Site Name]:[Long]],13,FALSE)</f>
        <v>0</v>
      </c>
      <c r="BZ182" s="705">
        <f>VLOOKUP(WWWW[[#This Row],[Village  Name]],SiteDB6[[Site Name]:[Pcode]],3,FALSE)</f>
        <v>0</v>
      </c>
      <c r="CA182" s="705" t="str">
        <f t="shared" si="10"/>
        <v>Covered</v>
      </c>
      <c r="CB182" s="715"/>
    </row>
    <row r="183" spans="1:80">
      <c r="A183" s="774" t="s">
        <v>3150</v>
      </c>
      <c r="B183" s="703" t="s">
        <v>2812</v>
      </c>
      <c r="C183" s="703" t="s">
        <v>2812</v>
      </c>
      <c r="D183" s="704" t="s">
        <v>3176</v>
      </c>
      <c r="E183" s="704" t="s">
        <v>36</v>
      </c>
      <c r="F183" s="704" t="s">
        <v>132</v>
      </c>
      <c r="G183" s="705" t="str">
        <f>VLOOKUP(WWWW[[#This Row],[Village  Name]],SiteDB6[[Site Name]:[Location Type]],8,FALSE)</f>
        <v>Village</v>
      </c>
      <c r="H183" s="704" t="s">
        <v>3179</v>
      </c>
      <c r="I183" s="706">
        <v>15</v>
      </c>
      <c r="J183" s="706">
        <v>49</v>
      </c>
      <c r="K183" s="707">
        <v>43081</v>
      </c>
      <c r="L183" s="708">
        <v>44104</v>
      </c>
      <c r="M183" s="706"/>
      <c r="N183" s="706"/>
      <c r="O183" s="524"/>
      <c r="P183" s="706"/>
      <c r="Q183" s="706"/>
      <c r="R183" s="706"/>
      <c r="S183" s="706"/>
      <c r="T183" s="706"/>
      <c r="U183" s="709"/>
      <c r="V183" s="706">
        <v>15</v>
      </c>
      <c r="W183" s="706"/>
      <c r="X183" s="706"/>
      <c r="Y183" s="706"/>
      <c r="Z183" s="706"/>
      <c r="AA183" s="706"/>
      <c r="AB183" s="706"/>
      <c r="AC183" s="709"/>
      <c r="AD183" s="706">
        <v>4</v>
      </c>
      <c r="AE183" s="706">
        <v>6</v>
      </c>
      <c r="AF183" s="706"/>
      <c r="AG183" s="706"/>
      <c r="AH183" s="706"/>
      <c r="AI183" s="706"/>
      <c r="AJ183" s="524"/>
      <c r="AK183" s="706"/>
      <c r="AL183" s="524"/>
      <c r="AM183" s="524"/>
      <c r="AN183" s="709"/>
      <c r="AO183" s="477"/>
      <c r="AP183" s="477"/>
      <c r="AQ183" s="524"/>
      <c r="AR183" s="524"/>
      <c r="AS183" s="524"/>
      <c r="AT183"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83" s="711">
        <f>WWWW[[#This Row],[%Equitable and continuous access to sufficient quantity of safe drinking water]]*WWWW[[#This Row],[Total PoP ]]</f>
        <v>0</v>
      </c>
      <c r="AV183"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83" s="711">
        <f>WWWW[[#This Row],[% Access to unimproved water points]]*WWWW[[#This Row],[Total PoP ]]</f>
        <v>0</v>
      </c>
      <c r="AX183"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83"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83" s="711">
        <f>WWWW[[#This Row],[HRP1]]/250</f>
        <v>0</v>
      </c>
      <c r="BA183" s="713">
        <f>1-WWWW[[#This Row],[% Equitable and continuous access to sufficient quantity of domestic water]]</f>
        <v>1</v>
      </c>
      <c r="BB183" s="711">
        <f>WWWW[[#This Row],[%equitable and continuous access to sufficient quantity of safe drinking and domestic water''s GAP]]*WWWW[[#This Row],[Total PoP ]]</f>
        <v>49</v>
      </c>
      <c r="BC183" s="714">
        <f>IF(WWWW[[#This Row],[Total required water points]]-WWWW[[#This Row],['#Water points coverage]]&lt;0,0,WWWW[[#This Row],[Total required water points]]-WWWW[[#This Row],['#Water points coverage]])</f>
        <v>1</v>
      </c>
      <c r="BD183" s="714">
        <f>ROUND(IF(WWWW[[#This Row],[Total PoP ]]&lt;250,1,WWWW[[#This Row],[Total PoP ]]/250),0)</f>
        <v>1</v>
      </c>
      <c r="BE18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83" s="711">
        <f>WWWW[[#This Row],[% people access to functioning Latrine]]*WWWW[[#This Row],[Total PoP ]]</f>
        <v>49</v>
      </c>
      <c r="BG183" s="714">
        <f>WWWW[[#This Row],['#_of_Functioning_latrines_in_school]]*50</f>
        <v>0</v>
      </c>
      <c r="BH183" s="714">
        <f>ROUND((WWWW[[#This Row],[Total PoP ]]/6),0)</f>
        <v>8</v>
      </c>
      <c r="BI183" s="714">
        <f>IF(WWWW[[#This Row],[Total required Latrines]]-(WWWW[[#This Row],['#_of_sanitary_fly-proof_HH_latrines]])&lt;0,0,WWWW[[#This Row],[Total required Latrines]]-(WWWW[[#This Row],['#_of_sanitary_fly-proof_HH_latrines]]))</f>
        <v>0</v>
      </c>
      <c r="BJ183" s="710">
        <f>1-WWWW[[#This Row],[% people access to functioning Latrine]]</f>
        <v>0</v>
      </c>
      <c r="BK183"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10</v>
      </c>
      <c r="BL183" s="483">
        <f>IF(WWWW[[#This Row],['#_of_functional_handwashing_facilities_at_HH_level]]*6&gt;WWWW[[#This Row],[Total PoP ]],WWWW[[#This Row],[Total PoP ]],WWWW[[#This Row],['#_of_functional_handwashing_facilities_at_HH_level]]*6)</f>
        <v>0</v>
      </c>
      <c r="BM183" s="714">
        <f>IF(WWWW[[#This Row],['# people reached by regular dedicated hygiene promotion]]&gt;WWWW[[#This Row],['# People received regular supply of hygiene items]],WWWW[[#This Row],['# people reached by regular dedicated hygiene promotion]],WWWW[[#This Row],['# People received regular supply of hygiene items]])</f>
        <v>10</v>
      </c>
      <c r="BN183" s="713">
        <f>IF(WWWW[[#This Row],[HRP3]]/WWWW[[#This Row],[Total PoP ]]&gt;100%,100%,WWWW[[#This Row],[HRP3]]/WWWW[[#This Row],[Total PoP ]])</f>
        <v>0.20408163265306123</v>
      </c>
      <c r="BO183" s="710">
        <f>1-WWWW[[#This Row],[Hygiene Coverage%]]</f>
        <v>0.79591836734693877</v>
      </c>
      <c r="BP183" s="712">
        <f>WWWW[[#This Row],['# people reached by regular dedicated hygiene promotion]]/WWWW[[#This Row],[Total PoP ]]</f>
        <v>0.20408163265306123</v>
      </c>
      <c r="BQ18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83" s="478">
        <f>WWWW[[#This Row],['#_of_affected_women_and_girls_receiving_a_sufficient_quantity_of_sanitary_pads]]</f>
        <v>0</v>
      </c>
      <c r="BS183" s="524">
        <f>IF(WWWW[[#This Row],['# People with access to soap]]&gt;WWWW[[#This Row],['# People with access to Sanity Pads]],WWWW[[#This Row],['# People with access to soap]],WWWW[[#This Row],['# People with access to Sanity Pads]])</f>
        <v>0</v>
      </c>
      <c r="BT183" s="483" t="str">
        <f>IF(OR(WWWW[[#This Row],['#of students in school]]="",WWWW[[#This Row],['#of students in school]]=0),"No","Yes")</f>
        <v>No</v>
      </c>
      <c r="BU183" s="705" t="str">
        <f>VLOOKUP(WWWW[[#This Row],[Village  Name]],SiteDB6[[Site Name]:[Location Type 1]],9,FALSE)</f>
        <v>Village</v>
      </c>
      <c r="BV183" s="705" t="str">
        <f>VLOOKUP(WWWW[[#This Row],[Village  Name]],SiteDB6[[Site Name]:[Type of Accommodation]],10,FALSE)</f>
        <v>Village</v>
      </c>
      <c r="BW183" s="705">
        <f>VLOOKUP(WWWW[[#This Row],[Village  Name]],SiteDB6[[Site Name]:[Ethnic or GCA/NGCA]],11,FALSE)</f>
        <v>0</v>
      </c>
      <c r="BX183" s="705">
        <f>VLOOKUP(WWWW[[#This Row],[Village  Name]],SiteDB6[[Site Name]:[Lat]],12,FALSE)</f>
        <v>0</v>
      </c>
      <c r="BY183" s="705">
        <f>VLOOKUP(WWWW[[#This Row],[Village  Name]],SiteDB6[[Site Name]:[Long]],13,FALSE)</f>
        <v>0</v>
      </c>
      <c r="BZ183" s="705">
        <f>VLOOKUP(WWWW[[#This Row],[Village  Name]],SiteDB6[[Site Name]:[Pcode]],3,FALSE)</f>
        <v>0</v>
      </c>
      <c r="CA183" s="705" t="str">
        <f t="shared" si="10"/>
        <v>Covered</v>
      </c>
      <c r="CB183" s="715"/>
    </row>
    <row r="184" spans="1:80">
      <c r="A184" s="774" t="s">
        <v>3150</v>
      </c>
      <c r="B184" s="703" t="s">
        <v>2812</v>
      </c>
      <c r="C184" s="703" t="s">
        <v>2812</v>
      </c>
      <c r="D184" s="704" t="s">
        <v>3176</v>
      </c>
      <c r="E184" s="704" t="s">
        <v>36</v>
      </c>
      <c r="F184" s="704" t="s">
        <v>132</v>
      </c>
      <c r="G184" s="705" t="str">
        <f>VLOOKUP(WWWW[[#This Row],[Village  Name]],SiteDB6[[Site Name]:[Location Type]],8,FALSE)</f>
        <v>Village</v>
      </c>
      <c r="H184" s="704" t="s">
        <v>3180</v>
      </c>
      <c r="I184" s="706">
        <v>78</v>
      </c>
      <c r="J184" s="706">
        <v>302</v>
      </c>
      <c r="K184" s="707">
        <v>43081</v>
      </c>
      <c r="L184" s="708">
        <v>44104</v>
      </c>
      <c r="M184" s="706"/>
      <c r="N184" s="706"/>
      <c r="O184" s="524">
        <v>2</v>
      </c>
      <c r="P184" s="706"/>
      <c r="Q184" s="706"/>
      <c r="R184" s="706"/>
      <c r="S184" s="706"/>
      <c r="T184" s="706"/>
      <c r="U184" s="709"/>
      <c r="V184" s="706">
        <v>50</v>
      </c>
      <c r="W184" s="706"/>
      <c r="X184" s="706">
        <v>1</v>
      </c>
      <c r="Y184" s="706"/>
      <c r="Z184" s="706"/>
      <c r="AA184" s="706"/>
      <c r="AB184" s="706"/>
      <c r="AC184" s="709"/>
      <c r="AD184" s="706">
        <v>11</v>
      </c>
      <c r="AE184" s="706">
        <v>18</v>
      </c>
      <c r="AF184" s="706"/>
      <c r="AG184" s="706"/>
      <c r="AH184" s="706"/>
      <c r="AI184" s="706"/>
      <c r="AJ184" s="524"/>
      <c r="AK184" s="706"/>
      <c r="AL184" s="524"/>
      <c r="AM184" s="524"/>
      <c r="AN184" s="709"/>
      <c r="AO184" s="477"/>
      <c r="AP184" s="477"/>
      <c r="AQ184" s="524"/>
      <c r="AR184" s="524"/>
      <c r="AS184" s="524"/>
      <c r="AT184"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84" s="711">
        <f>WWWW[[#This Row],[%Equitable and continuous access to sufficient quantity of safe drinking water]]*WWWW[[#This Row],[Total PoP ]]</f>
        <v>302</v>
      </c>
      <c r="AV184"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84" s="711">
        <f>WWWW[[#This Row],[% Access to unimproved water points]]*WWWW[[#This Row],[Total PoP ]]</f>
        <v>0</v>
      </c>
      <c r="AX184"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84"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302</v>
      </c>
      <c r="AZ184" s="711">
        <f>WWWW[[#This Row],[HRP1]]/250</f>
        <v>1.208</v>
      </c>
      <c r="BA184" s="713">
        <f>1-WWWW[[#This Row],[% Equitable and continuous access to sufficient quantity of domestic water]]</f>
        <v>0</v>
      </c>
      <c r="BB184" s="711">
        <f>WWWW[[#This Row],[%equitable and continuous access to sufficient quantity of safe drinking and domestic water''s GAP]]*WWWW[[#This Row],[Total PoP ]]</f>
        <v>0</v>
      </c>
      <c r="BC184" s="714">
        <f>IF(WWWW[[#This Row],[Total required water points]]-WWWW[[#This Row],['#Water points coverage]]&lt;0,0,WWWW[[#This Row],[Total required water points]]-WWWW[[#This Row],['#Water points coverage]])</f>
        <v>0</v>
      </c>
      <c r="BD184" s="714">
        <f>ROUND(IF(WWWW[[#This Row],[Total PoP ]]&lt;250,1,WWWW[[#This Row],[Total PoP ]]/250),0)</f>
        <v>1</v>
      </c>
      <c r="BE18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0.99337748344370858</v>
      </c>
      <c r="BF184" s="711">
        <f>WWWW[[#This Row],[% people access to functioning Latrine]]*WWWW[[#This Row],[Total PoP ]]</f>
        <v>300</v>
      </c>
      <c r="BG184" s="714">
        <f>WWWW[[#This Row],['#_of_Functioning_latrines_in_school]]*50</f>
        <v>50</v>
      </c>
      <c r="BH184" s="714">
        <f>ROUND((WWWW[[#This Row],[Total PoP ]]/6),0)</f>
        <v>50</v>
      </c>
      <c r="BI184" s="714">
        <f>IF(WWWW[[#This Row],[Total required Latrines]]-(WWWW[[#This Row],['#_of_sanitary_fly-proof_HH_latrines]])&lt;0,0,WWWW[[#This Row],[Total required Latrines]]-(WWWW[[#This Row],['#_of_sanitary_fly-proof_HH_latrines]]))</f>
        <v>0</v>
      </c>
      <c r="BJ184" s="710">
        <f>1-WWWW[[#This Row],[% people access to functioning Latrine]]</f>
        <v>6.6225165562914245E-3</v>
      </c>
      <c r="BK184"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29</v>
      </c>
      <c r="BL184" s="483">
        <f>IF(WWWW[[#This Row],['#_of_functional_handwashing_facilities_at_HH_level]]*6&gt;WWWW[[#This Row],[Total PoP ]],WWWW[[#This Row],[Total PoP ]],WWWW[[#This Row],['#_of_functional_handwashing_facilities_at_HH_level]]*6)</f>
        <v>0</v>
      </c>
      <c r="BM184" s="714">
        <f>IF(WWWW[[#This Row],['# people reached by regular dedicated hygiene promotion]]&gt;WWWW[[#This Row],['# People received regular supply of hygiene items]],WWWW[[#This Row],['# people reached by regular dedicated hygiene promotion]],WWWW[[#This Row],['# People received regular supply of hygiene items]])</f>
        <v>29</v>
      </c>
      <c r="BN184" s="713">
        <f>IF(WWWW[[#This Row],[HRP3]]/WWWW[[#This Row],[Total PoP ]]&gt;100%,100%,WWWW[[#This Row],[HRP3]]/WWWW[[#This Row],[Total PoP ]])</f>
        <v>9.602649006622517E-2</v>
      </c>
      <c r="BO184" s="710">
        <f>1-WWWW[[#This Row],[Hygiene Coverage%]]</f>
        <v>0.90397350993377479</v>
      </c>
      <c r="BP184" s="712">
        <f>WWWW[[#This Row],['# people reached by regular dedicated hygiene promotion]]/WWWW[[#This Row],[Total PoP ]]</f>
        <v>9.602649006622517E-2</v>
      </c>
      <c r="BQ18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84" s="478">
        <f>WWWW[[#This Row],['#_of_affected_women_and_girls_receiving_a_sufficient_quantity_of_sanitary_pads]]</f>
        <v>0</v>
      </c>
      <c r="BS184" s="524">
        <f>IF(WWWW[[#This Row],['# People with access to soap]]&gt;WWWW[[#This Row],['# People with access to Sanity Pads]],WWWW[[#This Row],['# People with access to soap]],WWWW[[#This Row],['# People with access to Sanity Pads]])</f>
        <v>0</v>
      </c>
      <c r="BT184" s="483" t="str">
        <f>IF(OR(WWWW[[#This Row],['#of students in school]]="",WWWW[[#This Row],['#of students in school]]=0),"No","Yes")</f>
        <v>No</v>
      </c>
      <c r="BU184" s="705" t="str">
        <f>VLOOKUP(WWWW[[#This Row],[Village  Name]],SiteDB6[[Site Name]:[Location Type 1]],9,FALSE)</f>
        <v>Village</v>
      </c>
      <c r="BV184" s="705" t="str">
        <f>VLOOKUP(WWWW[[#This Row],[Village  Name]],SiteDB6[[Site Name]:[Type of Accommodation]],10,FALSE)</f>
        <v>Village</v>
      </c>
      <c r="BW184" s="705">
        <f>VLOOKUP(WWWW[[#This Row],[Village  Name]],SiteDB6[[Site Name]:[Ethnic or GCA/NGCA]],11,FALSE)</f>
        <v>0</v>
      </c>
      <c r="BX184" s="705">
        <f>VLOOKUP(WWWW[[#This Row],[Village  Name]],SiteDB6[[Site Name]:[Lat]],12,FALSE)</f>
        <v>0</v>
      </c>
      <c r="BY184" s="705">
        <f>VLOOKUP(WWWW[[#This Row],[Village  Name]],SiteDB6[[Site Name]:[Long]],13,FALSE)</f>
        <v>0</v>
      </c>
      <c r="BZ184" s="705">
        <f>VLOOKUP(WWWW[[#This Row],[Village  Name]],SiteDB6[[Site Name]:[Pcode]],3,FALSE)</f>
        <v>0</v>
      </c>
      <c r="CA184" s="705" t="str">
        <f t="shared" si="10"/>
        <v>Covered</v>
      </c>
      <c r="CB184" s="715"/>
    </row>
    <row r="185" spans="1:80">
      <c r="A185" s="774" t="s">
        <v>3150</v>
      </c>
      <c r="B185" s="703" t="s">
        <v>2812</v>
      </c>
      <c r="C185" s="703" t="s">
        <v>2812</v>
      </c>
      <c r="D185" s="704" t="s">
        <v>3176</v>
      </c>
      <c r="E185" s="704" t="s">
        <v>36</v>
      </c>
      <c r="F185" s="704" t="s">
        <v>132</v>
      </c>
      <c r="G185" s="705" t="str">
        <f>VLOOKUP(WWWW[[#This Row],[Village  Name]],SiteDB6[[Site Name]:[Location Type]],8,FALSE)</f>
        <v>Village</v>
      </c>
      <c r="H185" s="704" t="s">
        <v>3181</v>
      </c>
      <c r="I185" s="706">
        <v>62</v>
      </c>
      <c r="J185" s="706">
        <v>308</v>
      </c>
      <c r="K185" s="707">
        <v>43081</v>
      </c>
      <c r="L185" s="708">
        <v>44104</v>
      </c>
      <c r="M185" s="706"/>
      <c r="N185" s="706"/>
      <c r="O185" s="524">
        <v>1</v>
      </c>
      <c r="P185" s="706"/>
      <c r="Q185" s="706"/>
      <c r="R185" s="706"/>
      <c r="S185" s="706"/>
      <c r="T185" s="706"/>
      <c r="U185" s="709"/>
      <c r="V185" s="706">
        <v>59</v>
      </c>
      <c r="W185" s="706"/>
      <c r="X185" s="706">
        <v>2</v>
      </c>
      <c r="Y185" s="706"/>
      <c r="Z185" s="706"/>
      <c r="AA185" s="706"/>
      <c r="AB185" s="706"/>
      <c r="AC185" s="709"/>
      <c r="AD185" s="706">
        <v>10</v>
      </c>
      <c r="AE185" s="706">
        <v>15</v>
      </c>
      <c r="AF185" s="706"/>
      <c r="AG185" s="706"/>
      <c r="AH185" s="706"/>
      <c r="AI185" s="706"/>
      <c r="AJ185" s="524"/>
      <c r="AK185" s="706"/>
      <c r="AL185" s="524"/>
      <c r="AM185" s="524"/>
      <c r="AN185" s="709"/>
      <c r="AO185" s="477"/>
      <c r="AP185" s="477"/>
      <c r="AQ185" s="524"/>
      <c r="AR185" s="524"/>
      <c r="AS185" s="524"/>
      <c r="AT185"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85" s="711">
        <f>WWWW[[#This Row],[%Equitable and continuous access to sufficient quantity of safe drinking water]]*WWWW[[#This Row],[Total PoP ]]</f>
        <v>308</v>
      </c>
      <c r="AV185"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85" s="711">
        <f>WWWW[[#This Row],[% Access to unimproved water points]]*WWWW[[#This Row],[Total PoP ]]</f>
        <v>0</v>
      </c>
      <c r="AX185"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85"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308</v>
      </c>
      <c r="AZ185" s="711">
        <f>WWWW[[#This Row],[HRP1]]/250</f>
        <v>1.232</v>
      </c>
      <c r="BA185" s="713">
        <f>1-WWWW[[#This Row],[% Equitable and continuous access to sufficient quantity of domestic water]]</f>
        <v>0</v>
      </c>
      <c r="BB185" s="711">
        <f>WWWW[[#This Row],[%equitable and continuous access to sufficient quantity of safe drinking and domestic water''s GAP]]*WWWW[[#This Row],[Total PoP ]]</f>
        <v>0</v>
      </c>
      <c r="BC185" s="714">
        <f>IF(WWWW[[#This Row],[Total required water points]]-WWWW[[#This Row],['#Water points coverage]]&lt;0,0,WWWW[[#This Row],[Total required water points]]-WWWW[[#This Row],['#Water points coverage]])</f>
        <v>0</v>
      </c>
      <c r="BD185" s="714">
        <f>ROUND(IF(WWWW[[#This Row],[Total PoP ]]&lt;250,1,WWWW[[#This Row],[Total PoP ]]/250),0)</f>
        <v>1</v>
      </c>
      <c r="BE18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185" s="711">
        <f>WWWW[[#This Row],[% people access to functioning Latrine]]*WWWW[[#This Row],[Total PoP ]]</f>
        <v>308</v>
      </c>
      <c r="BG185" s="714">
        <f>WWWW[[#This Row],['#_of_Functioning_latrines_in_school]]*50</f>
        <v>100</v>
      </c>
      <c r="BH185" s="714">
        <f>ROUND((WWWW[[#This Row],[Total PoP ]]/6),0)</f>
        <v>51</v>
      </c>
      <c r="BI185" s="714">
        <f>IF(WWWW[[#This Row],[Total required Latrines]]-(WWWW[[#This Row],['#_of_sanitary_fly-proof_HH_latrines]])&lt;0,0,WWWW[[#This Row],[Total required Latrines]]-(WWWW[[#This Row],['#_of_sanitary_fly-proof_HH_latrines]]))</f>
        <v>0</v>
      </c>
      <c r="BJ185" s="710">
        <f>1-WWWW[[#This Row],[% people access to functioning Latrine]]</f>
        <v>0</v>
      </c>
      <c r="BK185"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v>
      </c>
      <c r="BL185" s="483">
        <f>IF(WWWW[[#This Row],['#_of_functional_handwashing_facilities_at_HH_level]]*6&gt;WWWW[[#This Row],[Total PoP ]],WWWW[[#This Row],[Total PoP ]],WWWW[[#This Row],['#_of_functional_handwashing_facilities_at_HH_level]]*6)</f>
        <v>0</v>
      </c>
      <c r="BM185" s="714">
        <f>IF(WWWW[[#This Row],['# people reached by regular dedicated hygiene promotion]]&gt;WWWW[[#This Row],['# People received regular supply of hygiene items]],WWWW[[#This Row],['# people reached by regular dedicated hygiene promotion]],WWWW[[#This Row],['# People received regular supply of hygiene items]])</f>
        <v>25</v>
      </c>
      <c r="BN185" s="713">
        <f>IF(WWWW[[#This Row],[HRP3]]/WWWW[[#This Row],[Total PoP ]]&gt;100%,100%,WWWW[[#This Row],[HRP3]]/WWWW[[#This Row],[Total PoP ]])</f>
        <v>8.1168831168831168E-2</v>
      </c>
      <c r="BO185" s="710">
        <f>1-WWWW[[#This Row],[Hygiene Coverage%]]</f>
        <v>0.91883116883116878</v>
      </c>
      <c r="BP185" s="712">
        <f>WWWW[[#This Row],['# people reached by regular dedicated hygiene promotion]]/WWWW[[#This Row],[Total PoP ]]</f>
        <v>8.1168831168831168E-2</v>
      </c>
      <c r="BQ18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85" s="478">
        <f>WWWW[[#This Row],['#_of_affected_women_and_girls_receiving_a_sufficient_quantity_of_sanitary_pads]]</f>
        <v>0</v>
      </c>
      <c r="BS185" s="524">
        <f>IF(WWWW[[#This Row],['# People with access to soap]]&gt;WWWW[[#This Row],['# People with access to Sanity Pads]],WWWW[[#This Row],['# People with access to soap]],WWWW[[#This Row],['# People with access to Sanity Pads]])</f>
        <v>0</v>
      </c>
      <c r="BT185" s="483" t="str">
        <f>IF(OR(WWWW[[#This Row],['#of students in school]]="",WWWW[[#This Row],['#of students in school]]=0),"No","Yes")</f>
        <v>No</v>
      </c>
      <c r="BU185" s="705" t="str">
        <f>VLOOKUP(WWWW[[#This Row],[Village  Name]],SiteDB6[[Site Name]:[Location Type 1]],9,FALSE)</f>
        <v>Village</v>
      </c>
      <c r="BV185" s="705" t="str">
        <f>VLOOKUP(WWWW[[#This Row],[Village  Name]],SiteDB6[[Site Name]:[Type of Accommodation]],10,FALSE)</f>
        <v>Village</v>
      </c>
      <c r="BW185" s="705">
        <f>VLOOKUP(WWWW[[#This Row],[Village  Name]],SiteDB6[[Site Name]:[Ethnic or GCA/NGCA]],11,FALSE)</f>
        <v>0</v>
      </c>
      <c r="BX185" s="705">
        <f>VLOOKUP(WWWW[[#This Row],[Village  Name]],SiteDB6[[Site Name]:[Lat]],12,FALSE)</f>
        <v>0</v>
      </c>
      <c r="BY185" s="705">
        <f>VLOOKUP(WWWW[[#This Row],[Village  Name]],SiteDB6[[Site Name]:[Long]],13,FALSE)</f>
        <v>0</v>
      </c>
      <c r="BZ185" s="705">
        <f>VLOOKUP(WWWW[[#This Row],[Village  Name]],SiteDB6[[Site Name]:[Pcode]],3,FALSE)</f>
        <v>0</v>
      </c>
      <c r="CA185" s="705" t="str">
        <f t="shared" si="10"/>
        <v>Covered</v>
      </c>
      <c r="CB185" s="715"/>
    </row>
    <row r="186" spans="1:80">
      <c r="A186" s="774" t="s">
        <v>3150</v>
      </c>
      <c r="B186" s="703" t="s">
        <v>2812</v>
      </c>
      <c r="C186" s="703" t="s">
        <v>2812</v>
      </c>
      <c r="D186" s="704" t="s">
        <v>3176</v>
      </c>
      <c r="E186" s="704" t="s">
        <v>36</v>
      </c>
      <c r="F186" s="704" t="s">
        <v>132</v>
      </c>
      <c r="G186" s="705" t="str">
        <f>VLOOKUP(WWWW[[#This Row],[Village  Name]],SiteDB6[[Site Name]:[Location Type]],8,FALSE)</f>
        <v>Village</v>
      </c>
      <c r="H186" s="704" t="s">
        <v>3182</v>
      </c>
      <c r="I186" s="706">
        <v>17</v>
      </c>
      <c r="J186" s="706">
        <v>126</v>
      </c>
      <c r="K186" s="707">
        <v>43081</v>
      </c>
      <c r="L186" s="708">
        <v>44104</v>
      </c>
      <c r="M186" s="706"/>
      <c r="N186" s="706"/>
      <c r="O186" s="524">
        <v>1</v>
      </c>
      <c r="P186" s="706"/>
      <c r="Q186" s="706"/>
      <c r="R186" s="706"/>
      <c r="S186" s="706"/>
      <c r="T186" s="706"/>
      <c r="U186" s="709"/>
      <c r="V186" s="706">
        <v>13</v>
      </c>
      <c r="W186" s="706"/>
      <c r="X186" s="706"/>
      <c r="Y186" s="706"/>
      <c r="Z186" s="706"/>
      <c r="AA186" s="706"/>
      <c r="AB186" s="706"/>
      <c r="AC186" s="709"/>
      <c r="AD186" s="706">
        <v>6</v>
      </c>
      <c r="AE186" s="706">
        <v>10</v>
      </c>
      <c r="AF186" s="706"/>
      <c r="AG186" s="706"/>
      <c r="AH186" s="706"/>
      <c r="AI186" s="706"/>
      <c r="AJ186" s="524"/>
      <c r="AK186" s="706"/>
      <c r="AL186" s="524"/>
      <c r="AM186" s="524"/>
      <c r="AN186" s="709"/>
      <c r="AO186" s="477"/>
      <c r="AP186" s="477"/>
      <c r="AQ186" s="524"/>
      <c r="AR186" s="524"/>
      <c r="AS186" s="524"/>
      <c r="AT186"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86" s="711">
        <f>WWWW[[#This Row],[%Equitable and continuous access to sufficient quantity of safe drinking water]]*WWWW[[#This Row],[Total PoP ]]</f>
        <v>126</v>
      </c>
      <c r="AV186"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86" s="711">
        <f>WWWW[[#This Row],[% Access to unimproved water points]]*WWWW[[#This Row],[Total PoP ]]</f>
        <v>0</v>
      </c>
      <c r="AX186"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86"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126</v>
      </c>
      <c r="AZ186" s="711">
        <f>WWWW[[#This Row],[HRP1]]/250</f>
        <v>0.504</v>
      </c>
      <c r="BA186" s="713">
        <f>1-WWWW[[#This Row],[% Equitable and continuous access to sufficient quantity of domestic water]]</f>
        <v>0</v>
      </c>
      <c r="BB186" s="711">
        <f>WWWW[[#This Row],[%equitable and continuous access to sufficient quantity of safe drinking and domestic water''s GAP]]*WWWW[[#This Row],[Total PoP ]]</f>
        <v>0</v>
      </c>
      <c r="BC186" s="714">
        <f>IF(WWWW[[#This Row],[Total required water points]]-WWWW[[#This Row],['#Water points coverage]]&lt;0,0,WWWW[[#This Row],[Total required water points]]-WWWW[[#This Row],['#Water points coverage]])</f>
        <v>0.496</v>
      </c>
      <c r="BD186" s="714">
        <f>ROUND(IF(WWWW[[#This Row],[Total PoP ]]&lt;250,1,WWWW[[#This Row],[Total PoP ]]/250),0)</f>
        <v>1</v>
      </c>
      <c r="BE18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0.61904761904761907</v>
      </c>
      <c r="BF186" s="711">
        <f>WWWW[[#This Row],[% people access to functioning Latrine]]*WWWW[[#This Row],[Total PoP ]]</f>
        <v>78</v>
      </c>
      <c r="BG186" s="714">
        <f>WWWW[[#This Row],['#_of_Functioning_latrines_in_school]]*50</f>
        <v>0</v>
      </c>
      <c r="BH186" s="714">
        <f>ROUND((WWWW[[#This Row],[Total PoP ]]/6),0)</f>
        <v>21</v>
      </c>
      <c r="BI186" s="714">
        <f>IF(WWWW[[#This Row],[Total required Latrines]]-(WWWW[[#This Row],['#_of_sanitary_fly-proof_HH_latrines]])&lt;0,0,WWWW[[#This Row],[Total required Latrines]]-(WWWW[[#This Row],['#_of_sanitary_fly-proof_HH_latrines]]))</f>
        <v>8</v>
      </c>
      <c r="BJ186" s="710">
        <f>1-WWWW[[#This Row],[% people access to functioning Latrine]]</f>
        <v>0.38095238095238093</v>
      </c>
      <c r="BK186"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16</v>
      </c>
      <c r="BL186" s="483">
        <f>IF(WWWW[[#This Row],['#_of_functional_handwashing_facilities_at_HH_level]]*6&gt;WWWW[[#This Row],[Total PoP ]],WWWW[[#This Row],[Total PoP ]],WWWW[[#This Row],['#_of_functional_handwashing_facilities_at_HH_level]]*6)</f>
        <v>0</v>
      </c>
      <c r="BM186" s="714">
        <f>IF(WWWW[[#This Row],['# people reached by regular dedicated hygiene promotion]]&gt;WWWW[[#This Row],['# People received regular supply of hygiene items]],WWWW[[#This Row],['# people reached by regular dedicated hygiene promotion]],WWWW[[#This Row],['# People received regular supply of hygiene items]])</f>
        <v>16</v>
      </c>
      <c r="BN186" s="713">
        <f>IF(WWWW[[#This Row],[HRP3]]/WWWW[[#This Row],[Total PoP ]]&gt;100%,100%,WWWW[[#This Row],[HRP3]]/WWWW[[#This Row],[Total PoP ]])</f>
        <v>0.12698412698412698</v>
      </c>
      <c r="BO186" s="710">
        <f>1-WWWW[[#This Row],[Hygiene Coverage%]]</f>
        <v>0.87301587301587302</v>
      </c>
      <c r="BP186" s="712">
        <f>WWWW[[#This Row],['# people reached by regular dedicated hygiene promotion]]/WWWW[[#This Row],[Total PoP ]]</f>
        <v>0.12698412698412698</v>
      </c>
      <c r="BQ18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86" s="478">
        <f>WWWW[[#This Row],['#_of_affected_women_and_girls_receiving_a_sufficient_quantity_of_sanitary_pads]]</f>
        <v>0</v>
      </c>
      <c r="BS186" s="524">
        <f>IF(WWWW[[#This Row],['# People with access to soap]]&gt;WWWW[[#This Row],['# People with access to Sanity Pads]],WWWW[[#This Row],['# People with access to soap]],WWWW[[#This Row],['# People with access to Sanity Pads]])</f>
        <v>0</v>
      </c>
      <c r="BT186" s="483" t="str">
        <f>IF(OR(WWWW[[#This Row],['#of students in school]]="",WWWW[[#This Row],['#of students in school]]=0),"No","Yes")</f>
        <v>No</v>
      </c>
      <c r="BU186" s="705" t="str">
        <f>VLOOKUP(WWWW[[#This Row],[Village  Name]],SiteDB6[[Site Name]:[Location Type 1]],9,FALSE)</f>
        <v>Village</v>
      </c>
      <c r="BV186" s="705" t="str">
        <f>VLOOKUP(WWWW[[#This Row],[Village  Name]],SiteDB6[[Site Name]:[Type of Accommodation]],10,FALSE)</f>
        <v>Village</v>
      </c>
      <c r="BW186" s="705">
        <f>VLOOKUP(WWWW[[#This Row],[Village  Name]],SiteDB6[[Site Name]:[Ethnic or GCA/NGCA]],11,FALSE)</f>
        <v>0</v>
      </c>
      <c r="BX186" s="705">
        <f>VLOOKUP(WWWW[[#This Row],[Village  Name]],SiteDB6[[Site Name]:[Lat]],12,FALSE)</f>
        <v>0</v>
      </c>
      <c r="BY186" s="705">
        <f>VLOOKUP(WWWW[[#This Row],[Village  Name]],SiteDB6[[Site Name]:[Long]],13,FALSE)</f>
        <v>0</v>
      </c>
      <c r="BZ186" s="705">
        <f>VLOOKUP(WWWW[[#This Row],[Village  Name]],SiteDB6[[Site Name]:[Pcode]],3,FALSE)</f>
        <v>0</v>
      </c>
      <c r="CA186" s="705" t="str">
        <f t="shared" si="10"/>
        <v>Covered</v>
      </c>
      <c r="CB186" s="715"/>
    </row>
    <row r="187" spans="1:80">
      <c r="A187" s="774" t="s">
        <v>3150</v>
      </c>
      <c r="B187" s="703" t="s">
        <v>2812</v>
      </c>
      <c r="C187" s="703" t="s">
        <v>2812</v>
      </c>
      <c r="D187" s="704" t="s">
        <v>3176</v>
      </c>
      <c r="E187" s="704" t="s">
        <v>36</v>
      </c>
      <c r="F187" s="704" t="s">
        <v>132</v>
      </c>
      <c r="G187" s="705" t="str">
        <f>VLOOKUP(WWWW[[#This Row],[Village  Name]],SiteDB6[[Site Name]:[Location Type]],8,FALSE)</f>
        <v>Village</v>
      </c>
      <c r="H187" s="704" t="s">
        <v>1869</v>
      </c>
      <c r="I187" s="706">
        <v>31</v>
      </c>
      <c r="J187" s="706">
        <v>135</v>
      </c>
      <c r="K187" s="707">
        <v>43081</v>
      </c>
      <c r="L187" s="708">
        <v>44104</v>
      </c>
      <c r="M187" s="706"/>
      <c r="N187" s="706"/>
      <c r="O187" s="524">
        <v>1</v>
      </c>
      <c r="P187" s="706"/>
      <c r="Q187" s="706"/>
      <c r="R187" s="706"/>
      <c r="S187" s="706"/>
      <c r="T187" s="706"/>
      <c r="U187" s="709"/>
      <c r="V187" s="706"/>
      <c r="W187" s="706"/>
      <c r="X187" s="706"/>
      <c r="Y187" s="706"/>
      <c r="Z187" s="706"/>
      <c r="AA187" s="706"/>
      <c r="AB187" s="706"/>
      <c r="AC187" s="709"/>
      <c r="AD187" s="706">
        <v>9</v>
      </c>
      <c r="AE187" s="706">
        <v>8</v>
      </c>
      <c r="AF187" s="706"/>
      <c r="AG187" s="706"/>
      <c r="AH187" s="706"/>
      <c r="AI187" s="706"/>
      <c r="AJ187" s="524"/>
      <c r="AK187" s="706"/>
      <c r="AL187" s="524"/>
      <c r="AM187" s="524"/>
      <c r="AN187" s="709"/>
      <c r="AO187" s="477"/>
      <c r="AP187" s="477"/>
      <c r="AQ187" s="524"/>
      <c r="AR187" s="524"/>
      <c r="AS187" s="524"/>
      <c r="AT187"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87" s="711">
        <f>WWWW[[#This Row],[%Equitable and continuous access to sufficient quantity of safe drinking water]]*WWWW[[#This Row],[Total PoP ]]</f>
        <v>135</v>
      </c>
      <c r="AV187"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87" s="711">
        <f>WWWW[[#This Row],[% Access to unimproved water points]]*WWWW[[#This Row],[Total PoP ]]</f>
        <v>0</v>
      </c>
      <c r="AX187"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87"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135</v>
      </c>
      <c r="AZ187" s="711">
        <f>WWWW[[#This Row],[HRP1]]/250</f>
        <v>0.54</v>
      </c>
      <c r="BA187" s="713">
        <f>1-WWWW[[#This Row],[% Equitable and continuous access to sufficient quantity of domestic water]]</f>
        <v>0</v>
      </c>
      <c r="BB187" s="711">
        <f>WWWW[[#This Row],[%equitable and continuous access to sufficient quantity of safe drinking and domestic water''s GAP]]*WWWW[[#This Row],[Total PoP ]]</f>
        <v>0</v>
      </c>
      <c r="BC187" s="714">
        <f>IF(WWWW[[#This Row],[Total required water points]]-WWWW[[#This Row],['#Water points coverage]]&lt;0,0,WWWW[[#This Row],[Total required water points]]-WWWW[[#This Row],['#Water points coverage]])</f>
        <v>0.45999999999999996</v>
      </c>
      <c r="BD187" s="714">
        <f>ROUND(IF(WWWW[[#This Row],[Total PoP ]]&lt;250,1,WWWW[[#This Row],[Total PoP ]]/250),0)</f>
        <v>1</v>
      </c>
      <c r="BE18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87" s="711">
        <f>WWWW[[#This Row],[% people access to functioning Latrine]]*WWWW[[#This Row],[Total PoP ]]</f>
        <v>0</v>
      </c>
      <c r="BG187" s="714">
        <f>WWWW[[#This Row],['#_of_Functioning_latrines_in_school]]*50</f>
        <v>0</v>
      </c>
      <c r="BH187" s="714">
        <f>ROUND((WWWW[[#This Row],[Total PoP ]]/6),0)</f>
        <v>23</v>
      </c>
      <c r="BI187" s="714">
        <f>IF(WWWW[[#This Row],[Total required Latrines]]-(WWWW[[#This Row],['#_of_sanitary_fly-proof_HH_latrines]])&lt;0,0,WWWW[[#This Row],[Total required Latrines]]-(WWWW[[#This Row],['#_of_sanitary_fly-proof_HH_latrines]]))</f>
        <v>23</v>
      </c>
      <c r="BJ187" s="710">
        <f>1-WWWW[[#This Row],[% people access to functioning Latrine]]</f>
        <v>1</v>
      </c>
      <c r="BK187"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17</v>
      </c>
      <c r="BL187" s="483">
        <f>IF(WWWW[[#This Row],['#_of_functional_handwashing_facilities_at_HH_level]]*6&gt;WWWW[[#This Row],[Total PoP ]],WWWW[[#This Row],[Total PoP ]],WWWW[[#This Row],['#_of_functional_handwashing_facilities_at_HH_level]]*6)</f>
        <v>0</v>
      </c>
      <c r="BM187" s="714">
        <f>IF(WWWW[[#This Row],['# people reached by regular dedicated hygiene promotion]]&gt;WWWW[[#This Row],['# People received regular supply of hygiene items]],WWWW[[#This Row],['# people reached by regular dedicated hygiene promotion]],WWWW[[#This Row],['# People received regular supply of hygiene items]])</f>
        <v>17</v>
      </c>
      <c r="BN187" s="713">
        <f>IF(WWWW[[#This Row],[HRP3]]/WWWW[[#This Row],[Total PoP ]]&gt;100%,100%,WWWW[[#This Row],[HRP3]]/WWWW[[#This Row],[Total PoP ]])</f>
        <v>0.12592592592592591</v>
      </c>
      <c r="BO187" s="710">
        <f>1-WWWW[[#This Row],[Hygiene Coverage%]]</f>
        <v>0.87407407407407411</v>
      </c>
      <c r="BP187" s="712">
        <f>WWWW[[#This Row],['# people reached by regular dedicated hygiene promotion]]/WWWW[[#This Row],[Total PoP ]]</f>
        <v>0.12592592592592591</v>
      </c>
      <c r="BQ18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87" s="478">
        <f>WWWW[[#This Row],['#_of_affected_women_and_girls_receiving_a_sufficient_quantity_of_sanitary_pads]]</f>
        <v>0</v>
      </c>
      <c r="BS187" s="524">
        <f>IF(WWWW[[#This Row],['# People with access to soap]]&gt;WWWW[[#This Row],['# People with access to Sanity Pads]],WWWW[[#This Row],['# People with access to soap]],WWWW[[#This Row],['# People with access to Sanity Pads]])</f>
        <v>0</v>
      </c>
      <c r="BT187" s="483" t="str">
        <f>IF(OR(WWWW[[#This Row],['#of students in school]]="",WWWW[[#This Row],['#of students in school]]=0),"No","Yes")</f>
        <v>No</v>
      </c>
      <c r="BU187" s="705" t="str">
        <f>VLOOKUP(WWWW[[#This Row],[Village  Name]],SiteDB6[[Site Name]:[Location Type 1]],9,FALSE)</f>
        <v>Village</v>
      </c>
      <c r="BV187" s="705" t="str">
        <f>VLOOKUP(WWWW[[#This Row],[Village  Name]],SiteDB6[[Site Name]:[Type of Accommodation]],10,FALSE)</f>
        <v>Village</v>
      </c>
      <c r="BW187" s="705">
        <f>VLOOKUP(WWWW[[#This Row],[Village  Name]],SiteDB6[[Site Name]:[Ethnic or GCA/NGCA]],11,FALSE)</f>
        <v>0</v>
      </c>
      <c r="BX187" s="705">
        <f>VLOOKUP(WWWW[[#This Row],[Village  Name]],SiteDB6[[Site Name]:[Lat]],12,FALSE)</f>
        <v>0</v>
      </c>
      <c r="BY187" s="705">
        <f>VLOOKUP(WWWW[[#This Row],[Village  Name]],SiteDB6[[Site Name]:[Long]],13,FALSE)</f>
        <v>0</v>
      </c>
      <c r="BZ187" s="705">
        <f>VLOOKUP(WWWW[[#This Row],[Village  Name]],SiteDB6[[Site Name]:[Pcode]],3,FALSE)</f>
        <v>0</v>
      </c>
      <c r="CA187" s="705" t="str">
        <f t="shared" si="10"/>
        <v>Covered</v>
      </c>
      <c r="CB187" s="715"/>
    </row>
    <row r="188" spans="1:80">
      <c r="A188" s="774" t="s">
        <v>3150</v>
      </c>
      <c r="B188" s="703" t="s">
        <v>2812</v>
      </c>
      <c r="C188" s="703" t="s">
        <v>2812</v>
      </c>
      <c r="D188" s="704" t="s">
        <v>3176</v>
      </c>
      <c r="E188" s="704" t="s">
        <v>36</v>
      </c>
      <c r="F188" s="704" t="s">
        <v>149</v>
      </c>
      <c r="G188" s="705" t="str">
        <f>VLOOKUP(WWWW[[#This Row],[Village  Name]],SiteDB6[[Site Name]:[Location Type]],8,FALSE)</f>
        <v>Village</v>
      </c>
      <c r="H188" s="704" t="s">
        <v>3183</v>
      </c>
      <c r="I188" s="706">
        <v>97</v>
      </c>
      <c r="J188" s="706">
        <v>482</v>
      </c>
      <c r="K188" s="707">
        <v>43081</v>
      </c>
      <c r="L188" s="708">
        <v>44104</v>
      </c>
      <c r="M188" s="706"/>
      <c r="N188" s="706"/>
      <c r="O188" s="524">
        <v>2</v>
      </c>
      <c r="P188" s="706"/>
      <c r="Q188" s="706"/>
      <c r="R188" s="706"/>
      <c r="S188" s="706"/>
      <c r="T188" s="706"/>
      <c r="U188" s="709"/>
      <c r="V188" s="706">
        <v>50</v>
      </c>
      <c r="W188" s="706"/>
      <c r="X188" s="706">
        <v>2</v>
      </c>
      <c r="Y188" s="706"/>
      <c r="Z188" s="706"/>
      <c r="AA188" s="706"/>
      <c r="AB188" s="706"/>
      <c r="AC188" s="709"/>
      <c r="AD188" s="706">
        <v>15</v>
      </c>
      <c r="AE188" s="706">
        <v>12</v>
      </c>
      <c r="AF188" s="706"/>
      <c r="AG188" s="706"/>
      <c r="AH188" s="706"/>
      <c r="AI188" s="706"/>
      <c r="AJ188" s="524"/>
      <c r="AK188" s="706"/>
      <c r="AL188" s="524"/>
      <c r="AM188" s="524"/>
      <c r="AN188" s="709"/>
      <c r="AO188" s="477"/>
      <c r="AP188" s="477"/>
      <c r="AQ188" s="524"/>
      <c r="AR188" s="524"/>
      <c r="AS188" s="524"/>
      <c r="AT188"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88" s="711">
        <f>WWWW[[#This Row],[%Equitable and continuous access to sufficient quantity of safe drinking water]]*WWWW[[#This Row],[Total PoP ]]</f>
        <v>482</v>
      </c>
      <c r="AV188"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88" s="711">
        <f>WWWW[[#This Row],[% Access to unimproved water points]]*WWWW[[#This Row],[Total PoP ]]</f>
        <v>0</v>
      </c>
      <c r="AX188"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88"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482</v>
      </c>
      <c r="AZ188" s="711">
        <f>WWWW[[#This Row],[HRP1]]/250</f>
        <v>1.9279999999999999</v>
      </c>
      <c r="BA188" s="713">
        <f>1-WWWW[[#This Row],[% Equitable and continuous access to sufficient quantity of domestic water]]</f>
        <v>0</v>
      </c>
      <c r="BB188" s="711">
        <f>WWWW[[#This Row],[%equitable and continuous access to sufficient quantity of safe drinking and domestic water''s GAP]]*WWWW[[#This Row],[Total PoP ]]</f>
        <v>0</v>
      </c>
      <c r="BC188" s="714">
        <f>IF(WWWW[[#This Row],[Total required water points]]-WWWW[[#This Row],['#Water points coverage]]&lt;0,0,WWWW[[#This Row],[Total required water points]]-WWWW[[#This Row],['#Water points coverage]])</f>
        <v>7.2000000000000064E-2</v>
      </c>
      <c r="BD188" s="714">
        <f>ROUND(IF(WWWW[[#This Row],[Total PoP ]]&lt;250,1,WWWW[[#This Row],[Total PoP ]]/250),0)</f>
        <v>2</v>
      </c>
      <c r="BE18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0.62240663900414939</v>
      </c>
      <c r="BF188" s="711">
        <f>WWWW[[#This Row],[% people access to functioning Latrine]]*WWWW[[#This Row],[Total PoP ]]</f>
        <v>300</v>
      </c>
      <c r="BG188" s="714">
        <f>WWWW[[#This Row],['#_of_Functioning_latrines_in_school]]*50</f>
        <v>100</v>
      </c>
      <c r="BH188" s="714">
        <f>ROUND((WWWW[[#This Row],[Total PoP ]]/6),0)</f>
        <v>80</v>
      </c>
      <c r="BI188" s="714">
        <f>IF(WWWW[[#This Row],[Total required Latrines]]-(WWWW[[#This Row],['#_of_sanitary_fly-proof_HH_latrines]])&lt;0,0,WWWW[[#This Row],[Total required Latrines]]-(WWWW[[#This Row],['#_of_sanitary_fly-proof_HH_latrines]]))</f>
        <v>30</v>
      </c>
      <c r="BJ188" s="710">
        <f>1-WWWW[[#This Row],[% people access to functioning Latrine]]</f>
        <v>0.37759336099585061</v>
      </c>
      <c r="BK188"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27</v>
      </c>
      <c r="BL188" s="483">
        <f>IF(WWWW[[#This Row],['#_of_functional_handwashing_facilities_at_HH_level]]*6&gt;WWWW[[#This Row],[Total PoP ]],WWWW[[#This Row],[Total PoP ]],WWWW[[#This Row],['#_of_functional_handwashing_facilities_at_HH_level]]*6)</f>
        <v>0</v>
      </c>
      <c r="BM188" s="714">
        <f>IF(WWWW[[#This Row],['# people reached by regular dedicated hygiene promotion]]&gt;WWWW[[#This Row],['# People received regular supply of hygiene items]],WWWW[[#This Row],['# people reached by regular dedicated hygiene promotion]],WWWW[[#This Row],['# People received regular supply of hygiene items]])</f>
        <v>27</v>
      </c>
      <c r="BN188" s="713">
        <f>IF(WWWW[[#This Row],[HRP3]]/WWWW[[#This Row],[Total PoP ]]&gt;100%,100%,WWWW[[#This Row],[HRP3]]/WWWW[[#This Row],[Total PoP ]])</f>
        <v>5.6016597510373446E-2</v>
      </c>
      <c r="BO188" s="710">
        <f>1-WWWW[[#This Row],[Hygiene Coverage%]]</f>
        <v>0.94398340248962653</v>
      </c>
      <c r="BP188" s="712">
        <f>WWWW[[#This Row],['# people reached by regular dedicated hygiene promotion]]/WWWW[[#This Row],[Total PoP ]]</f>
        <v>5.6016597510373446E-2</v>
      </c>
      <c r="BQ18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88" s="478">
        <f>WWWW[[#This Row],['#_of_affected_women_and_girls_receiving_a_sufficient_quantity_of_sanitary_pads]]</f>
        <v>0</v>
      </c>
      <c r="BS188" s="524">
        <f>IF(WWWW[[#This Row],['# People with access to soap]]&gt;WWWW[[#This Row],['# People with access to Sanity Pads]],WWWW[[#This Row],['# People with access to soap]],WWWW[[#This Row],['# People with access to Sanity Pads]])</f>
        <v>0</v>
      </c>
      <c r="BT188" s="483" t="str">
        <f>IF(OR(WWWW[[#This Row],['#of students in school]]="",WWWW[[#This Row],['#of students in school]]=0),"No","Yes")</f>
        <v>No</v>
      </c>
      <c r="BU188" s="705" t="str">
        <f>VLOOKUP(WWWW[[#This Row],[Village  Name]],SiteDB6[[Site Name]:[Location Type 1]],9,FALSE)</f>
        <v>Village</v>
      </c>
      <c r="BV188" s="705" t="str">
        <f>VLOOKUP(WWWW[[#This Row],[Village  Name]],SiteDB6[[Site Name]:[Type of Accommodation]],10,FALSE)</f>
        <v>Village</v>
      </c>
      <c r="BW188" s="705">
        <f>VLOOKUP(WWWW[[#This Row],[Village  Name]],SiteDB6[[Site Name]:[Ethnic or GCA/NGCA]],11,FALSE)</f>
        <v>0</v>
      </c>
      <c r="BX188" s="705">
        <f>VLOOKUP(WWWW[[#This Row],[Village  Name]],SiteDB6[[Site Name]:[Lat]],12,FALSE)</f>
        <v>0</v>
      </c>
      <c r="BY188" s="705">
        <f>VLOOKUP(WWWW[[#This Row],[Village  Name]],SiteDB6[[Site Name]:[Long]],13,FALSE)</f>
        <v>0</v>
      </c>
      <c r="BZ188" s="705">
        <f>VLOOKUP(WWWW[[#This Row],[Village  Name]],SiteDB6[[Site Name]:[Pcode]],3,FALSE)</f>
        <v>0</v>
      </c>
      <c r="CA188" s="705" t="str">
        <f t="shared" si="10"/>
        <v>Covered</v>
      </c>
      <c r="CB188" s="715"/>
    </row>
    <row r="189" spans="1:80">
      <c r="A189" s="774" t="s">
        <v>3150</v>
      </c>
      <c r="B189" s="703" t="s">
        <v>2812</v>
      </c>
      <c r="C189" s="703" t="s">
        <v>2812</v>
      </c>
      <c r="D189" s="704" t="s">
        <v>3176</v>
      </c>
      <c r="E189" s="704" t="s">
        <v>36</v>
      </c>
      <c r="F189" s="704" t="s">
        <v>132</v>
      </c>
      <c r="G189" s="705" t="str">
        <f>VLOOKUP(WWWW[[#This Row],[Village  Name]],SiteDB6[[Site Name]:[Location Type]],8,FALSE)</f>
        <v>Village</v>
      </c>
      <c r="H189" s="704" t="s">
        <v>3184</v>
      </c>
      <c r="I189" s="706">
        <v>59</v>
      </c>
      <c r="J189" s="706">
        <v>305</v>
      </c>
      <c r="K189" s="707">
        <v>43081</v>
      </c>
      <c r="L189" s="708">
        <v>44104</v>
      </c>
      <c r="M189" s="706"/>
      <c r="N189" s="706"/>
      <c r="O189" s="524">
        <v>1</v>
      </c>
      <c r="P189" s="706"/>
      <c r="Q189" s="706"/>
      <c r="R189" s="706"/>
      <c r="S189" s="706"/>
      <c r="T189" s="706"/>
      <c r="U189" s="709"/>
      <c r="V189" s="706"/>
      <c r="W189" s="706"/>
      <c r="X189" s="706"/>
      <c r="Y189" s="706"/>
      <c r="Z189" s="706"/>
      <c r="AA189" s="706"/>
      <c r="AB189" s="706"/>
      <c r="AC189" s="709"/>
      <c r="AD189" s="706">
        <v>3</v>
      </c>
      <c r="AE189" s="706">
        <v>10</v>
      </c>
      <c r="AF189" s="706"/>
      <c r="AG189" s="706"/>
      <c r="AH189" s="706"/>
      <c r="AI189" s="706"/>
      <c r="AJ189" s="524"/>
      <c r="AK189" s="706"/>
      <c r="AL189" s="524"/>
      <c r="AM189" s="524"/>
      <c r="AN189" s="709"/>
      <c r="AO189" s="477"/>
      <c r="AP189" s="477"/>
      <c r="AQ189" s="524"/>
      <c r="AR189" s="524"/>
      <c r="AS189" s="524"/>
      <c r="AT189"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89" s="711">
        <f>WWWW[[#This Row],[%Equitable and continuous access to sufficient quantity of safe drinking water]]*WWWW[[#This Row],[Total PoP ]]</f>
        <v>305</v>
      </c>
      <c r="AV189"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89" s="711">
        <f>WWWW[[#This Row],[% Access to unimproved water points]]*WWWW[[#This Row],[Total PoP ]]</f>
        <v>0</v>
      </c>
      <c r="AX189"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89"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305</v>
      </c>
      <c r="AZ189" s="711">
        <f>WWWW[[#This Row],[HRP1]]/250</f>
        <v>1.22</v>
      </c>
      <c r="BA189" s="713">
        <f>1-WWWW[[#This Row],[% Equitable and continuous access to sufficient quantity of domestic water]]</f>
        <v>0</v>
      </c>
      <c r="BB189" s="711">
        <f>WWWW[[#This Row],[%equitable and continuous access to sufficient quantity of safe drinking and domestic water''s GAP]]*WWWW[[#This Row],[Total PoP ]]</f>
        <v>0</v>
      </c>
      <c r="BC189" s="714">
        <f>IF(WWWW[[#This Row],[Total required water points]]-WWWW[[#This Row],['#Water points coverage]]&lt;0,0,WWWW[[#This Row],[Total required water points]]-WWWW[[#This Row],['#Water points coverage]])</f>
        <v>0</v>
      </c>
      <c r="BD189" s="714">
        <f>ROUND(IF(WWWW[[#This Row],[Total PoP ]]&lt;250,1,WWWW[[#This Row],[Total PoP ]]/250),0)</f>
        <v>1</v>
      </c>
      <c r="BE18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89" s="711">
        <f>WWWW[[#This Row],[% people access to functioning Latrine]]*WWWW[[#This Row],[Total PoP ]]</f>
        <v>0</v>
      </c>
      <c r="BG189" s="714">
        <f>WWWW[[#This Row],['#_of_Functioning_latrines_in_school]]*50</f>
        <v>0</v>
      </c>
      <c r="BH189" s="714">
        <f>ROUND((WWWW[[#This Row],[Total PoP ]]/6),0)</f>
        <v>51</v>
      </c>
      <c r="BI189" s="714">
        <f>IF(WWWW[[#This Row],[Total required Latrines]]-(WWWW[[#This Row],['#_of_sanitary_fly-proof_HH_latrines]])&lt;0,0,WWWW[[#This Row],[Total required Latrines]]-(WWWW[[#This Row],['#_of_sanitary_fly-proof_HH_latrines]]))</f>
        <v>51</v>
      </c>
      <c r="BJ189" s="710">
        <f>1-WWWW[[#This Row],[% people access to functioning Latrine]]</f>
        <v>1</v>
      </c>
      <c r="BK189"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13</v>
      </c>
      <c r="BL189" s="483">
        <f>IF(WWWW[[#This Row],['#_of_functional_handwashing_facilities_at_HH_level]]*6&gt;WWWW[[#This Row],[Total PoP ]],WWWW[[#This Row],[Total PoP ]],WWWW[[#This Row],['#_of_functional_handwashing_facilities_at_HH_level]]*6)</f>
        <v>0</v>
      </c>
      <c r="BM189" s="714">
        <f>IF(WWWW[[#This Row],['# people reached by regular dedicated hygiene promotion]]&gt;WWWW[[#This Row],['# People received regular supply of hygiene items]],WWWW[[#This Row],['# people reached by regular dedicated hygiene promotion]],WWWW[[#This Row],['# People received regular supply of hygiene items]])</f>
        <v>13</v>
      </c>
      <c r="BN189" s="713">
        <f>IF(WWWW[[#This Row],[HRP3]]/WWWW[[#This Row],[Total PoP ]]&gt;100%,100%,WWWW[[#This Row],[HRP3]]/WWWW[[#This Row],[Total PoP ]])</f>
        <v>4.2622950819672129E-2</v>
      </c>
      <c r="BO189" s="710">
        <f>1-WWWW[[#This Row],[Hygiene Coverage%]]</f>
        <v>0.95737704918032784</v>
      </c>
      <c r="BP189" s="712">
        <f>WWWW[[#This Row],['# people reached by regular dedicated hygiene promotion]]/WWWW[[#This Row],[Total PoP ]]</f>
        <v>4.2622950819672129E-2</v>
      </c>
      <c r="BQ18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89" s="478">
        <f>WWWW[[#This Row],['#_of_affected_women_and_girls_receiving_a_sufficient_quantity_of_sanitary_pads]]</f>
        <v>0</v>
      </c>
      <c r="BS189" s="524">
        <f>IF(WWWW[[#This Row],['# People with access to soap]]&gt;WWWW[[#This Row],['# People with access to Sanity Pads]],WWWW[[#This Row],['# People with access to soap]],WWWW[[#This Row],['# People with access to Sanity Pads]])</f>
        <v>0</v>
      </c>
      <c r="BT189" s="483" t="str">
        <f>IF(OR(WWWW[[#This Row],['#of students in school]]="",WWWW[[#This Row],['#of students in school]]=0),"No","Yes")</f>
        <v>No</v>
      </c>
      <c r="BU189" s="705" t="str">
        <f>VLOOKUP(WWWW[[#This Row],[Village  Name]],SiteDB6[[Site Name]:[Location Type 1]],9,FALSE)</f>
        <v>Village</v>
      </c>
      <c r="BV189" s="705" t="str">
        <f>VLOOKUP(WWWW[[#This Row],[Village  Name]],SiteDB6[[Site Name]:[Type of Accommodation]],10,FALSE)</f>
        <v>Village</v>
      </c>
      <c r="BW189" s="705">
        <f>VLOOKUP(WWWW[[#This Row],[Village  Name]],SiteDB6[[Site Name]:[Ethnic or GCA/NGCA]],11,FALSE)</f>
        <v>0</v>
      </c>
      <c r="BX189" s="705">
        <f>VLOOKUP(WWWW[[#This Row],[Village  Name]],SiteDB6[[Site Name]:[Lat]],12,FALSE)</f>
        <v>0</v>
      </c>
      <c r="BY189" s="705">
        <f>VLOOKUP(WWWW[[#This Row],[Village  Name]],SiteDB6[[Site Name]:[Long]],13,FALSE)</f>
        <v>0</v>
      </c>
      <c r="BZ189" s="705">
        <f>VLOOKUP(WWWW[[#This Row],[Village  Name]],SiteDB6[[Site Name]:[Pcode]],3,FALSE)</f>
        <v>0</v>
      </c>
      <c r="CA189" s="705" t="str">
        <f t="shared" si="10"/>
        <v>Covered</v>
      </c>
      <c r="CB189" s="715"/>
    </row>
    <row r="190" spans="1:80">
      <c r="A190" s="774" t="s">
        <v>3150</v>
      </c>
      <c r="B190" s="703" t="s">
        <v>2812</v>
      </c>
      <c r="C190" s="703" t="s">
        <v>2812</v>
      </c>
      <c r="D190" s="704" t="s">
        <v>3176</v>
      </c>
      <c r="E190" s="704" t="s">
        <v>36</v>
      </c>
      <c r="F190" s="704" t="s">
        <v>132</v>
      </c>
      <c r="G190" s="705" t="str">
        <f>VLOOKUP(WWWW[[#This Row],[Village  Name]],SiteDB6[[Site Name]:[Location Type]],8,FALSE)</f>
        <v>Village</v>
      </c>
      <c r="H190" s="704" t="s">
        <v>3185</v>
      </c>
      <c r="I190" s="706">
        <v>72</v>
      </c>
      <c r="J190" s="706">
        <v>346</v>
      </c>
      <c r="K190" s="707">
        <v>43081</v>
      </c>
      <c r="L190" s="708">
        <v>44104</v>
      </c>
      <c r="M190" s="706"/>
      <c r="N190" s="706"/>
      <c r="O190" s="524"/>
      <c r="P190" s="706"/>
      <c r="Q190" s="706"/>
      <c r="R190" s="706"/>
      <c r="S190" s="706"/>
      <c r="T190" s="706"/>
      <c r="U190" s="709"/>
      <c r="V190" s="706">
        <v>25</v>
      </c>
      <c r="W190" s="706"/>
      <c r="X190" s="706"/>
      <c r="Y190" s="706"/>
      <c r="Z190" s="706"/>
      <c r="AA190" s="706"/>
      <c r="AB190" s="706"/>
      <c r="AC190" s="709"/>
      <c r="AD190" s="706">
        <v>5</v>
      </c>
      <c r="AE190" s="706">
        <v>20</v>
      </c>
      <c r="AF190" s="706"/>
      <c r="AG190" s="706"/>
      <c r="AH190" s="706"/>
      <c r="AI190" s="706"/>
      <c r="AJ190" s="524"/>
      <c r="AK190" s="706"/>
      <c r="AL190" s="524"/>
      <c r="AM190" s="524"/>
      <c r="AN190" s="709"/>
      <c r="AO190" s="477"/>
      <c r="AP190" s="477"/>
      <c r="AQ190" s="524"/>
      <c r="AR190" s="524"/>
      <c r="AS190" s="524"/>
      <c r="AT190"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90" s="711">
        <f>WWWW[[#This Row],[%Equitable and continuous access to sufficient quantity of safe drinking water]]*WWWW[[#This Row],[Total PoP ]]</f>
        <v>0</v>
      </c>
      <c r="AV190"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90" s="711">
        <f>WWWW[[#This Row],[% Access to unimproved water points]]*WWWW[[#This Row],[Total PoP ]]</f>
        <v>0</v>
      </c>
      <c r="AX190"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90"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90" s="711">
        <f>WWWW[[#This Row],[HRP1]]/250</f>
        <v>0</v>
      </c>
      <c r="BA190" s="713">
        <f>1-WWWW[[#This Row],[% Equitable and continuous access to sufficient quantity of domestic water]]</f>
        <v>1</v>
      </c>
      <c r="BB190" s="711">
        <f>WWWW[[#This Row],[%equitable and continuous access to sufficient quantity of safe drinking and domestic water''s GAP]]*WWWW[[#This Row],[Total PoP ]]</f>
        <v>346</v>
      </c>
      <c r="BC190" s="714">
        <f>IF(WWWW[[#This Row],[Total required water points]]-WWWW[[#This Row],['#Water points coverage]]&lt;0,0,WWWW[[#This Row],[Total required water points]]-WWWW[[#This Row],['#Water points coverage]])</f>
        <v>1</v>
      </c>
      <c r="BD190" s="714">
        <f>ROUND(IF(WWWW[[#This Row],[Total PoP ]]&lt;250,1,WWWW[[#This Row],[Total PoP ]]/250),0)</f>
        <v>1</v>
      </c>
      <c r="BE19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0.43352601156069365</v>
      </c>
      <c r="BF190" s="711">
        <f>WWWW[[#This Row],[% people access to functioning Latrine]]*WWWW[[#This Row],[Total PoP ]]</f>
        <v>150</v>
      </c>
      <c r="BG190" s="714">
        <f>WWWW[[#This Row],['#_of_Functioning_latrines_in_school]]*50</f>
        <v>0</v>
      </c>
      <c r="BH190" s="714">
        <f>ROUND((WWWW[[#This Row],[Total PoP ]]/6),0)</f>
        <v>58</v>
      </c>
      <c r="BI190" s="714">
        <f>IF(WWWW[[#This Row],[Total required Latrines]]-(WWWW[[#This Row],['#_of_sanitary_fly-proof_HH_latrines]])&lt;0,0,WWWW[[#This Row],[Total required Latrines]]-(WWWW[[#This Row],['#_of_sanitary_fly-proof_HH_latrines]]))</f>
        <v>33</v>
      </c>
      <c r="BJ190" s="710">
        <f>1-WWWW[[#This Row],[% people access to functioning Latrine]]</f>
        <v>0.56647398843930641</v>
      </c>
      <c r="BK190"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v>
      </c>
      <c r="BL190" s="483">
        <f>IF(WWWW[[#This Row],['#_of_functional_handwashing_facilities_at_HH_level]]*6&gt;WWWW[[#This Row],[Total PoP ]],WWWW[[#This Row],[Total PoP ]],WWWW[[#This Row],['#_of_functional_handwashing_facilities_at_HH_level]]*6)</f>
        <v>0</v>
      </c>
      <c r="BM190" s="714">
        <f>IF(WWWW[[#This Row],['# people reached by regular dedicated hygiene promotion]]&gt;WWWW[[#This Row],['# People received regular supply of hygiene items]],WWWW[[#This Row],['# people reached by regular dedicated hygiene promotion]],WWWW[[#This Row],['# People received regular supply of hygiene items]])</f>
        <v>25</v>
      </c>
      <c r="BN190" s="713">
        <f>IF(WWWW[[#This Row],[HRP3]]/WWWW[[#This Row],[Total PoP ]]&gt;100%,100%,WWWW[[#This Row],[HRP3]]/WWWW[[#This Row],[Total PoP ]])</f>
        <v>7.2254335260115612E-2</v>
      </c>
      <c r="BO190" s="710">
        <f>1-WWWW[[#This Row],[Hygiene Coverage%]]</f>
        <v>0.9277456647398844</v>
      </c>
      <c r="BP190" s="712">
        <f>WWWW[[#This Row],['# people reached by regular dedicated hygiene promotion]]/WWWW[[#This Row],[Total PoP ]]</f>
        <v>7.2254335260115612E-2</v>
      </c>
      <c r="BQ19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90" s="478">
        <f>WWWW[[#This Row],['#_of_affected_women_and_girls_receiving_a_sufficient_quantity_of_sanitary_pads]]</f>
        <v>0</v>
      </c>
      <c r="BS190" s="524">
        <f>IF(WWWW[[#This Row],['# People with access to soap]]&gt;WWWW[[#This Row],['# People with access to Sanity Pads]],WWWW[[#This Row],['# People with access to soap]],WWWW[[#This Row],['# People with access to Sanity Pads]])</f>
        <v>0</v>
      </c>
      <c r="BT190" s="483" t="str">
        <f>IF(OR(WWWW[[#This Row],['#of students in school]]="",WWWW[[#This Row],['#of students in school]]=0),"No","Yes")</f>
        <v>No</v>
      </c>
      <c r="BU190" s="705" t="str">
        <f>VLOOKUP(WWWW[[#This Row],[Village  Name]],SiteDB6[[Site Name]:[Location Type 1]],9,FALSE)</f>
        <v>Village</v>
      </c>
      <c r="BV190" s="705" t="str">
        <f>VLOOKUP(WWWW[[#This Row],[Village  Name]],SiteDB6[[Site Name]:[Type of Accommodation]],10,FALSE)</f>
        <v>Village</v>
      </c>
      <c r="BW190" s="705">
        <f>VLOOKUP(WWWW[[#This Row],[Village  Name]],SiteDB6[[Site Name]:[Ethnic or GCA/NGCA]],11,FALSE)</f>
        <v>0</v>
      </c>
      <c r="BX190" s="705">
        <f>VLOOKUP(WWWW[[#This Row],[Village  Name]],SiteDB6[[Site Name]:[Lat]],12,FALSE)</f>
        <v>0</v>
      </c>
      <c r="BY190" s="705">
        <f>VLOOKUP(WWWW[[#This Row],[Village  Name]],SiteDB6[[Site Name]:[Long]],13,FALSE)</f>
        <v>0</v>
      </c>
      <c r="BZ190" s="705">
        <f>VLOOKUP(WWWW[[#This Row],[Village  Name]],SiteDB6[[Site Name]:[Pcode]],3,FALSE)</f>
        <v>0</v>
      </c>
      <c r="CA190" s="705" t="str">
        <f t="shared" si="10"/>
        <v>Covered</v>
      </c>
      <c r="CB190" s="715"/>
    </row>
    <row r="191" spans="1:80">
      <c r="A191" s="774" t="s">
        <v>3150</v>
      </c>
      <c r="B191" s="703" t="s">
        <v>2812</v>
      </c>
      <c r="C191" s="703" t="s">
        <v>2812</v>
      </c>
      <c r="D191" s="704" t="s">
        <v>3176</v>
      </c>
      <c r="E191" s="704" t="s">
        <v>36</v>
      </c>
      <c r="F191" s="704" t="s">
        <v>132</v>
      </c>
      <c r="G191" s="705" t="str">
        <f>VLOOKUP(WWWW[[#This Row],[Village  Name]],SiteDB6[[Site Name]:[Location Type]],8,FALSE)</f>
        <v>Village</v>
      </c>
      <c r="H191" s="704" t="s">
        <v>3186</v>
      </c>
      <c r="I191" s="706">
        <v>44</v>
      </c>
      <c r="J191" s="706">
        <v>241</v>
      </c>
      <c r="K191" s="707">
        <v>43081</v>
      </c>
      <c r="L191" s="708">
        <v>44104</v>
      </c>
      <c r="M191" s="706"/>
      <c r="N191" s="706"/>
      <c r="O191" s="524">
        <v>1</v>
      </c>
      <c r="P191" s="706"/>
      <c r="Q191" s="706"/>
      <c r="R191" s="706"/>
      <c r="S191" s="706"/>
      <c r="T191" s="706"/>
      <c r="U191" s="709"/>
      <c r="V191" s="706"/>
      <c r="W191" s="706"/>
      <c r="X191" s="706"/>
      <c r="Y191" s="706"/>
      <c r="Z191" s="706"/>
      <c r="AA191" s="706"/>
      <c r="AB191" s="706"/>
      <c r="AC191" s="709"/>
      <c r="AD191" s="706">
        <v>3</v>
      </c>
      <c r="AE191" s="706">
        <v>10</v>
      </c>
      <c r="AF191" s="706"/>
      <c r="AG191" s="706"/>
      <c r="AH191" s="706"/>
      <c r="AI191" s="706"/>
      <c r="AJ191" s="524"/>
      <c r="AK191" s="706"/>
      <c r="AL191" s="524"/>
      <c r="AM191" s="524"/>
      <c r="AN191" s="709"/>
      <c r="AO191" s="477"/>
      <c r="AP191" s="477"/>
      <c r="AQ191" s="524"/>
      <c r="AR191" s="524"/>
      <c r="AS191" s="524"/>
      <c r="AT191"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91" s="711">
        <f>WWWW[[#This Row],[%Equitable and continuous access to sufficient quantity of safe drinking water]]*WWWW[[#This Row],[Total PoP ]]</f>
        <v>241</v>
      </c>
      <c r="AV191"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91" s="711">
        <f>WWWW[[#This Row],[% Access to unimproved water points]]*WWWW[[#This Row],[Total PoP ]]</f>
        <v>0</v>
      </c>
      <c r="AX191"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91"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241</v>
      </c>
      <c r="AZ191" s="711">
        <f>WWWW[[#This Row],[HRP1]]/250</f>
        <v>0.96399999999999997</v>
      </c>
      <c r="BA191" s="713">
        <f>1-WWWW[[#This Row],[% Equitable and continuous access to sufficient quantity of domestic water]]</f>
        <v>0</v>
      </c>
      <c r="BB191" s="711">
        <f>WWWW[[#This Row],[%equitable and continuous access to sufficient quantity of safe drinking and domestic water''s GAP]]*WWWW[[#This Row],[Total PoP ]]</f>
        <v>0</v>
      </c>
      <c r="BC191" s="714">
        <f>IF(WWWW[[#This Row],[Total required water points]]-WWWW[[#This Row],['#Water points coverage]]&lt;0,0,WWWW[[#This Row],[Total required water points]]-WWWW[[#This Row],['#Water points coverage]])</f>
        <v>3.6000000000000032E-2</v>
      </c>
      <c r="BD191" s="714">
        <f>ROUND(IF(WWWW[[#This Row],[Total PoP ]]&lt;250,1,WWWW[[#This Row],[Total PoP ]]/250),0)</f>
        <v>1</v>
      </c>
      <c r="BE19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91" s="711">
        <f>WWWW[[#This Row],[% people access to functioning Latrine]]*WWWW[[#This Row],[Total PoP ]]</f>
        <v>0</v>
      </c>
      <c r="BG191" s="714">
        <f>WWWW[[#This Row],['#_of_Functioning_latrines_in_school]]*50</f>
        <v>0</v>
      </c>
      <c r="BH191" s="714">
        <f>ROUND((WWWW[[#This Row],[Total PoP ]]/6),0)</f>
        <v>40</v>
      </c>
      <c r="BI191" s="714">
        <f>IF(WWWW[[#This Row],[Total required Latrines]]-(WWWW[[#This Row],['#_of_sanitary_fly-proof_HH_latrines]])&lt;0,0,WWWW[[#This Row],[Total required Latrines]]-(WWWW[[#This Row],['#_of_sanitary_fly-proof_HH_latrines]]))</f>
        <v>40</v>
      </c>
      <c r="BJ191" s="710">
        <f>1-WWWW[[#This Row],[% people access to functioning Latrine]]</f>
        <v>1</v>
      </c>
      <c r="BK191"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13</v>
      </c>
      <c r="BL191" s="483">
        <f>IF(WWWW[[#This Row],['#_of_functional_handwashing_facilities_at_HH_level]]*6&gt;WWWW[[#This Row],[Total PoP ]],WWWW[[#This Row],[Total PoP ]],WWWW[[#This Row],['#_of_functional_handwashing_facilities_at_HH_level]]*6)</f>
        <v>0</v>
      </c>
      <c r="BM191" s="714">
        <f>IF(WWWW[[#This Row],['# people reached by regular dedicated hygiene promotion]]&gt;WWWW[[#This Row],['# People received regular supply of hygiene items]],WWWW[[#This Row],['# people reached by regular dedicated hygiene promotion]],WWWW[[#This Row],['# People received regular supply of hygiene items]])</f>
        <v>13</v>
      </c>
      <c r="BN191" s="713">
        <f>IF(WWWW[[#This Row],[HRP3]]/WWWW[[#This Row],[Total PoP ]]&gt;100%,100%,WWWW[[#This Row],[HRP3]]/WWWW[[#This Row],[Total PoP ]])</f>
        <v>5.3941908713692949E-2</v>
      </c>
      <c r="BO191" s="710">
        <f>1-WWWW[[#This Row],[Hygiene Coverage%]]</f>
        <v>0.94605809128630702</v>
      </c>
      <c r="BP191" s="712">
        <f>WWWW[[#This Row],['# people reached by regular dedicated hygiene promotion]]/WWWW[[#This Row],[Total PoP ]]</f>
        <v>5.3941908713692949E-2</v>
      </c>
      <c r="BQ19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91" s="478">
        <f>WWWW[[#This Row],['#_of_affected_women_and_girls_receiving_a_sufficient_quantity_of_sanitary_pads]]</f>
        <v>0</v>
      </c>
      <c r="BS191" s="524">
        <f>IF(WWWW[[#This Row],['# People with access to soap]]&gt;WWWW[[#This Row],['# People with access to Sanity Pads]],WWWW[[#This Row],['# People with access to soap]],WWWW[[#This Row],['# People with access to Sanity Pads]])</f>
        <v>0</v>
      </c>
      <c r="BT191" s="483" t="str">
        <f>IF(OR(WWWW[[#This Row],['#of students in school]]="",WWWW[[#This Row],['#of students in school]]=0),"No","Yes")</f>
        <v>No</v>
      </c>
      <c r="BU191" s="705" t="str">
        <f>VLOOKUP(WWWW[[#This Row],[Village  Name]],SiteDB6[[Site Name]:[Location Type 1]],9,FALSE)</f>
        <v>Village</v>
      </c>
      <c r="BV191" s="705" t="str">
        <f>VLOOKUP(WWWW[[#This Row],[Village  Name]],SiteDB6[[Site Name]:[Type of Accommodation]],10,FALSE)</f>
        <v>Village</v>
      </c>
      <c r="BW191" s="705">
        <f>VLOOKUP(WWWW[[#This Row],[Village  Name]],SiteDB6[[Site Name]:[Ethnic or GCA/NGCA]],11,FALSE)</f>
        <v>0</v>
      </c>
      <c r="BX191" s="705">
        <f>VLOOKUP(WWWW[[#This Row],[Village  Name]],SiteDB6[[Site Name]:[Lat]],12,FALSE)</f>
        <v>0</v>
      </c>
      <c r="BY191" s="705">
        <f>VLOOKUP(WWWW[[#This Row],[Village  Name]],SiteDB6[[Site Name]:[Long]],13,FALSE)</f>
        <v>0</v>
      </c>
      <c r="BZ191" s="705">
        <f>VLOOKUP(WWWW[[#This Row],[Village  Name]],SiteDB6[[Site Name]:[Pcode]],3,FALSE)</f>
        <v>0</v>
      </c>
      <c r="CA191" s="705" t="str">
        <f t="shared" si="10"/>
        <v>Covered</v>
      </c>
      <c r="CB191" s="715"/>
    </row>
    <row r="192" spans="1:80">
      <c r="A192" s="774" t="s">
        <v>3150</v>
      </c>
      <c r="B192" s="703" t="s">
        <v>2812</v>
      </c>
      <c r="C192" s="703" t="s">
        <v>2812</v>
      </c>
      <c r="D192" s="704" t="s">
        <v>3176</v>
      </c>
      <c r="E192" s="704" t="s">
        <v>36</v>
      </c>
      <c r="F192" s="704" t="s">
        <v>132</v>
      </c>
      <c r="G192" s="705" t="str">
        <f>VLOOKUP(WWWW[[#This Row],[Village  Name]],SiteDB6[[Site Name]:[Location Type]],8,FALSE)</f>
        <v>Village</v>
      </c>
      <c r="H192" s="704" t="s">
        <v>3187</v>
      </c>
      <c r="I192" s="706">
        <v>30</v>
      </c>
      <c r="J192" s="706">
        <v>148</v>
      </c>
      <c r="K192" s="707">
        <v>43081</v>
      </c>
      <c r="L192" s="708">
        <v>44104</v>
      </c>
      <c r="M192" s="706"/>
      <c r="N192" s="706"/>
      <c r="O192" s="524"/>
      <c r="P192" s="706"/>
      <c r="Q192" s="706"/>
      <c r="R192" s="706"/>
      <c r="S192" s="706"/>
      <c r="T192" s="706"/>
      <c r="U192" s="709"/>
      <c r="V192" s="706">
        <v>24</v>
      </c>
      <c r="W192" s="706"/>
      <c r="X192" s="706"/>
      <c r="Y192" s="706"/>
      <c r="Z192" s="706"/>
      <c r="AA192" s="706"/>
      <c r="AB192" s="706"/>
      <c r="AC192" s="709"/>
      <c r="AD192" s="706"/>
      <c r="AE192" s="706">
        <v>20</v>
      </c>
      <c r="AF192" s="706"/>
      <c r="AG192" s="706"/>
      <c r="AH192" s="706"/>
      <c r="AI192" s="706"/>
      <c r="AJ192" s="524"/>
      <c r="AK192" s="706"/>
      <c r="AL192" s="524"/>
      <c r="AM192" s="524"/>
      <c r="AN192" s="709"/>
      <c r="AO192" s="477"/>
      <c r="AP192" s="477"/>
      <c r="AQ192" s="524"/>
      <c r="AR192" s="524"/>
      <c r="AS192" s="524"/>
      <c r="AT192"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92" s="711">
        <f>WWWW[[#This Row],[%Equitable and continuous access to sufficient quantity of safe drinking water]]*WWWW[[#This Row],[Total PoP ]]</f>
        <v>0</v>
      </c>
      <c r="AV192"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92" s="711">
        <f>WWWW[[#This Row],[% Access to unimproved water points]]*WWWW[[#This Row],[Total PoP ]]</f>
        <v>0</v>
      </c>
      <c r="AX192"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92"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92" s="711">
        <f>WWWW[[#This Row],[HRP1]]/250</f>
        <v>0</v>
      </c>
      <c r="BA192" s="713">
        <f>1-WWWW[[#This Row],[% Equitable and continuous access to sufficient quantity of domestic water]]</f>
        <v>1</v>
      </c>
      <c r="BB192" s="711">
        <f>WWWW[[#This Row],[%equitable and continuous access to sufficient quantity of safe drinking and domestic water''s GAP]]*WWWW[[#This Row],[Total PoP ]]</f>
        <v>148</v>
      </c>
      <c r="BC192" s="714">
        <f>IF(WWWW[[#This Row],[Total required water points]]-WWWW[[#This Row],['#Water points coverage]]&lt;0,0,WWWW[[#This Row],[Total required water points]]-WWWW[[#This Row],['#Water points coverage]])</f>
        <v>1</v>
      </c>
      <c r="BD192" s="714">
        <f>ROUND(IF(WWWW[[#This Row],[Total PoP ]]&lt;250,1,WWWW[[#This Row],[Total PoP ]]/250),0)</f>
        <v>1</v>
      </c>
      <c r="BE192"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0.97297297297297303</v>
      </c>
      <c r="BF192" s="711">
        <f>WWWW[[#This Row],[% people access to functioning Latrine]]*WWWW[[#This Row],[Total PoP ]]</f>
        <v>144</v>
      </c>
      <c r="BG192" s="714">
        <f>WWWW[[#This Row],['#_of_Functioning_latrines_in_school]]*50</f>
        <v>0</v>
      </c>
      <c r="BH192" s="714">
        <f>ROUND((WWWW[[#This Row],[Total PoP ]]/6),0)</f>
        <v>25</v>
      </c>
      <c r="BI192" s="714">
        <f>IF(WWWW[[#This Row],[Total required Latrines]]-(WWWW[[#This Row],['#_of_sanitary_fly-proof_HH_latrines]])&lt;0,0,WWWW[[#This Row],[Total required Latrines]]-(WWWW[[#This Row],['#_of_sanitary_fly-proof_HH_latrines]]))</f>
        <v>1</v>
      </c>
      <c r="BJ192" s="710">
        <f>1-WWWW[[#This Row],[% people access to functioning Latrine]]</f>
        <v>2.7027027027026973E-2</v>
      </c>
      <c r="BK192"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20</v>
      </c>
      <c r="BL192" s="483">
        <f>IF(WWWW[[#This Row],['#_of_functional_handwashing_facilities_at_HH_level]]*6&gt;WWWW[[#This Row],[Total PoP ]],WWWW[[#This Row],[Total PoP ]],WWWW[[#This Row],['#_of_functional_handwashing_facilities_at_HH_level]]*6)</f>
        <v>0</v>
      </c>
      <c r="BM192" s="714">
        <f>IF(WWWW[[#This Row],['# people reached by regular dedicated hygiene promotion]]&gt;WWWW[[#This Row],['# People received regular supply of hygiene items]],WWWW[[#This Row],['# people reached by regular dedicated hygiene promotion]],WWWW[[#This Row],['# People received regular supply of hygiene items]])</f>
        <v>20</v>
      </c>
      <c r="BN192" s="713">
        <f>IF(WWWW[[#This Row],[HRP3]]/WWWW[[#This Row],[Total PoP ]]&gt;100%,100%,WWWW[[#This Row],[HRP3]]/WWWW[[#This Row],[Total PoP ]])</f>
        <v>0.13513513513513514</v>
      </c>
      <c r="BO192" s="710">
        <f>1-WWWW[[#This Row],[Hygiene Coverage%]]</f>
        <v>0.86486486486486491</v>
      </c>
      <c r="BP192" s="712">
        <f>WWWW[[#This Row],['# people reached by regular dedicated hygiene promotion]]/WWWW[[#This Row],[Total PoP ]]</f>
        <v>0.13513513513513514</v>
      </c>
      <c r="BQ192"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92" s="478">
        <f>WWWW[[#This Row],['#_of_affected_women_and_girls_receiving_a_sufficient_quantity_of_sanitary_pads]]</f>
        <v>0</v>
      </c>
      <c r="BS192" s="524">
        <f>IF(WWWW[[#This Row],['# People with access to soap]]&gt;WWWW[[#This Row],['# People with access to Sanity Pads]],WWWW[[#This Row],['# People with access to soap]],WWWW[[#This Row],['# People with access to Sanity Pads]])</f>
        <v>0</v>
      </c>
      <c r="BT192" s="483" t="str">
        <f>IF(OR(WWWW[[#This Row],['#of students in school]]="",WWWW[[#This Row],['#of students in school]]=0),"No","Yes")</f>
        <v>No</v>
      </c>
      <c r="BU192" s="705" t="str">
        <f>VLOOKUP(WWWW[[#This Row],[Village  Name]],SiteDB6[[Site Name]:[Location Type 1]],9,FALSE)</f>
        <v>Village</v>
      </c>
      <c r="BV192" s="705" t="str">
        <f>VLOOKUP(WWWW[[#This Row],[Village  Name]],SiteDB6[[Site Name]:[Type of Accommodation]],10,FALSE)</f>
        <v>Village</v>
      </c>
      <c r="BW192" s="705">
        <f>VLOOKUP(WWWW[[#This Row],[Village  Name]],SiteDB6[[Site Name]:[Ethnic or GCA/NGCA]],11,FALSE)</f>
        <v>0</v>
      </c>
      <c r="BX192" s="705">
        <f>VLOOKUP(WWWW[[#This Row],[Village  Name]],SiteDB6[[Site Name]:[Lat]],12,FALSE)</f>
        <v>0</v>
      </c>
      <c r="BY192" s="705">
        <f>VLOOKUP(WWWW[[#This Row],[Village  Name]],SiteDB6[[Site Name]:[Long]],13,FALSE)</f>
        <v>0</v>
      </c>
      <c r="BZ192" s="705">
        <f>VLOOKUP(WWWW[[#This Row],[Village  Name]],SiteDB6[[Site Name]:[Pcode]],3,FALSE)</f>
        <v>0</v>
      </c>
      <c r="CA192" s="705" t="str">
        <f t="shared" si="10"/>
        <v>Covered</v>
      </c>
      <c r="CB192" s="715"/>
    </row>
    <row r="193" spans="1:96">
      <c r="A193" s="774" t="s">
        <v>3150</v>
      </c>
      <c r="B193" s="703" t="s">
        <v>2812</v>
      </c>
      <c r="C193" s="703" t="s">
        <v>2812</v>
      </c>
      <c r="D193" s="704" t="s">
        <v>3176</v>
      </c>
      <c r="E193" s="704" t="s">
        <v>36</v>
      </c>
      <c r="F193" s="704" t="s">
        <v>132</v>
      </c>
      <c r="G193" s="705" t="str">
        <f>VLOOKUP(WWWW[[#This Row],[Village  Name]],SiteDB6[[Site Name]:[Location Type]],8,FALSE)</f>
        <v>Village</v>
      </c>
      <c r="H193" s="704" t="s">
        <v>3188</v>
      </c>
      <c r="I193" s="706">
        <v>47</v>
      </c>
      <c r="J193" s="706">
        <v>233</v>
      </c>
      <c r="K193" s="707">
        <v>43081</v>
      </c>
      <c r="L193" s="708">
        <v>44104</v>
      </c>
      <c r="M193" s="706"/>
      <c r="N193" s="706"/>
      <c r="O193" s="524"/>
      <c r="P193" s="706"/>
      <c r="Q193" s="706"/>
      <c r="R193" s="706"/>
      <c r="S193" s="706"/>
      <c r="T193" s="706"/>
      <c r="U193" s="709"/>
      <c r="V193" s="706"/>
      <c r="W193" s="706"/>
      <c r="X193" s="706"/>
      <c r="Y193" s="706"/>
      <c r="Z193" s="706"/>
      <c r="AA193" s="706"/>
      <c r="AB193" s="706"/>
      <c r="AC193" s="709"/>
      <c r="AD193" s="706">
        <v>1</v>
      </c>
      <c r="AE193" s="706">
        <v>21</v>
      </c>
      <c r="AF193" s="706"/>
      <c r="AG193" s="706"/>
      <c r="AH193" s="706"/>
      <c r="AI193" s="706"/>
      <c r="AJ193" s="524"/>
      <c r="AK193" s="706"/>
      <c r="AL193" s="524"/>
      <c r="AM193" s="524"/>
      <c r="AN193" s="709"/>
      <c r="AO193" s="477"/>
      <c r="AP193" s="477"/>
      <c r="AQ193" s="524"/>
      <c r="AR193" s="524"/>
      <c r="AS193" s="524"/>
      <c r="AT193"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93" s="711">
        <f>WWWW[[#This Row],[%Equitable and continuous access to sufficient quantity of safe drinking water]]*WWWW[[#This Row],[Total PoP ]]</f>
        <v>0</v>
      </c>
      <c r="AV193"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93" s="711">
        <f>WWWW[[#This Row],[% Access to unimproved water points]]*WWWW[[#This Row],[Total PoP ]]</f>
        <v>0</v>
      </c>
      <c r="AX193"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93"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93" s="711">
        <f>WWWW[[#This Row],[HRP1]]/250</f>
        <v>0</v>
      </c>
      <c r="BA193" s="713">
        <f>1-WWWW[[#This Row],[% Equitable and continuous access to sufficient quantity of domestic water]]</f>
        <v>1</v>
      </c>
      <c r="BB193" s="711">
        <f>WWWW[[#This Row],[%equitable and continuous access to sufficient quantity of safe drinking and domestic water''s GAP]]*WWWW[[#This Row],[Total PoP ]]</f>
        <v>233</v>
      </c>
      <c r="BC193" s="714">
        <f>IF(WWWW[[#This Row],[Total required water points]]-WWWW[[#This Row],['#Water points coverage]]&lt;0,0,WWWW[[#This Row],[Total required water points]]-WWWW[[#This Row],['#Water points coverage]])</f>
        <v>1</v>
      </c>
      <c r="BD193" s="714">
        <f>ROUND(IF(WWWW[[#This Row],[Total PoP ]]&lt;250,1,WWWW[[#This Row],[Total PoP ]]/250),0)</f>
        <v>1</v>
      </c>
      <c r="BE193"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93" s="711">
        <f>WWWW[[#This Row],[% people access to functioning Latrine]]*WWWW[[#This Row],[Total PoP ]]</f>
        <v>0</v>
      </c>
      <c r="BG193" s="714">
        <f>WWWW[[#This Row],['#_of_Functioning_latrines_in_school]]*50</f>
        <v>0</v>
      </c>
      <c r="BH193" s="714">
        <f>ROUND((WWWW[[#This Row],[Total PoP ]]/6),0)</f>
        <v>39</v>
      </c>
      <c r="BI193" s="714">
        <f>IF(WWWW[[#This Row],[Total required Latrines]]-(WWWW[[#This Row],['#_of_sanitary_fly-proof_HH_latrines]])&lt;0,0,WWWW[[#This Row],[Total required Latrines]]-(WWWW[[#This Row],['#_of_sanitary_fly-proof_HH_latrines]]))</f>
        <v>39</v>
      </c>
      <c r="BJ193" s="710">
        <f>1-WWWW[[#This Row],[% people access to functioning Latrine]]</f>
        <v>1</v>
      </c>
      <c r="BK193"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22</v>
      </c>
      <c r="BL193" s="483">
        <f>IF(WWWW[[#This Row],['#_of_functional_handwashing_facilities_at_HH_level]]*6&gt;WWWW[[#This Row],[Total PoP ]],WWWW[[#This Row],[Total PoP ]],WWWW[[#This Row],['#_of_functional_handwashing_facilities_at_HH_level]]*6)</f>
        <v>0</v>
      </c>
      <c r="BM193" s="714">
        <f>IF(WWWW[[#This Row],['# people reached by regular dedicated hygiene promotion]]&gt;WWWW[[#This Row],['# People received regular supply of hygiene items]],WWWW[[#This Row],['# people reached by regular dedicated hygiene promotion]],WWWW[[#This Row],['# People received regular supply of hygiene items]])</f>
        <v>22</v>
      </c>
      <c r="BN193" s="713">
        <f>IF(WWWW[[#This Row],[HRP3]]/WWWW[[#This Row],[Total PoP ]]&gt;100%,100%,WWWW[[#This Row],[HRP3]]/WWWW[[#This Row],[Total PoP ]])</f>
        <v>9.4420600858369105E-2</v>
      </c>
      <c r="BO193" s="710">
        <f>1-WWWW[[#This Row],[Hygiene Coverage%]]</f>
        <v>0.90557939914163088</v>
      </c>
      <c r="BP193" s="712">
        <f>WWWW[[#This Row],['# people reached by regular dedicated hygiene promotion]]/WWWW[[#This Row],[Total PoP ]]</f>
        <v>9.4420600858369105E-2</v>
      </c>
      <c r="BQ193"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93" s="478">
        <f>WWWW[[#This Row],['#_of_affected_women_and_girls_receiving_a_sufficient_quantity_of_sanitary_pads]]</f>
        <v>0</v>
      </c>
      <c r="BS193" s="524">
        <f>IF(WWWW[[#This Row],['# People with access to soap]]&gt;WWWW[[#This Row],['# People with access to Sanity Pads]],WWWW[[#This Row],['# People with access to soap]],WWWW[[#This Row],['# People with access to Sanity Pads]])</f>
        <v>0</v>
      </c>
      <c r="BT193" s="483" t="str">
        <f>IF(OR(WWWW[[#This Row],['#of students in school]]="",WWWW[[#This Row],['#of students in school]]=0),"No","Yes")</f>
        <v>No</v>
      </c>
      <c r="BU193" s="705" t="str">
        <f>VLOOKUP(WWWW[[#This Row],[Village  Name]],SiteDB6[[Site Name]:[Location Type 1]],9,FALSE)</f>
        <v>Village</v>
      </c>
      <c r="BV193" s="705" t="str">
        <f>VLOOKUP(WWWW[[#This Row],[Village  Name]],SiteDB6[[Site Name]:[Type of Accommodation]],10,FALSE)</f>
        <v>Village</v>
      </c>
      <c r="BW193" s="705">
        <f>VLOOKUP(WWWW[[#This Row],[Village  Name]],SiteDB6[[Site Name]:[Ethnic or GCA/NGCA]],11,FALSE)</f>
        <v>0</v>
      </c>
      <c r="BX193" s="705">
        <f>VLOOKUP(WWWW[[#This Row],[Village  Name]],SiteDB6[[Site Name]:[Lat]],12,FALSE)</f>
        <v>0</v>
      </c>
      <c r="BY193" s="705">
        <f>VLOOKUP(WWWW[[#This Row],[Village  Name]],SiteDB6[[Site Name]:[Long]],13,FALSE)</f>
        <v>0</v>
      </c>
      <c r="BZ193" s="705">
        <f>VLOOKUP(WWWW[[#This Row],[Village  Name]],SiteDB6[[Site Name]:[Pcode]],3,FALSE)</f>
        <v>0</v>
      </c>
      <c r="CA193" s="705" t="str">
        <f t="shared" si="10"/>
        <v>Covered</v>
      </c>
      <c r="CB193" s="715"/>
    </row>
    <row r="194" spans="1:96">
      <c r="A194" s="774" t="s">
        <v>3150</v>
      </c>
      <c r="B194" s="703" t="s">
        <v>2812</v>
      </c>
      <c r="C194" s="703" t="s">
        <v>2812</v>
      </c>
      <c r="D194" s="704" t="s">
        <v>3176</v>
      </c>
      <c r="E194" s="704" t="s">
        <v>36</v>
      </c>
      <c r="F194" s="704" t="s">
        <v>132</v>
      </c>
      <c r="G194" s="705" t="str">
        <f>VLOOKUP(WWWW[[#This Row],[Village  Name]],SiteDB6[[Site Name]:[Location Type]],8,FALSE)</f>
        <v>Village</v>
      </c>
      <c r="H194" s="704" t="s">
        <v>3189</v>
      </c>
      <c r="I194" s="706">
        <v>123</v>
      </c>
      <c r="J194" s="706">
        <v>732</v>
      </c>
      <c r="K194" s="707">
        <v>43081</v>
      </c>
      <c r="L194" s="708">
        <v>44104</v>
      </c>
      <c r="M194" s="706"/>
      <c r="N194" s="706"/>
      <c r="O194" s="524"/>
      <c r="P194" s="706"/>
      <c r="Q194" s="706"/>
      <c r="R194" s="706"/>
      <c r="S194" s="706"/>
      <c r="T194" s="706"/>
      <c r="U194" s="709"/>
      <c r="V194" s="706"/>
      <c r="W194" s="706"/>
      <c r="X194" s="706"/>
      <c r="Y194" s="706"/>
      <c r="Z194" s="706"/>
      <c r="AA194" s="706"/>
      <c r="AB194" s="706"/>
      <c r="AC194" s="709"/>
      <c r="AD194" s="706">
        <v>20</v>
      </c>
      <c r="AE194" s="706">
        <v>40</v>
      </c>
      <c r="AF194" s="706"/>
      <c r="AG194" s="706"/>
      <c r="AH194" s="706"/>
      <c r="AI194" s="706"/>
      <c r="AJ194" s="524"/>
      <c r="AK194" s="706"/>
      <c r="AL194" s="524"/>
      <c r="AM194" s="524"/>
      <c r="AN194" s="709"/>
      <c r="AO194" s="477"/>
      <c r="AP194" s="477"/>
      <c r="AQ194" s="524"/>
      <c r="AR194" s="524"/>
      <c r="AS194" s="524"/>
      <c r="AT194"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94" s="711">
        <f>WWWW[[#This Row],[%Equitable and continuous access to sufficient quantity of safe drinking water]]*WWWW[[#This Row],[Total PoP ]]</f>
        <v>0</v>
      </c>
      <c r="AV194"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94" s="711">
        <f>WWWW[[#This Row],[% Access to unimproved water points]]*WWWW[[#This Row],[Total PoP ]]</f>
        <v>0</v>
      </c>
      <c r="AX194"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94"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94" s="711">
        <f>WWWW[[#This Row],[HRP1]]/250</f>
        <v>0</v>
      </c>
      <c r="BA194" s="713">
        <f>1-WWWW[[#This Row],[% Equitable and continuous access to sufficient quantity of domestic water]]</f>
        <v>1</v>
      </c>
      <c r="BB194" s="711">
        <f>WWWW[[#This Row],[%equitable and continuous access to sufficient quantity of safe drinking and domestic water''s GAP]]*WWWW[[#This Row],[Total PoP ]]</f>
        <v>732</v>
      </c>
      <c r="BC194" s="714">
        <f>IF(WWWW[[#This Row],[Total required water points]]-WWWW[[#This Row],['#Water points coverage]]&lt;0,0,WWWW[[#This Row],[Total required water points]]-WWWW[[#This Row],['#Water points coverage]])</f>
        <v>3</v>
      </c>
      <c r="BD194" s="714">
        <f>ROUND(IF(WWWW[[#This Row],[Total PoP ]]&lt;250,1,WWWW[[#This Row],[Total PoP ]]/250),0)</f>
        <v>3</v>
      </c>
      <c r="BE194"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94" s="711">
        <f>WWWW[[#This Row],[% people access to functioning Latrine]]*WWWW[[#This Row],[Total PoP ]]</f>
        <v>0</v>
      </c>
      <c r="BG194" s="714">
        <f>WWWW[[#This Row],['#_of_Functioning_latrines_in_school]]*50</f>
        <v>0</v>
      </c>
      <c r="BH194" s="714">
        <f>ROUND((WWWW[[#This Row],[Total PoP ]]/6),0)</f>
        <v>122</v>
      </c>
      <c r="BI194" s="714">
        <f>IF(WWWW[[#This Row],[Total required Latrines]]-(WWWW[[#This Row],['#_of_sanitary_fly-proof_HH_latrines]])&lt;0,0,WWWW[[#This Row],[Total required Latrines]]-(WWWW[[#This Row],['#_of_sanitary_fly-proof_HH_latrines]]))</f>
        <v>122</v>
      </c>
      <c r="BJ194" s="710">
        <f>1-WWWW[[#This Row],[% people access to functioning Latrine]]</f>
        <v>1</v>
      </c>
      <c r="BK194"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60</v>
      </c>
      <c r="BL194" s="483">
        <f>IF(WWWW[[#This Row],['#_of_functional_handwashing_facilities_at_HH_level]]*6&gt;WWWW[[#This Row],[Total PoP ]],WWWW[[#This Row],[Total PoP ]],WWWW[[#This Row],['#_of_functional_handwashing_facilities_at_HH_level]]*6)</f>
        <v>0</v>
      </c>
      <c r="BM194" s="714">
        <f>IF(WWWW[[#This Row],['# people reached by regular dedicated hygiene promotion]]&gt;WWWW[[#This Row],['# People received regular supply of hygiene items]],WWWW[[#This Row],['# people reached by regular dedicated hygiene promotion]],WWWW[[#This Row],['# People received regular supply of hygiene items]])</f>
        <v>60</v>
      </c>
      <c r="BN194" s="713">
        <f>IF(WWWW[[#This Row],[HRP3]]/WWWW[[#This Row],[Total PoP ]]&gt;100%,100%,WWWW[[#This Row],[HRP3]]/WWWW[[#This Row],[Total PoP ]])</f>
        <v>8.1967213114754092E-2</v>
      </c>
      <c r="BO194" s="710">
        <f>1-WWWW[[#This Row],[Hygiene Coverage%]]</f>
        <v>0.91803278688524592</v>
      </c>
      <c r="BP194" s="712">
        <f>WWWW[[#This Row],['# people reached by regular dedicated hygiene promotion]]/WWWW[[#This Row],[Total PoP ]]</f>
        <v>8.1967213114754092E-2</v>
      </c>
      <c r="BQ194"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94" s="478">
        <f>WWWW[[#This Row],['#_of_affected_women_and_girls_receiving_a_sufficient_quantity_of_sanitary_pads]]</f>
        <v>0</v>
      </c>
      <c r="BS194" s="524">
        <f>IF(WWWW[[#This Row],['# People with access to soap]]&gt;WWWW[[#This Row],['# People with access to Sanity Pads]],WWWW[[#This Row],['# People with access to soap]],WWWW[[#This Row],['# People with access to Sanity Pads]])</f>
        <v>0</v>
      </c>
      <c r="BT194" s="483" t="str">
        <f>IF(OR(WWWW[[#This Row],['#of students in school]]="",WWWW[[#This Row],['#of students in school]]=0),"No","Yes")</f>
        <v>No</v>
      </c>
      <c r="BU194" s="705" t="str">
        <f>VLOOKUP(WWWW[[#This Row],[Village  Name]],SiteDB6[[Site Name]:[Location Type 1]],9,FALSE)</f>
        <v>Village</v>
      </c>
      <c r="BV194" s="705" t="str">
        <f>VLOOKUP(WWWW[[#This Row],[Village  Name]],SiteDB6[[Site Name]:[Type of Accommodation]],10,FALSE)</f>
        <v>Village</v>
      </c>
      <c r="BW194" s="705">
        <f>VLOOKUP(WWWW[[#This Row],[Village  Name]],SiteDB6[[Site Name]:[Ethnic or GCA/NGCA]],11,FALSE)</f>
        <v>0</v>
      </c>
      <c r="BX194" s="705">
        <f>VLOOKUP(WWWW[[#This Row],[Village  Name]],SiteDB6[[Site Name]:[Lat]],12,FALSE)</f>
        <v>0</v>
      </c>
      <c r="BY194" s="705">
        <f>VLOOKUP(WWWW[[#This Row],[Village  Name]],SiteDB6[[Site Name]:[Long]],13,FALSE)</f>
        <v>0</v>
      </c>
      <c r="BZ194" s="705">
        <f>VLOOKUP(WWWW[[#This Row],[Village  Name]],SiteDB6[[Site Name]:[Pcode]],3,FALSE)</f>
        <v>0</v>
      </c>
      <c r="CA194" s="705" t="str">
        <f t="shared" si="10"/>
        <v>Covered</v>
      </c>
      <c r="CB194" s="715"/>
    </row>
    <row r="195" spans="1:96">
      <c r="A195" s="774" t="s">
        <v>3150</v>
      </c>
      <c r="B195" s="703" t="s">
        <v>2812</v>
      </c>
      <c r="C195" s="703" t="s">
        <v>2812</v>
      </c>
      <c r="D195" s="704" t="s">
        <v>3176</v>
      </c>
      <c r="E195" s="704" t="s">
        <v>36</v>
      </c>
      <c r="F195" s="704" t="s">
        <v>132</v>
      </c>
      <c r="G195" s="705" t="str">
        <f>VLOOKUP(WWWW[[#This Row],[Village  Name]],SiteDB6[[Site Name]:[Location Type]],8,FALSE)</f>
        <v>Village</v>
      </c>
      <c r="H195" s="704" t="s">
        <v>3190</v>
      </c>
      <c r="I195" s="706">
        <v>55</v>
      </c>
      <c r="J195" s="706">
        <v>332</v>
      </c>
      <c r="K195" s="707">
        <v>43081</v>
      </c>
      <c r="L195" s="708">
        <v>44104</v>
      </c>
      <c r="M195" s="706"/>
      <c r="N195" s="706"/>
      <c r="O195" s="524"/>
      <c r="P195" s="706"/>
      <c r="Q195" s="706"/>
      <c r="R195" s="706"/>
      <c r="S195" s="706"/>
      <c r="T195" s="706"/>
      <c r="U195" s="709"/>
      <c r="V195" s="706"/>
      <c r="W195" s="706"/>
      <c r="X195" s="706">
        <v>2</v>
      </c>
      <c r="Y195" s="706"/>
      <c r="Z195" s="706"/>
      <c r="AA195" s="706"/>
      <c r="AB195" s="706"/>
      <c r="AC195" s="709"/>
      <c r="AD195" s="706"/>
      <c r="AE195" s="706"/>
      <c r="AF195" s="706"/>
      <c r="AG195" s="706"/>
      <c r="AH195" s="706"/>
      <c r="AI195" s="706"/>
      <c r="AJ195" s="524"/>
      <c r="AK195" s="706"/>
      <c r="AL195" s="524"/>
      <c r="AM195" s="524"/>
      <c r="AN195" s="709"/>
      <c r="AO195" s="477"/>
      <c r="AP195" s="477"/>
      <c r="AQ195" s="524"/>
      <c r="AR195" s="524"/>
      <c r="AS195" s="524"/>
      <c r="AT195"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95" s="711">
        <f>WWWW[[#This Row],[%Equitable and continuous access to sufficient quantity of safe drinking water]]*WWWW[[#This Row],[Total PoP ]]</f>
        <v>0</v>
      </c>
      <c r="AV195"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95" s="711">
        <f>WWWW[[#This Row],[% Access to unimproved water points]]*WWWW[[#This Row],[Total PoP ]]</f>
        <v>0</v>
      </c>
      <c r="AX195"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95"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95" s="711">
        <f>WWWW[[#This Row],[HRP1]]/250</f>
        <v>0</v>
      </c>
      <c r="BA195" s="713">
        <f>1-WWWW[[#This Row],[% Equitable and continuous access to sufficient quantity of domestic water]]</f>
        <v>1</v>
      </c>
      <c r="BB195" s="711">
        <f>WWWW[[#This Row],[%equitable and continuous access to sufficient quantity of safe drinking and domestic water''s GAP]]*WWWW[[#This Row],[Total PoP ]]</f>
        <v>332</v>
      </c>
      <c r="BC195" s="714">
        <f>IF(WWWW[[#This Row],[Total required water points]]-WWWW[[#This Row],['#Water points coverage]]&lt;0,0,WWWW[[#This Row],[Total required water points]]-WWWW[[#This Row],['#Water points coverage]])</f>
        <v>1</v>
      </c>
      <c r="BD195" s="714">
        <f>ROUND(IF(WWWW[[#This Row],[Total PoP ]]&lt;250,1,WWWW[[#This Row],[Total PoP ]]/250),0)</f>
        <v>1</v>
      </c>
      <c r="BE195"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95" s="711">
        <f>WWWW[[#This Row],[% people access to functioning Latrine]]*WWWW[[#This Row],[Total PoP ]]</f>
        <v>0</v>
      </c>
      <c r="BG195" s="714">
        <f>WWWW[[#This Row],['#_of_Functioning_latrines_in_school]]*50</f>
        <v>100</v>
      </c>
      <c r="BH195" s="714">
        <f>ROUND((WWWW[[#This Row],[Total PoP ]]/6),0)</f>
        <v>55</v>
      </c>
      <c r="BI195" s="714">
        <f>IF(WWWW[[#This Row],[Total required Latrines]]-(WWWW[[#This Row],['#_of_sanitary_fly-proof_HH_latrines]])&lt;0,0,WWWW[[#This Row],[Total required Latrines]]-(WWWW[[#This Row],['#_of_sanitary_fly-proof_HH_latrines]]))</f>
        <v>55</v>
      </c>
      <c r="BJ195" s="710">
        <f>1-WWWW[[#This Row],[% people access to functioning Latrine]]</f>
        <v>1</v>
      </c>
      <c r="BK195"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95" s="483">
        <f>IF(WWWW[[#This Row],['#_of_functional_handwashing_facilities_at_HH_level]]*6&gt;WWWW[[#This Row],[Total PoP ]],WWWW[[#This Row],[Total PoP ]],WWWW[[#This Row],['#_of_functional_handwashing_facilities_at_HH_level]]*6)</f>
        <v>0</v>
      </c>
      <c r="BM195" s="714">
        <f>IF(WWWW[[#This Row],['# people reached by regular dedicated hygiene promotion]]&gt;WWWW[[#This Row],['# People received regular supply of hygiene items]],WWWW[[#This Row],['# people reached by regular dedicated hygiene promotion]],WWWW[[#This Row],['# People received regular supply of hygiene items]])</f>
        <v>0</v>
      </c>
      <c r="BN195" s="713">
        <f>IF(WWWW[[#This Row],[HRP3]]/WWWW[[#This Row],[Total PoP ]]&gt;100%,100%,WWWW[[#This Row],[HRP3]]/WWWW[[#This Row],[Total PoP ]])</f>
        <v>0</v>
      </c>
      <c r="BO195" s="710">
        <f>1-WWWW[[#This Row],[Hygiene Coverage%]]</f>
        <v>1</v>
      </c>
      <c r="BP195" s="712">
        <f>WWWW[[#This Row],['# people reached by regular dedicated hygiene promotion]]/WWWW[[#This Row],[Total PoP ]]</f>
        <v>0</v>
      </c>
      <c r="BQ195"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95" s="478">
        <f>WWWW[[#This Row],['#_of_affected_women_and_girls_receiving_a_sufficient_quantity_of_sanitary_pads]]</f>
        <v>0</v>
      </c>
      <c r="BS195" s="524">
        <f>IF(WWWW[[#This Row],['# People with access to soap]]&gt;WWWW[[#This Row],['# People with access to Sanity Pads]],WWWW[[#This Row],['# People with access to soap]],WWWW[[#This Row],['# People with access to Sanity Pads]])</f>
        <v>0</v>
      </c>
      <c r="BT195" s="483" t="str">
        <f>IF(OR(WWWW[[#This Row],['#of students in school]]="",WWWW[[#This Row],['#of students in school]]=0),"No","Yes")</f>
        <v>No</v>
      </c>
      <c r="BU195" s="705" t="str">
        <f>VLOOKUP(WWWW[[#This Row],[Village  Name]],SiteDB6[[Site Name]:[Location Type 1]],9,FALSE)</f>
        <v>Village</v>
      </c>
      <c r="BV195" s="705" t="str">
        <f>VLOOKUP(WWWW[[#This Row],[Village  Name]],SiteDB6[[Site Name]:[Type of Accommodation]],10,FALSE)</f>
        <v>Village</v>
      </c>
      <c r="BW195" s="705">
        <f>VLOOKUP(WWWW[[#This Row],[Village  Name]],SiteDB6[[Site Name]:[Ethnic or GCA/NGCA]],11,FALSE)</f>
        <v>0</v>
      </c>
      <c r="BX195" s="705">
        <f>VLOOKUP(WWWW[[#This Row],[Village  Name]],SiteDB6[[Site Name]:[Lat]],12,FALSE)</f>
        <v>0</v>
      </c>
      <c r="BY195" s="705">
        <f>VLOOKUP(WWWW[[#This Row],[Village  Name]],SiteDB6[[Site Name]:[Long]],13,FALSE)</f>
        <v>0</v>
      </c>
      <c r="BZ195" s="705">
        <f>VLOOKUP(WWWW[[#This Row],[Village  Name]],SiteDB6[[Site Name]:[Pcode]],3,FALSE)</f>
        <v>0</v>
      </c>
      <c r="CA195" s="705" t="str">
        <f t="shared" si="10"/>
        <v>Covered</v>
      </c>
      <c r="CB195" s="715"/>
    </row>
    <row r="196" spans="1:96">
      <c r="A196" s="774" t="s">
        <v>3150</v>
      </c>
      <c r="B196" s="703" t="s">
        <v>2812</v>
      </c>
      <c r="C196" s="703" t="s">
        <v>2812</v>
      </c>
      <c r="D196" s="704" t="s">
        <v>3176</v>
      </c>
      <c r="E196" s="704" t="s">
        <v>36</v>
      </c>
      <c r="F196" s="704" t="s">
        <v>132</v>
      </c>
      <c r="G196" s="705" t="str">
        <f>VLOOKUP(WWWW[[#This Row],[Village  Name]],SiteDB6[[Site Name]:[Location Type]],8,FALSE)</f>
        <v>Village</v>
      </c>
      <c r="H196" s="704" t="s">
        <v>3191</v>
      </c>
      <c r="I196" s="706">
        <v>114</v>
      </c>
      <c r="J196" s="706">
        <v>350</v>
      </c>
      <c r="K196" s="707">
        <v>43476</v>
      </c>
      <c r="L196" s="708">
        <v>44104</v>
      </c>
      <c r="M196" s="706"/>
      <c r="N196" s="706"/>
      <c r="O196" s="524"/>
      <c r="P196" s="706"/>
      <c r="Q196" s="706"/>
      <c r="R196" s="706"/>
      <c r="S196" s="706"/>
      <c r="T196" s="706"/>
      <c r="U196" s="709"/>
      <c r="V196" s="706"/>
      <c r="W196" s="706"/>
      <c r="X196" s="706"/>
      <c r="Y196" s="706"/>
      <c r="Z196" s="706"/>
      <c r="AA196" s="706"/>
      <c r="AB196" s="706"/>
      <c r="AC196" s="709"/>
      <c r="AD196" s="706"/>
      <c r="AE196" s="706"/>
      <c r="AF196" s="706"/>
      <c r="AG196" s="706"/>
      <c r="AH196" s="706"/>
      <c r="AI196" s="706"/>
      <c r="AJ196" s="524"/>
      <c r="AK196" s="706"/>
      <c r="AL196" s="524"/>
      <c r="AM196" s="524"/>
      <c r="AN196" s="709"/>
      <c r="AO196" s="477"/>
      <c r="AP196" s="477"/>
      <c r="AQ196" s="524"/>
      <c r="AR196" s="524"/>
      <c r="AS196" s="524"/>
      <c r="AT196"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96" s="711">
        <f>WWWW[[#This Row],[%Equitable and continuous access to sufficient quantity of safe drinking water]]*WWWW[[#This Row],[Total PoP ]]</f>
        <v>0</v>
      </c>
      <c r="AV196"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96" s="711">
        <f>WWWW[[#This Row],[% Access to unimproved water points]]*WWWW[[#This Row],[Total PoP ]]</f>
        <v>0</v>
      </c>
      <c r="AX196"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96"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96" s="711">
        <f>WWWW[[#This Row],[HRP1]]/250</f>
        <v>0</v>
      </c>
      <c r="BA196" s="713">
        <f>1-WWWW[[#This Row],[% Equitable and continuous access to sufficient quantity of domestic water]]</f>
        <v>1</v>
      </c>
      <c r="BB196" s="711">
        <f>WWWW[[#This Row],[%equitable and continuous access to sufficient quantity of safe drinking and domestic water''s GAP]]*WWWW[[#This Row],[Total PoP ]]</f>
        <v>350</v>
      </c>
      <c r="BC196" s="714">
        <f>IF(WWWW[[#This Row],[Total required water points]]-WWWW[[#This Row],['#Water points coverage]]&lt;0,0,WWWW[[#This Row],[Total required water points]]-WWWW[[#This Row],['#Water points coverage]])</f>
        <v>1</v>
      </c>
      <c r="BD196" s="714">
        <f>ROUND(IF(WWWW[[#This Row],[Total PoP ]]&lt;250,1,WWWW[[#This Row],[Total PoP ]]/250),0)</f>
        <v>1</v>
      </c>
      <c r="BE196"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96" s="711">
        <f>WWWW[[#This Row],[% people access to functioning Latrine]]*WWWW[[#This Row],[Total PoP ]]</f>
        <v>0</v>
      </c>
      <c r="BG196" s="714">
        <f>WWWW[[#This Row],['#_of_Functioning_latrines_in_school]]*50</f>
        <v>0</v>
      </c>
      <c r="BH196" s="714">
        <f>ROUND((WWWW[[#This Row],[Total PoP ]]/6),0)</f>
        <v>58</v>
      </c>
      <c r="BI196" s="714">
        <f>IF(WWWW[[#This Row],[Total required Latrines]]-(WWWW[[#This Row],['#_of_sanitary_fly-proof_HH_latrines]])&lt;0,0,WWWW[[#This Row],[Total required Latrines]]-(WWWW[[#This Row],['#_of_sanitary_fly-proof_HH_latrines]]))</f>
        <v>58</v>
      </c>
      <c r="BJ196" s="710">
        <f>1-WWWW[[#This Row],[% people access to functioning Latrine]]</f>
        <v>1</v>
      </c>
      <c r="BK196"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96" s="483">
        <f>IF(WWWW[[#This Row],['#_of_functional_handwashing_facilities_at_HH_level]]*6&gt;WWWW[[#This Row],[Total PoP ]],WWWW[[#This Row],[Total PoP ]],WWWW[[#This Row],['#_of_functional_handwashing_facilities_at_HH_level]]*6)</f>
        <v>0</v>
      </c>
      <c r="BM196" s="714">
        <f>IF(WWWW[[#This Row],['# people reached by regular dedicated hygiene promotion]]&gt;WWWW[[#This Row],['# People received regular supply of hygiene items]],WWWW[[#This Row],['# people reached by regular dedicated hygiene promotion]],WWWW[[#This Row],['# People received regular supply of hygiene items]])</f>
        <v>0</v>
      </c>
      <c r="BN196" s="713">
        <f>IF(WWWW[[#This Row],[HRP3]]/WWWW[[#This Row],[Total PoP ]]&gt;100%,100%,WWWW[[#This Row],[HRP3]]/WWWW[[#This Row],[Total PoP ]])</f>
        <v>0</v>
      </c>
      <c r="BO196" s="710">
        <f>1-WWWW[[#This Row],[Hygiene Coverage%]]</f>
        <v>1</v>
      </c>
      <c r="BP196" s="712">
        <f>WWWW[[#This Row],['# people reached by regular dedicated hygiene promotion]]/WWWW[[#This Row],[Total PoP ]]</f>
        <v>0</v>
      </c>
      <c r="BQ196"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96" s="478">
        <f>WWWW[[#This Row],['#_of_affected_women_and_girls_receiving_a_sufficient_quantity_of_sanitary_pads]]</f>
        <v>0</v>
      </c>
      <c r="BS196" s="524">
        <f>IF(WWWW[[#This Row],['# People with access to soap]]&gt;WWWW[[#This Row],['# People with access to Sanity Pads]],WWWW[[#This Row],['# People with access to soap]],WWWW[[#This Row],['# People with access to Sanity Pads]])</f>
        <v>0</v>
      </c>
      <c r="BT196" s="483" t="str">
        <f>IF(OR(WWWW[[#This Row],['#of students in school]]="",WWWW[[#This Row],['#of students in school]]=0),"No","Yes")</f>
        <v>No</v>
      </c>
      <c r="BU196" s="705" t="str">
        <f>VLOOKUP(WWWW[[#This Row],[Village  Name]],SiteDB6[[Site Name]:[Location Type 1]],9,FALSE)</f>
        <v>Village</v>
      </c>
      <c r="BV196" s="705" t="str">
        <f>VLOOKUP(WWWW[[#This Row],[Village  Name]],SiteDB6[[Site Name]:[Type of Accommodation]],10,FALSE)</f>
        <v>Village</v>
      </c>
      <c r="BW196" s="705">
        <f>VLOOKUP(WWWW[[#This Row],[Village  Name]],SiteDB6[[Site Name]:[Ethnic or GCA/NGCA]],11,FALSE)</f>
        <v>0</v>
      </c>
      <c r="BX196" s="705">
        <f>VLOOKUP(WWWW[[#This Row],[Village  Name]],SiteDB6[[Site Name]:[Lat]],12,FALSE)</f>
        <v>0</v>
      </c>
      <c r="BY196" s="705">
        <f>VLOOKUP(WWWW[[#This Row],[Village  Name]],SiteDB6[[Site Name]:[Long]],13,FALSE)</f>
        <v>0</v>
      </c>
      <c r="BZ196" s="705">
        <f>VLOOKUP(WWWW[[#This Row],[Village  Name]],SiteDB6[[Site Name]:[Pcode]],3,FALSE)</f>
        <v>0</v>
      </c>
      <c r="CA196" s="705" t="str">
        <f t="shared" si="10"/>
        <v>Covered</v>
      </c>
      <c r="CB196" s="715"/>
    </row>
    <row r="197" spans="1:96">
      <c r="A197" s="774" t="s">
        <v>3150</v>
      </c>
      <c r="B197" s="703" t="s">
        <v>2812</v>
      </c>
      <c r="C197" s="703" t="s">
        <v>2812</v>
      </c>
      <c r="D197" s="704" t="s">
        <v>3176</v>
      </c>
      <c r="E197" s="704" t="s">
        <v>36</v>
      </c>
      <c r="F197" s="704" t="s">
        <v>132</v>
      </c>
      <c r="G197" s="705" t="str">
        <f>VLOOKUP(WWWW[[#This Row],[Village  Name]],SiteDB6[[Site Name]:[Location Type]],8,FALSE)</f>
        <v>Village</v>
      </c>
      <c r="H197" s="704" t="s">
        <v>3192</v>
      </c>
      <c r="I197" s="706">
        <v>47</v>
      </c>
      <c r="J197" s="706">
        <v>137</v>
      </c>
      <c r="K197" s="707">
        <v>43476</v>
      </c>
      <c r="L197" s="708">
        <v>44104</v>
      </c>
      <c r="M197" s="706"/>
      <c r="N197" s="706"/>
      <c r="O197" s="524"/>
      <c r="P197" s="706"/>
      <c r="Q197" s="706"/>
      <c r="R197" s="706"/>
      <c r="S197" s="706"/>
      <c r="T197" s="706"/>
      <c r="U197" s="709"/>
      <c r="V197" s="706"/>
      <c r="W197" s="706"/>
      <c r="X197" s="706"/>
      <c r="Y197" s="706"/>
      <c r="Z197" s="706"/>
      <c r="AA197" s="706"/>
      <c r="AB197" s="706"/>
      <c r="AC197" s="709"/>
      <c r="AD197" s="706"/>
      <c r="AE197" s="706"/>
      <c r="AF197" s="706"/>
      <c r="AG197" s="706"/>
      <c r="AH197" s="706"/>
      <c r="AI197" s="706"/>
      <c r="AJ197" s="524"/>
      <c r="AK197" s="706"/>
      <c r="AL197" s="524"/>
      <c r="AM197" s="524"/>
      <c r="AN197" s="709"/>
      <c r="AO197" s="477"/>
      <c r="AP197" s="477"/>
      <c r="AQ197" s="524"/>
      <c r="AR197" s="524"/>
      <c r="AS197" s="524"/>
      <c r="AT197"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197" s="711">
        <f>WWWW[[#This Row],[%Equitable and continuous access to sufficient quantity of safe drinking water]]*WWWW[[#This Row],[Total PoP ]]</f>
        <v>0</v>
      </c>
      <c r="AV197"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97" s="711">
        <f>WWWW[[#This Row],[% Access to unimproved water points]]*WWWW[[#This Row],[Total PoP ]]</f>
        <v>0</v>
      </c>
      <c r="AX197"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197"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197" s="711">
        <f>WWWW[[#This Row],[HRP1]]/250</f>
        <v>0</v>
      </c>
      <c r="BA197" s="713">
        <f>1-WWWW[[#This Row],[% Equitable and continuous access to sufficient quantity of domestic water]]</f>
        <v>1</v>
      </c>
      <c r="BB197" s="711">
        <f>WWWW[[#This Row],[%equitable and continuous access to sufficient quantity of safe drinking and domestic water''s GAP]]*WWWW[[#This Row],[Total PoP ]]</f>
        <v>137</v>
      </c>
      <c r="BC197" s="714">
        <f>IF(WWWW[[#This Row],[Total required water points]]-WWWW[[#This Row],['#Water points coverage]]&lt;0,0,WWWW[[#This Row],[Total required water points]]-WWWW[[#This Row],['#Water points coverage]])</f>
        <v>1</v>
      </c>
      <c r="BD197" s="714">
        <f>ROUND(IF(WWWW[[#This Row],[Total PoP ]]&lt;250,1,WWWW[[#This Row],[Total PoP ]]/250),0)</f>
        <v>1</v>
      </c>
      <c r="BE197"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97" s="711">
        <f>WWWW[[#This Row],[% people access to functioning Latrine]]*WWWW[[#This Row],[Total PoP ]]</f>
        <v>0</v>
      </c>
      <c r="BG197" s="714">
        <f>WWWW[[#This Row],['#_of_Functioning_latrines_in_school]]*50</f>
        <v>0</v>
      </c>
      <c r="BH197" s="714">
        <f>ROUND((WWWW[[#This Row],[Total PoP ]]/6),0)</f>
        <v>23</v>
      </c>
      <c r="BI197" s="714">
        <f>IF(WWWW[[#This Row],[Total required Latrines]]-(WWWW[[#This Row],['#_of_sanitary_fly-proof_HH_latrines]])&lt;0,0,WWWW[[#This Row],[Total required Latrines]]-(WWWW[[#This Row],['#_of_sanitary_fly-proof_HH_latrines]]))</f>
        <v>23</v>
      </c>
      <c r="BJ197" s="710">
        <f>1-WWWW[[#This Row],[% people access to functioning Latrine]]</f>
        <v>1</v>
      </c>
      <c r="BK197"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97" s="483">
        <f>IF(WWWW[[#This Row],['#_of_functional_handwashing_facilities_at_HH_level]]*6&gt;WWWW[[#This Row],[Total PoP ]],WWWW[[#This Row],[Total PoP ]],WWWW[[#This Row],['#_of_functional_handwashing_facilities_at_HH_level]]*6)</f>
        <v>0</v>
      </c>
      <c r="BM197" s="714">
        <f>IF(WWWW[[#This Row],['# people reached by regular dedicated hygiene promotion]]&gt;WWWW[[#This Row],['# People received regular supply of hygiene items]],WWWW[[#This Row],['# people reached by regular dedicated hygiene promotion]],WWWW[[#This Row],['# People received regular supply of hygiene items]])</f>
        <v>0</v>
      </c>
      <c r="BN197" s="713">
        <f>IF(WWWW[[#This Row],[HRP3]]/WWWW[[#This Row],[Total PoP ]]&gt;100%,100%,WWWW[[#This Row],[HRP3]]/WWWW[[#This Row],[Total PoP ]])</f>
        <v>0</v>
      </c>
      <c r="BO197" s="710">
        <f>1-WWWW[[#This Row],[Hygiene Coverage%]]</f>
        <v>1</v>
      </c>
      <c r="BP197" s="712">
        <f>WWWW[[#This Row],['# people reached by regular dedicated hygiene promotion]]/WWWW[[#This Row],[Total PoP ]]</f>
        <v>0</v>
      </c>
      <c r="BQ197"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97" s="478">
        <f>WWWW[[#This Row],['#_of_affected_women_and_girls_receiving_a_sufficient_quantity_of_sanitary_pads]]</f>
        <v>0</v>
      </c>
      <c r="BS197" s="524">
        <f>IF(WWWW[[#This Row],['# People with access to soap]]&gt;WWWW[[#This Row],['# People with access to Sanity Pads]],WWWW[[#This Row],['# People with access to soap]],WWWW[[#This Row],['# People with access to Sanity Pads]])</f>
        <v>0</v>
      </c>
      <c r="BT197" s="483" t="str">
        <f>IF(OR(WWWW[[#This Row],['#of students in school]]="",WWWW[[#This Row],['#of students in school]]=0),"No","Yes")</f>
        <v>No</v>
      </c>
      <c r="BU197" s="705" t="str">
        <f>VLOOKUP(WWWW[[#This Row],[Village  Name]],SiteDB6[[Site Name]:[Location Type 1]],9,FALSE)</f>
        <v>Village</v>
      </c>
      <c r="BV197" s="705" t="str">
        <f>VLOOKUP(WWWW[[#This Row],[Village  Name]],SiteDB6[[Site Name]:[Type of Accommodation]],10,FALSE)</f>
        <v>Village</v>
      </c>
      <c r="BW197" s="705">
        <f>VLOOKUP(WWWW[[#This Row],[Village  Name]],SiteDB6[[Site Name]:[Ethnic or GCA/NGCA]],11,FALSE)</f>
        <v>0</v>
      </c>
      <c r="BX197" s="705">
        <f>VLOOKUP(WWWW[[#This Row],[Village  Name]],SiteDB6[[Site Name]:[Lat]],12,FALSE)</f>
        <v>0</v>
      </c>
      <c r="BY197" s="705">
        <f>VLOOKUP(WWWW[[#This Row],[Village  Name]],SiteDB6[[Site Name]:[Long]],13,FALSE)</f>
        <v>0</v>
      </c>
      <c r="BZ197" s="705">
        <f>VLOOKUP(WWWW[[#This Row],[Village  Name]],SiteDB6[[Site Name]:[Pcode]],3,FALSE)</f>
        <v>0</v>
      </c>
      <c r="CA197" s="705" t="str">
        <f t="shared" si="10"/>
        <v>Covered</v>
      </c>
      <c r="CB197" s="715"/>
    </row>
    <row r="198" spans="1:96">
      <c r="A198" s="774" t="s">
        <v>3150</v>
      </c>
      <c r="B198" s="703" t="s">
        <v>2812</v>
      </c>
      <c r="C198" s="703" t="s">
        <v>2812</v>
      </c>
      <c r="D198" s="704" t="s">
        <v>3176</v>
      </c>
      <c r="E198" s="704" t="s">
        <v>36</v>
      </c>
      <c r="F198" s="704" t="s">
        <v>132</v>
      </c>
      <c r="G198" s="705" t="str">
        <f>VLOOKUP(WWWW[[#This Row],[Village  Name]],SiteDB6[[Site Name]:[Location Type]],8,FALSE)</f>
        <v>Village</v>
      </c>
      <c r="H198" s="704" t="s">
        <v>3193</v>
      </c>
      <c r="I198" s="706">
        <v>138</v>
      </c>
      <c r="J198" s="706">
        <v>578</v>
      </c>
      <c r="K198" s="707">
        <v>43476</v>
      </c>
      <c r="L198" s="708">
        <v>44104</v>
      </c>
      <c r="M198" s="706"/>
      <c r="N198" s="706"/>
      <c r="O198" s="524">
        <v>1</v>
      </c>
      <c r="P198" s="706"/>
      <c r="Q198" s="706"/>
      <c r="R198" s="706"/>
      <c r="S198" s="706"/>
      <c r="T198" s="706"/>
      <c r="U198" s="709"/>
      <c r="V198" s="706"/>
      <c r="W198" s="706"/>
      <c r="X198" s="706"/>
      <c r="Y198" s="706"/>
      <c r="Z198" s="706"/>
      <c r="AA198" s="706"/>
      <c r="AB198" s="706"/>
      <c r="AC198" s="709"/>
      <c r="AD198" s="706"/>
      <c r="AE198" s="706"/>
      <c r="AF198" s="706"/>
      <c r="AG198" s="706"/>
      <c r="AH198" s="706"/>
      <c r="AI198" s="706"/>
      <c r="AJ198" s="524"/>
      <c r="AK198" s="706"/>
      <c r="AL198" s="524"/>
      <c r="AM198" s="524"/>
      <c r="AN198" s="709"/>
      <c r="AO198" s="477"/>
      <c r="AP198" s="477"/>
      <c r="AQ198" s="524"/>
      <c r="AR198" s="524"/>
      <c r="AS198" s="524"/>
      <c r="AT198"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98" s="711">
        <f>WWWW[[#This Row],[%Equitable and continuous access to sufficient quantity of safe drinking water]]*WWWW[[#This Row],[Total PoP ]]</f>
        <v>578</v>
      </c>
      <c r="AV198"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98" s="711">
        <f>WWWW[[#This Row],[% Access to unimproved water points]]*WWWW[[#This Row],[Total PoP ]]</f>
        <v>0</v>
      </c>
      <c r="AX198"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98"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578</v>
      </c>
      <c r="AZ198" s="711">
        <f>WWWW[[#This Row],[HRP1]]/250</f>
        <v>2.3119999999999998</v>
      </c>
      <c r="BA198" s="713">
        <f>1-WWWW[[#This Row],[% Equitable and continuous access to sufficient quantity of domestic water]]</f>
        <v>0</v>
      </c>
      <c r="BB198" s="711">
        <f>WWWW[[#This Row],[%equitable and continuous access to sufficient quantity of safe drinking and domestic water''s GAP]]*WWWW[[#This Row],[Total PoP ]]</f>
        <v>0</v>
      </c>
      <c r="BC198" s="714">
        <f>IF(WWWW[[#This Row],[Total required water points]]-WWWW[[#This Row],['#Water points coverage]]&lt;0,0,WWWW[[#This Row],[Total required water points]]-WWWW[[#This Row],['#Water points coverage]])</f>
        <v>0</v>
      </c>
      <c r="BD198" s="714">
        <f>ROUND(IF(WWWW[[#This Row],[Total PoP ]]&lt;250,1,WWWW[[#This Row],[Total PoP ]]/250),0)</f>
        <v>2</v>
      </c>
      <c r="BE198"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98" s="711">
        <f>WWWW[[#This Row],[% people access to functioning Latrine]]*WWWW[[#This Row],[Total PoP ]]</f>
        <v>0</v>
      </c>
      <c r="BG198" s="714">
        <f>WWWW[[#This Row],['#_of_Functioning_latrines_in_school]]*50</f>
        <v>0</v>
      </c>
      <c r="BH198" s="714">
        <f>ROUND((WWWW[[#This Row],[Total PoP ]]/6),0)</f>
        <v>96</v>
      </c>
      <c r="BI198" s="714">
        <f>IF(WWWW[[#This Row],[Total required Latrines]]-(WWWW[[#This Row],['#_of_sanitary_fly-proof_HH_latrines]])&lt;0,0,WWWW[[#This Row],[Total required Latrines]]-(WWWW[[#This Row],['#_of_sanitary_fly-proof_HH_latrines]]))</f>
        <v>96</v>
      </c>
      <c r="BJ198" s="710">
        <f>1-WWWW[[#This Row],[% people access to functioning Latrine]]</f>
        <v>1</v>
      </c>
      <c r="BK198"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98" s="483">
        <f>IF(WWWW[[#This Row],['#_of_functional_handwashing_facilities_at_HH_level]]*6&gt;WWWW[[#This Row],[Total PoP ]],WWWW[[#This Row],[Total PoP ]],WWWW[[#This Row],['#_of_functional_handwashing_facilities_at_HH_level]]*6)</f>
        <v>0</v>
      </c>
      <c r="BM198" s="714">
        <f>IF(WWWW[[#This Row],['# people reached by regular dedicated hygiene promotion]]&gt;WWWW[[#This Row],['# People received regular supply of hygiene items]],WWWW[[#This Row],['# people reached by regular dedicated hygiene promotion]],WWWW[[#This Row],['# People received regular supply of hygiene items]])</f>
        <v>0</v>
      </c>
      <c r="BN198" s="713">
        <f>IF(WWWW[[#This Row],[HRP3]]/WWWW[[#This Row],[Total PoP ]]&gt;100%,100%,WWWW[[#This Row],[HRP3]]/WWWW[[#This Row],[Total PoP ]])</f>
        <v>0</v>
      </c>
      <c r="BO198" s="710">
        <f>1-WWWW[[#This Row],[Hygiene Coverage%]]</f>
        <v>1</v>
      </c>
      <c r="BP198" s="712">
        <f>WWWW[[#This Row],['# people reached by regular dedicated hygiene promotion]]/WWWW[[#This Row],[Total PoP ]]</f>
        <v>0</v>
      </c>
      <c r="BQ198"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98" s="478">
        <f>WWWW[[#This Row],['#_of_affected_women_and_girls_receiving_a_sufficient_quantity_of_sanitary_pads]]</f>
        <v>0</v>
      </c>
      <c r="BS198" s="524">
        <f>IF(WWWW[[#This Row],['# People with access to soap]]&gt;WWWW[[#This Row],['# People with access to Sanity Pads]],WWWW[[#This Row],['# People with access to soap]],WWWW[[#This Row],['# People with access to Sanity Pads]])</f>
        <v>0</v>
      </c>
      <c r="BT198" s="483" t="str">
        <f>IF(OR(WWWW[[#This Row],['#of students in school]]="",WWWW[[#This Row],['#of students in school]]=0),"No","Yes")</f>
        <v>No</v>
      </c>
      <c r="BU198" s="705" t="str">
        <f>VLOOKUP(WWWW[[#This Row],[Village  Name]],SiteDB6[[Site Name]:[Location Type 1]],9,FALSE)</f>
        <v>Village</v>
      </c>
      <c r="BV198" s="705" t="str">
        <f>VLOOKUP(WWWW[[#This Row],[Village  Name]],SiteDB6[[Site Name]:[Type of Accommodation]],10,FALSE)</f>
        <v>Village</v>
      </c>
      <c r="BW198" s="705">
        <f>VLOOKUP(WWWW[[#This Row],[Village  Name]],SiteDB6[[Site Name]:[Ethnic or GCA/NGCA]],11,FALSE)</f>
        <v>0</v>
      </c>
      <c r="BX198" s="705">
        <f>VLOOKUP(WWWW[[#This Row],[Village  Name]],SiteDB6[[Site Name]:[Lat]],12,FALSE)</f>
        <v>0</v>
      </c>
      <c r="BY198" s="705">
        <f>VLOOKUP(WWWW[[#This Row],[Village  Name]],SiteDB6[[Site Name]:[Long]],13,FALSE)</f>
        <v>0</v>
      </c>
      <c r="BZ198" s="705">
        <f>VLOOKUP(WWWW[[#This Row],[Village  Name]],SiteDB6[[Site Name]:[Pcode]],3,FALSE)</f>
        <v>0</v>
      </c>
      <c r="CA198" s="705" t="str">
        <f t="shared" si="10"/>
        <v>Covered</v>
      </c>
      <c r="CB198" s="715"/>
    </row>
    <row r="199" spans="1:96">
      <c r="A199" s="774" t="s">
        <v>3150</v>
      </c>
      <c r="B199" s="703" t="s">
        <v>2812</v>
      </c>
      <c r="C199" s="703" t="s">
        <v>2812</v>
      </c>
      <c r="D199" s="704" t="s">
        <v>3176</v>
      </c>
      <c r="E199" s="704" t="s">
        <v>36</v>
      </c>
      <c r="F199" s="704" t="s">
        <v>132</v>
      </c>
      <c r="G199" s="705" t="str">
        <f>VLOOKUP(WWWW[[#This Row],[Village  Name]],SiteDB6[[Site Name]:[Location Type]],8,FALSE)</f>
        <v>Village</v>
      </c>
      <c r="H199" s="704" t="s">
        <v>3194</v>
      </c>
      <c r="I199" s="706">
        <v>37</v>
      </c>
      <c r="J199" s="706">
        <v>68</v>
      </c>
      <c r="K199" s="707">
        <v>43476</v>
      </c>
      <c r="L199" s="708">
        <v>44104</v>
      </c>
      <c r="M199" s="706"/>
      <c r="N199" s="706"/>
      <c r="O199" s="524">
        <v>1</v>
      </c>
      <c r="P199" s="706"/>
      <c r="Q199" s="706"/>
      <c r="R199" s="706"/>
      <c r="S199" s="706"/>
      <c r="T199" s="706"/>
      <c r="U199" s="709"/>
      <c r="V199" s="706"/>
      <c r="W199" s="706"/>
      <c r="X199" s="706"/>
      <c r="Y199" s="706"/>
      <c r="Z199" s="706"/>
      <c r="AA199" s="706"/>
      <c r="AB199" s="706"/>
      <c r="AC199" s="709"/>
      <c r="AD199" s="706"/>
      <c r="AE199" s="706"/>
      <c r="AF199" s="706"/>
      <c r="AG199" s="706"/>
      <c r="AH199" s="706"/>
      <c r="AI199" s="706"/>
      <c r="AJ199" s="524"/>
      <c r="AK199" s="706"/>
      <c r="AL199" s="524"/>
      <c r="AM199" s="524"/>
      <c r="AN199" s="709"/>
      <c r="AO199" s="477"/>
      <c r="AP199" s="477"/>
      <c r="AQ199" s="524"/>
      <c r="AR199" s="524"/>
      <c r="AS199" s="524"/>
      <c r="AT199"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199" s="711">
        <f>WWWW[[#This Row],[%Equitable and continuous access to sufficient quantity of safe drinking water]]*WWWW[[#This Row],[Total PoP ]]</f>
        <v>68</v>
      </c>
      <c r="AV199"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199" s="711">
        <f>WWWW[[#This Row],[% Access to unimproved water points]]*WWWW[[#This Row],[Total PoP ]]</f>
        <v>0</v>
      </c>
      <c r="AX199"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199"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68</v>
      </c>
      <c r="AZ199" s="711">
        <f>WWWW[[#This Row],[HRP1]]/250</f>
        <v>0.27200000000000002</v>
      </c>
      <c r="BA199" s="713">
        <f>1-WWWW[[#This Row],[% Equitable and continuous access to sufficient quantity of domestic water]]</f>
        <v>0</v>
      </c>
      <c r="BB199" s="711">
        <f>WWWW[[#This Row],[%equitable and continuous access to sufficient quantity of safe drinking and domestic water''s GAP]]*WWWW[[#This Row],[Total PoP ]]</f>
        <v>0</v>
      </c>
      <c r="BC199" s="714">
        <f>IF(WWWW[[#This Row],[Total required water points]]-WWWW[[#This Row],['#Water points coverage]]&lt;0,0,WWWW[[#This Row],[Total required water points]]-WWWW[[#This Row],['#Water points coverage]])</f>
        <v>0.72799999999999998</v>
      </c>
      <c r="BD199" s="714">
        <f>ROUND(IF(WWWW[[#This Row],[Total PoP ]]&lt;250,1,WWWW[[#This Row],[Total PoP ]]/250),0)</f>
        <v>1</v>
      </c>
      <c r="BE199"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199" s="711">
        <f>WWWW[[#This Row],[% people access to functioning Latrine]]*WWWW[[#This Row],[Total PoP ]]</f>
        <v>0</v>
      </c>
      <c r="BG199" s="714">
        <f>WWWW[[#This Row],['#_of_Functioning_latrines_in_school]]*50</f>
        <v>0</v>
      </c>
      <c r="BH199" s="714">
        <f>ROUND((WWWW[[#This Row],[Total PoP ]]/6),0)</f>
        <v>11</v>
      </c>
      <c r="BI199" s="714">
        <f>IF(WWWW[[#This Row],[Total required Latrines]]-(WWWW[[#This Row],['#_of_sanitary_fly-proof_HH_latrines]])&lt;0,0,WWWW[[#This Row],[Total required Latrines]]-(WWWW[[#This Row],['#_of_sanitary_fly-proof_HH_latrines]]))</f>
        <v>11</v>
      </c>
      <c r="BJ199" s="710">
        <f>1-WWWW[[#This Row],[% people access to functioning Latrine]]</f>
        <v>1</v>
      </c>
      <c r="BK199"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199" s="483">
        <f>IF(WWWW[[#This Row],['#_of_functional_handwashing_facilities_at_HH_level]]*6&gt;WWWW[[#This Row],[Total PoP ]],WWWW[[#This Row],[Total PoP ]],WWWW[[#This Row],['#_of_functional_handwashing_facilities_at_HH_level]]*6)</f>
        <v>0</v>
      </c>
      <c r="BM199" s="714">
        <f>IF(WWWW[[#This Row],['# people reached by regular dedicated hygiene promotion]]&gt;WWWW[[#This Row],['# People received regular supply of hygiene items]],WWWW[[#This Row],['# people reached by regular dedicated hygiene promotion]],WWWW[[#This Row],['# People received regular supply of hygiene items]])</f>
        <v>0</v>
      </c>
      <c r="BN199" s="713">
        <f>IF(WWWW[[#This Row],[HRP3]]/WWWW[[#This Row],[Total PoP ]]&gt;100%,100%,WWWW[[#This Row],[HRP3]]/WWWW[[#This Row],[Total PoP ]])</f>
        <v>0</v>
      </c>
      <c r="BO199" s="710">
        <f>1-WWWW[[#This Row],[Hygiene Coverage%]]</f>
        <v>1</v>
      </c>
      <c r="BP199" s="712">
        <f>WWWW[[#This Row],['# people reached by regular dedicated hygiene promotion]]/WWWW[[#This Row],[Total PoP ]]</f>
        <v>0</v>
      </c>
      <c r="BQ199"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199" s="478">
        <f>WWWW[[#This Row],['#_of_affected_women_and_girls_receiving_a_sufficient_quantity_of_sanitary_pads]]</f>
        <v>0</v>
      </c>
      <c r="BS199" s="524">
        <f>IF(WWWW[[#This Row],['# People with access to soap]]&gt;WWWW[[#This Row],['# People with access to Sanity Pads]],WWWW[[#This Row],['# People with access to soap]],WWWW[[#This Row],['# People with access to Sanity Pads]])</f>
        <v>0</v>
      </c>
      <c r="BT199" s="483" t="str">
        <f>IF(OR(WWWW[[#This Row],['#of students in school]]="",WWWW[[#This Row],['#of students in school]]=0),"No","Yes")</f>
        <v>No</v>
      </c>
      <c r="BU199" s="705" t="str">
        <f>VLOOKUP(WWWW[[#This Row],[Village  Name]],SiteDB6[[Site Name]:[Location Type 1]],9,FALSE)</f>
        <v>Village</v>
      </c>
      <c r="BV199" s="705" t="str">
        <f>VLOOKUP(WWWW[[#This Row],[Village  Name]],SiteDB6[[Site Name]:[Type of Accommodation]],10,FALSE)</f>
        <v>Village</v>
      </c>
      <c r="BW199" s="705">
        <f>VLOOKUP(WWWW[[#This Row],[Village  Name]],SiteDB6[[Site Name]:[Ethnic or GCA/NGCA]],11,FALSE)</f>
        <v>0</v>
      </c>
      <c r="BX199" s="705">
        <f>VLOOKUP(WWWW[[#This Row],[Village  Name]],SiteDB6[[Site Name]:[Lat]],12,FALSE)</f>
        <v>0</v>
      </c>
      <c r="BY199" s="705">
        <f>VLOOKUP(WWWW[[#This Row],[Village  Name]],SiteDB6[[Site Name]:[Long]],13,FALSE)</f>
        <v>0</v>
      </c>
      <c r="BZ199" s="705">
        <f>VLOOKUP(WWWW[[#This Row],[Village  Name]],SiteDB6[[Site Name]:[Pcode]],3,FALSE)</f>
        <v>0</v>
      </c>
      <c r="CA199" s="705" t="str">
        <f t="shared" si="10"/>
        <v>Covered</v>
      </c>
      <c r="CB199" s="715"/>
    </row>
    <row r="200" spans="1:96">
      <c r="A200" s="774" t="s">
        <v>3150</v>
      </c>
      <c r="B200" s="703" t="s">
        <v>2812</v>
      </c>
      <c r="C200" s="703" t="s">
        <v>2812</v>
      </c>
      <c r="D200" s="704" t="s">
        <v>3176</v>
      </c>
      <c r="E200" s="704" t="s">
        <v>36</v>
      </c>
      <c r="F200" s="704" t="s">
        <v>132</v>
      </c>
      <c r="G200" s="705" t="str">
        <f>VLOOKUP(WWWW[[#This Row],[Village  Name]],SiteDB6[[Site Name]:[Location Type]],8,FALSE)</f>
        <v>Village</v>
      </c>
      <c r="H200" s="704" t="s">
        <v>3195</v>
      </c>
      <c r="I200" s="706">
        <v>55</v>
      </c>
      <c r="J200" s="706">
        <v>167</v>
      </c>
      <c r="K200" s="707">
        <v>43476</v>
      </c>
      <c r="L200" s="708">
        <v>44104</v>
      </c>
      <c r="M200" s="706"/>
      <c r="N200" s="706"/>
      <c r="O200" s="524"/>
      <c r="P200" s="706"/>
      <c r="Q200" s="706"/>
      <c r="R200" s="706"/>
      <c r="S200" s="706"/>
      <c r="T200" s="706"/>
      <c r="U200" s="709"/>
      <c r="V200" s="706"/>
      <c r="W200" s="706"/>
      <c r="X200" s="706"/>
      <c r="Y200" s="706"/>
      <c r="Z200" s="706"/>
      <c r="AA200" s="706"/>
      <c r="AB200" s="706"/>
      <c r="AC200" s="709"/>
      <c r="AD200" s="706"/>
      <c r="AE200" s="706"/>
      <c r="AF200" s="706"/>
      <c r="AG200" s="706"/>
      <c r="AH200" s="706"/>
      <c r="AI200" s="706"/>
      <c r="AJ200" s="524"/>
      <c r="AK200" s="706"/>
      <c r="AL200" s="524"/>
      <c r="AM200" s="524"/>
      <c r="AN200" s="709"/>
      <c r="AO200" s="477"/>
      <c r="AP200" s="477"/>
      <c r="AQ200" s="524"/>
      <c r="AR200" s="524"/>
      <c r="AS200" s="524"/>
      <c r="AT200"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00" s="711">
        <f>WWWW[[#This Row],[%Equitable and continuous access to sufficient quantity of safe drinking water]]*WWWW[[#This Row],[Total PoP ]]</f>
        <v>0</v>
      </c>
      <c r="AV200"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00" s="711">
        <f>WWWW[[#This Row],[% Access to unimproved water points]]*WWWW[[#This Row],[Total PoP ]]</f>
        <v>0</v>
      </c>
      <c r="AX200"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00"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00" s="711">
        <f>WWWW[[#This Row],[HRP1]]/250</f>
        <v>0</v>
      </c>
      <c r="BA200" s="713">
        <f>1-WWWW[[#This Row],[% Equitable and continuous access to sufficient quantity of domestic water]]</f>
        <v>1</v>
      </c>
      <c r="BB200" s="711">
        <f>WWWW[[#This Row],[%equitable and continuous access to sufficient quantity of safe drinking and domestic water''s GAP]]*WWWW[[#This Row],[Total PoP ]]</f>
        <v>167</v>
      </c>
      <c r="BC200" s="714">
        <f>IF(WWWW[[#This Row],[Total required water points]]-WWWW[[#This Row],['#Water points coverage]]&lt;0,0,WWWW[[#This Row],[Total required water points]]-WWWW[[#This Row],['#Water points coverage]])</f>
        <v>1</v>
      </c>
      <c r="BD200" s="714">
        <f>ROUND(IF(WWWW[[#This Row],[Total PoP ]]&lt;250,1,WWWW[[#This Row],[Total PoP ]]/250),0)</f>
        <v>1</v>
      </c>
      <c r="BE200"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00" s="711">
        <f>WWWW[[#This Row],[% people access to functioning Latrine]]*WWWW[[#This Row],[Total PoP ]]</f>
        <v>0</v>
      </c>
      <c r="BG200" s="714">
        <f>WWWW[[#This Row],['#_of_Functioning_latrines_in_school]]*50</f>
        <v>0</v>
      </c>
      <c r="BH200" s="714">
        <f>ROUND((WWWW[[#This Row],[Total PoP ]]/6),0)</f>
        <v>28</v>
      </c>
      <c r="BI200" s="714">
        <f>IF(WWWW[[#This Row],[Total required Latrines]]-(WWWW[[#This Row],['#_of_sanitary_fly-proof_HH_latrines]])&lt;0,0,WWWW[[#This Row],[Total required Latrines]]-(WWWW[[#This Row],['#_of_sanitary_fly-proof_HH_latrines]]))</f>
        <v>28</v>
      </c>
      <c r="BJ200" s="710">
        <f>1-WWWW[[#This Row],[% people access to functioning Latrine]]</f>
        <v>1</v>
      </c>
      <c r="BK200"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00" s="483">
        <f>IF(WWWW[[#This Row],['#_of_functional_handwashing_facilities_at_HH_level]]*6&gt;WWWW[[#This Row],[Total PoP ]],WWWW[[#This Row],[Total PoP ]],WWWW[[#This Row],['#_of_functional_handwashing_facilities_at_HH_level]]*6)</f>
        <v>0</v>
      </c>
      <c r="BM200" s="714">
        <f>IF(WWWW[[#This Row],['# people reached by regular dedicated hygiene promotion]]&gt;WWWW[[#This Row],['# People received regular supply of hygiene items]],WWWW[[#This Row],['# people reached by regular dedicated hygiene promotion]],WWWW[[#This Row],['# People received regular supply of hygiene items]])</f>
        <v>0</v>
      </c>
      <c r="BN200" s="713">
        <f>IF(WWWW[[#This Row],[HRP3]]/WWWW[[#This Row],[Total PoP ]]&gt;100%,100%,WWWW[[#This Row],[HRP3]]/WWWW[[#This Row],[Total PoP ]])</f>
        <v>0</v>
      </c>
      <c r="BO200" s="710">
        <f>1-WWWW[[#This Row],[Hygiene Coverage%]]</f>
        <v>1</v>
      </c>
      <c r="BP200" s="712">
        <f>WWWW[[#This Row],['# people reached by regular dedicated hygiene promotion]]/WWWW[[#This Row],[Total PoP ]]</f>
        <v>0</v>
      </c>
      <c r="BQ200"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00" s="478">
        <f>WWWW[[#This Row],['#_of_affected_women_and_girls_receiving_a_sufficient_quantity_of_sanitary_pads]]</f>
        <v>0</v>
      </c>
      <c r="BS200" s="524">
        <f>IF(WWWW[[#This Row],['# People with access to soap]]&gt;WWWW[[#This Row],['# People with access to Sanity Pads]],WWWW[[#This Row],['# People with access to soap]],WWWW[[#This Row],['# People with access to Sanity Pads]])</f>
        <v>0</v>
      </c>
      <c r="BT200" s="483" t="str">
        <f>IF(OR(WWWW[[#This Row],['#of students in school]]="",WWWW[[#This Row],['#of students in school]]=0),"No","Yes")</f>
        <v>No</v>
      </c>
      <c r="BU200" s="705" t="str">
        <f>VLOOKUP(WWWW[[#This Row],[Village  Name]],SiteDB6[[Site Name]:[Location Type 1]],9,FALSE)</f>
        <v>Village</v>
      </c>
      <c r="BV200" s="705" t="str">
        <f>VLOOKUP(WWWW[[#This Row],[Village  Name]],SiteDB6[[Site Name]:[Type of Accommodation]],10,FALSE)</f>
        <v>Village</v>
      </c>
      <c r="BW200" s="705">
        <f>VLOOKUP(WWWW[[#This Row],[Village  Name]],SiteDB6[[Site Name]:[Ethnic or GCA/NGCA]],11,FALSE)</f>
        <v>0</v>
      </c>
      <c r="BX200" s="705">
        <f>VLOOKUP(WWWW[[#This Row],[Village  Name]],SiteDB6[[Site Name]:[Lat]],12,FALSE)</f>
        <v>0</v>
      </c>
      <c r="BY200" s="705">
        <f>VLOOKUP(WWWW[[#This Row],[Village  Name]],SiteDB6[[Site Name]:[Long]],13,FALSE)</f>
        <v>0</v>
      </c>
      <c r="BZ200" s="705">
        <f>VLOOKUP(WWWW[[#This Row],[Village  Name]],SiteDB6[[Site Name]:[Pcode]],3,FALSE)</f>
        <v>0</v>
      </c>
      <c r="CA200" s="705" t="str">
        <f t="shared" si="10"/>
        <v>Covered</v>
      </c>
      <c r="CB200" s="715"/>
    </row>
    <row r="201" spans="1:96">
      <c r="A201" s="774" t="s">
        <v>3150</v>
      </c>
      <c r="B201" s="703" t="s">
        <v>2812</v>
      </c>
      <c r="C201" s="703" t="s">
        <v>2812</v>
      </c>
      <c r="D201" s="704" t="s">
        <v>3176</v>
      </c>
      <c r="E201" s="704" t="s">
        <v>36</v>
      </c>
      <c r="F201" s="704" t="s">
        <v>132</v>
      </c>
      <c r="G201" s="705" t="str">
        <f>VLOOKUP(WWWW[[#This Row],[Village  Name]],SiteDB6[[Site Name]:[Location Type]],8,FALSE)</f>
        <v>Village</v>
      </c>
      <c r="H201" s="704" t="s">
        <v>3196</v>
      </c>
      <c r="I201" s="706">
        <v>46</v>
      </c>
      <c r="J201" s="706">
        <v>126</v>
      </c>
      <c r="K201" s="707">
        <v>43476</v>
      </c>
      <c r="L201" s="708">
        <v>44104</v>
      </c>
      <c r="M201" s="706"/>
      <c r="N201" s="706"/>
      <c r="O201" s="524"/>
      <c r="P201" s="706"/>
      <c r="Q201" s="706"/>
      <c r="R201" s="706"/>
      <c r="S201" s="706"/>
      <c r="T201" s="706"/>
      <c r="U201" s="709"/>
      <c r="V201" s="706"/>
      <c r="W201" s="706"/>
      <c r="X201" s="706"/>
      <c r="Y201" s="706"/>
      <c r="Z201" s="706"/>
      <c r="AA201" s="706"/>
      <c r="AB201" s="706"/>
      <c r="AC201" s="709"/>
      <c r="AD201" s="706"/>
      <c r="AE201" s="706"/>
      <c r="AF201" s="706"/>
      <c r="AG201" s="706"/>
      <c r="AH201" s="706"/>
      <c r="AI201" s="706"/>
      <c r="AJ201" s="524"/>
      <c r="AK201" s="706"/>
      <c r="AL201" s="524"/>
      <c r="AM201" s="524"/>
      <c r="AN201" s="709"/>
      <c r="AO201" s="477"/>
      <c r="AP201" s="477"/>
      <c r="AQ201" s="524"/>
      <c r="AR201" s="524"/>
      <c r="AS201" s="524"/>
      <c r="AT201"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01" s="711">
        <f>WWWW[[#This Row],[%Equitable and continuous access to sufficient quantity of safe drinking water]]*WWWW[[#This Row],[Total PoP ]]</f>
        <v>0</v>
      </c>
      <c r="AV201"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01" s="711">
        <f>WWWW[[#This Row],[% Access to unimproved water points]]*WWWW[[#This Row],[Total PoP ]]</f>
        <v>0</v>
      </c>
      <c r="AX201"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01"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01" s="711">
        <f>WWWW[[#This Row],[HRP1]]/250</f>
        <v>0</v>
      </c>
      <c r="BA201" s="713">
        <f>1-WWWW[[#This Row],[% Equitable and continuous access to sufficient quantity of domestic water]]</f>
        <v>1</v>
      </c>
      <c r="BB201" s="711">
        <f>WWWW[[#This Row],[%equitable and continuous access to sufficient quantity of safe drinking and domestic water''s GAP]]*WWWW[[#This Row],[Total PoP ]]</f>
        <v>126</v>
      </c>
      <c r="BC201" s="714">
        <f>IF(WWWW[[#This Row],[Total required water points]]-WWWW[[#This Row],['#Water points coverage]]&lt;0,0,WWWW[[#This Row],[Total required water points]]-WWWW[[#This Row],['#Water points coverage]])</f>
        <v>1</v>
      </c>
      <c r="BD201" s="714">
        <f>ROUND(IF(WWWW[[#This Row],[Total PoP ]]&lt;250,1,WWWW[[#This Row],[Total PoP ]]/250),0)</f>
        <v>1</v>
      </c>
      <c r="BE201" s="479">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01" s="711">
        <f>WWWW[[#This Row],[% people access to functioning Latrine]]*WWWW[[#This Row],[Total PoP ]]</f>
        <v>0</v>
      </c>
      <c r="BG201" s="714">
        <f>WWWW[[#This Row],['#_of_Functioning_latrines_in_school]]*50</f>
        <v>0</v>
      </c>
      <c r="BH201" s="714">
        <f>ROUND((WWWW[[#This Row],[Total PoP ]]/6),0)</f>
        <v>21</v>
      </c>
      <c r="BI201" s="714">
        <f>IF(WWWW[[#This Row],[Total required Latrines]]-(WWWW[[#This Row],['#_of_sanitary_fly-proof_HH_latrines]])&lt;0,0,WWWW[[#This Row],[Total required Latrines]]-(WWWW[[#This Row],['#_of_sanitary_fly-proof_HH_latrines]]))</f>
        <v>21</v>
      </c>
      <c r="BJ201" s="710">
        <f>1-WWWW[[#This Row],[% people access to functioning Latrine]]</f>
        <v>1</v>
      </c>
      <c r="BK201"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01" s="483">
        <f>IF(WWWW[[#This Row],['#_of_functional_handwashing_facilities_at_HH_level]]*6&gt;WWWW[[#This Row],[Total PoP ]],WWWW[[#This Row],[Total PoP ]],WWWW[[#This Row],['#_of_functional_handwashing_facilities_at_HH_level]]*6)</f>
        <v>0</v>
      </c>
      <c r="BM201" s="714">
        <f>IF(WWWW[[#This Row],['# people reached by regular dedicated hygiene promotion]]&gt;WWWW[[#This Row],['# People received regular supply of hygiene items]],WWWW[[#This Row],['# people reached by regular dedicated hygiene promotion]],WWWW[[#This Row],['# People received regular supply of hygiene items]])</f>
        <v>0</v>
      </c>
      <c r="BN201" s="713">
        <f>IF(WWWW[[#This Row],[HRP3]]/WWWW[[#This Row],[Total PoP ]]&gt;100%,100%,WWWW[[#This Row],[HRP3]]/WWWW[[#This Row],[Total PoP ]])</f>
        <v>0</v>
      </c>
      <c r="BO201" s="710">
        <f>1-WWWW[[#This Row],[Hygiene Coverage%]]</f>
        <v>1</v>
      </c>
      <c r="BP201" s="712">
        <f>WWWW[[#This Row],['# people reached by regular dedicated hygiene promotion]]/WWWW[[#This Row],[Total PoP ]]</f>
        <v>0</v>
      </c>
      <c r="BQ201" s="478">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01" s="478">
        <f>WWWW[[#This Row],['#_of_affected_women_and_girls_receiving_a_sufficient_quantity_of_sanitary_pads]]</f>
        <v>0</v>
      </c>
      <c r="BS201" s="524">
        <f>IF(WWWW[[#This Row],['# People with access to soap]]&gt;WWWW[[#This Row],['# People with access to Sanity Pads]],WWWW[[#This Row],['# People with access to soap]],WWWW[[#This Row],['# People with access to Sanity Pads]])</f>
        <v>0</v>
      </c>
      <c r="BT201" s="483" t="str">
        <f>IF(OR(WWWW[[#This Row],['#of students in school]]="",WWWW[[#This Row],['#of students in school]]=0),"No","Yes")</f>
        <v>No</v>
      </c>
      <c r="BU201" s="705" t="str">
        <f>VLOOKUP(WWWW[[#This Row],[Village  Name]],SiteDB6[[Site Name]:[Location Type 1]],9,FALSE)</f>
        <v>Village</v>
      </c>
      <c r="BV201" s="705" t="str">
        <f>VLOOKUP(WWWW[[#This Row],[Village  Name]],SiteDB6[[Site Name]:[Type of Accommodation]],10,FALSE)</f>
        <v>Village</v>
      </c>
      <c r="BW201" s="705">
        <f>VLOOKUP(WWWW[[#This Row],[Village  Name]],SiteDB6[[Site Name]:[Ethnic or GCA/NGCA]],11,FALSE)</f>
        <v>0</v>
      </c>
      <c r="BX201" s="705">
        <f>VLOOKUP(WWWW[[#This Row],[Village  Name]],SiteDB6[[Site Name]:[Lat]],12,FALSE)</f>
        <v>0</v>
      </c>
      <c r="BY201" s="705">
        <f>VLOOKUP(WWWW[[#This Row],[Village  Name]],SiteDB6[[Site Name]:[Long]],13,FALSE)</f>
        <v>0</v>
      </c>
      <c r="BZ201" s="705">
        <f>VLOOKUP(WWWW[[#This Row],[Village  Name]],SiteDB6[[Site Name]:[Pcode]],3,FALSE)</f>
        <v>0</v>
      </c>
      <c r="CA201" s="705" t="str">
        <f t="shared" si="10"/>
        <v>Covered</v>
      </c>
      <c r="CB201" s="715"/>
    </row>
    <row r="202" spans="1:96" s="764" customFormat="1">
      <c r="A202" s="774" t="s">
        <v>3199</v>
      </c>
      <c r="B202" s="703" t="s">
        <v>3232</v>
      </c>
      <c r="C202" s="704" t="s">
        <v>3232</v>
      </c>
      <c r="D202" s="704" t="s">
        <v>339</v>
      </c>
      <c r="E202" s="704" t="s">
        <v>36</v>
      </c>
      <c r="F202" s="704" t="s">
        <v>771</v>
      </c>
      <c r="G202" s="705" t="str">
        <f>VLOOKUP(WWWW[[#This Row],[Village  Name]],SiteDB6[[Site Name]:[Location Type]],8,FALSE)</f>
        <v>Village</v>
      </c>
      <c r="H202" s="704" t="s">
        <v>3233</v>
      </c>
      <c r="I202" s="706">
        <v>54</v>
      </c>
      <c r="J202" s="706">
        <v>300</v>
      </c>
      <c r="K202" s="707">
        <v>43831</v>
      </c>
      <c r="L202" s="708">
        <v>44926</v>
      </c>
      <c r="M202" s="706"/>
      <c r="N202" s="706"/>
      <c r="O202" s="773"/>
      <c r="P202" s="706"/>
      <c r="Q202" s="706"/>
      <c r="R202" s="706"/>
      <c r="S202" s="706"/>
      <c r="T202" s="706"/>
      <c r="U202" s="709"/>
      <c r="V202" s="706"/>
      <c r="W202" s="706"/>
      <c r="X202" s="706"/>
      <c r="Y202" s="706">
        <v>3</v>
      </c>
      <c r="Z202" s="706"/>
      <c r="AA202" s="706"/>
      <c r="AB202" s="706"/>
      <c r="AC202" s="709"/>
      <c r="AD202" s="706"/>
      <c r="AE202" s="706"/>
      <c r="AF202" s="706"/>
      <c r="AG202" s="706"/>
      <c r="AH202" s="706"/>
      <c r="AI202" s="706"/>
      <c r="AJ202" s="773"/>
      <c r="AK202" s="706"/>
      <c r="AL202" s="773"/>
      <c r="AM202" s="773"/>
      <c r="AN202" s="709"/>
      <c r="AO202" s="769"/>
      <c r="AP202" s="769"/>
      <c r="AQ202" s="773"/>
      <c r="AR202" s="773"/>
      <c r="AS202" s="773"/>
      <c r="AT202"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02" s="711">
        <f>WWWW[[#This Row],[%Equitable and continuous access to sufficient quantity of safe drinking water]]*WWWW[[#This Row],[Total PoP ]]</f>
        <v>0</v>
      </c>
      <c r="AV202"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02" s="711">
        <f>WWWW[[#This Row],[% Access to unimproved water points]]*WWWW[[#This Row],[Total PoP ]]</f>
        <v>0</v>
      </c>
      <c r="AX202"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02"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02" s="711">
        <f>WWWW[[#This Row],[HRP1]]/250</f>
        <v>0</v>
      </c>
      <c r="BA202" s="713">
        <f>1-WWWW[[#This Row],[% Equitable and continuous access to sufficient quantity of domestic water]]</f>
        <v>1</v>
      </c>
      <c r="BB202" s="711">
        <f>WWWW[[#This Row],[%equitable and continuous access to sufficient quantity of safe drinking and domestic water''s GAP]]*WWWW[[#This Row],[Total PoP ]]</f>
        <v>300</v>
      </c>
      <c r="BC202" s="714">
        <f>IF(WWWW[[#This Row],[Total required water points]]-WWWW[[#This Row],['#Water points coverage]]&lt;0,0,WWWW[[#This Row],[Total required water points]]-WWWW[[#This Row],['#Water points coverage]])</f>
        <v>1</v>
      </c>
      <c r="BD202" s="714">
        <f>ROUND(IF(WWWW[[#This Row],[Total PoP ]]&lt;250,1,WWWW[[#This Row],[Total PoP ]]/250),0)</f>
        <v>1</v>
      </c>
      <c r="BE20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02" s="711">
        <f>WWWW[[#This Row],[% people access to functioning Latrine]]*WWWW[[#This Row],[Total PoP ]]</f>
        <v>0</v>
      </c>
      <c r="BG202" s="714">
        <f>WWWW[[#This Row],['#_of_Functioning_latrines_in_school]]*50</f>
        <v>0</v>
      </c>
      <c r="BH202" s="714">
        <f>ROUND((WWWW[[#This Row],[Total PoP ]]/6),0)</f>
        <v>50</v>
      </c>
      <c r="BI202" s="714">
        <f>IF(WWWW[[#This Row],[Total required Latrines]]-(WWWW[[#This Row],['#_of_sanitary_fly-proof_HH_latrines]])&lt;0,0,WWWW[[#This Row],[Total required Latrines]]-(WWWW[[#This Row],['#_of_sanitary_fly-proof_HH_latrines]]))</f>
        <v>50</v>
      </c>
      <c r="BJ202" s="710">
        <f>1-WWWW[[#This Row],[% people access to functioning Latrine]]</f>
        <v>1</v>
      </c>
      <c r="BK202"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02" s="772">
        <f>IF(WWWW[[#This Row],['#_of_functional_handwashing_facilities_at_HH_level]]*6&gt;WWWW[[#This Row],[Total PoP ]],WWWW[[#This Row],[Total PoP ]],WWWW[[#This Row],['#_of_functional_handwashing_facilities_at_HH_level]]*6)</f>
        <v>0</v>
      </c>
      <c r="BM202" s="714">
        <f>IF(WWWW[[#This Row],['# people reached by regular dedicated hygiene promotion]]&gt;WWWW[[#This Row],['# People received regular supply of hygiene items]],WWWW[[#This Row],['# people reached by regular dedicated hygiene promotion]],WWWW[[#This Row],['# People received regular supply of hygiene items]])</f>
        <v>0</v>
      </c>
      <c r="BN202" s="713">
        <f>IF(WWWW[[#This Row],[HRP3]]/WWWW[[#This Row],[Total PoP ]]&gt;100%,100%,WWWW[[#This Row],[HRP3]]/WWWW[[#This Row],[Total PoP ]])</f>
        <v>0</v>
      </c>
      <c r="BO202" s="710">
        <f>1-WWWW[[#This Row],[Hygiene Coverage%]]</f>
        <v>1</v>
      </c>
      <c r="BP202" s="712">
        <f>WWWW[[#This Row],['# people reached by regular dedicated hygiene promotion]]/WWWW[[#This Row],[Total PoP ]]</f>
        <v>0</v>
      </c>
      <c r="BQ20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02" s="770">
        <f>WWWW[[#This Row],['#_of_affected_women_and_girls_receiving_a_sufficient_quantity_of_sanitary_pads]]</f>
        <v>0</v>
      </c>
      <c r="BS202" s="773">
        <f>IF(WWWW[[#This Row],['# People with access to soap]]&gt;WWWW[[#This Row],['# People with access to Sanity Pads]],WWWW[[#This Row],['# People with access to soap]],WWWW[[#This Row],['# People with access to Sanity Pads]])</f>
        <v>0</v>
      </c>
      <c r="BT202" s="772" t="str">
        <f>IF(OR(WWWW[[#This Row],['#of students in school]]="",WWWW[[#This Row],['#of students in school]]=0),"No","Yes")</f>
        <v>No</v>
      </c>
      <c r="BU202" s="705" t="str">
        <f>VLOOKUP(WWWW[[#This Row],[Village  Name]],SiteDB6[[Site Name]:[Location Type 1]],9,FALSE)</f>
        <v>Village</v>
      </c>
      <c r="BV202" s="705" t="str">
        <f>VLOOKUP(WWWW[[#This Row],[Village  Name]],SiteDB6[[Site Name]:[Type of Accommodation]],10,FALSE)</f>
        <v>Village</v>
      </c>
      <c r="BW202" s="705">
        <f>VLOOKUP(WWWW[[#This Row],[Village  Name]],SiteDB6[[Site Name]:[Ethnic or GCA/NGCA]],11,FALSE)</f>
        <v>0</v>
      </c>
      <c r="BX202" s="705">
        <f>VLOOKUP(WWWW[[#This Row],[Village  Name]],SiteDB6[[Site Name]:[Lat]],12,FALSE)</f>
        <v>0</v>
      </c>
      <c r="BY202" s="705">
        <f>VLOOKUP(WWWW[[#This Row],[Village  Name]],SiteDB6[[Site Name]:[Long]],13,FALSE)</f>
        <v>0</v>
      </c>
      <c r="BZ202" s="705">
        <f>VLOOKUP(WWWW[[#This Row],[Village  Name]],SiteDB6[[Site Name]:[Pcode]],3,FALSE)</f>
        <v>0</v>
      </c>
      <c r="CA202" s="705" t="str">
        <f>IF(C202="none","Notcovered","Covered")</f>
        <v>Covered</v>
      </c>
      <c r="CB202" s="715"/>
      <c r="CC202" s="765"/>
      <c r="CD202" s="766"/>
      <c r="CE202" s="766"/>
      <c r="CF202" s="763"/>
      <c r="CG202" s="766"/>
      <c r="CH202" s="767"/>
      <c r="CI202" s="767"/>
      <c r="CJ202" s="768"/>
      <c r="CK202" s="768"/>
      <c r="CL202" s="768"/>
      <c r="CM202" s="768"/>
      <c r="CN202" s="768"/>
      <c r="CO202" s="768"/>
      <c r="CP202" s="768"/>
      <c r="CQ202" s="768"/>
      <c r="CR202" s="768"/>
    </row>
    <row r="203" spans="1:96" s="764" customFormat="1">
      <c r="A203" s="774" t="s">
        <v>3199</v>
      </c>
      <c r="B203" s="703" t="s">
        <v>3232</v>
      </c>
      <c r="C203" s="704" t="s">
        <v>3232</v>
      </c>
      <c r="D203" s="704" t="s">
        <v>339</v>
      </c>
      <c r="E203" s="704" t="s">
        <v>36</v>
      </c>
      <c r="F203" s="704" t="s">
        <v>771</v>
      </c>
      <c r="G203" s="705" t="str">
        <f>VLOOKUP(WWWW[[#This Row],[Village  Name]],SiteDB6[[Site Name]:[Location Type]],8,FALSE)</f>
        <v>Village</v>
      </c>
      <c r="H203" s="704" t="s">
        <v>3234</v>
      </c>
      <c r="I203" s="706">
        <v>17</v>
      </c>
      <c r="J203" s="706">
        <v>95</v>
      </c>
      <c r="K203" s="707">
        <v>43831</v>
      </c>
      <c r="L203" s="708">
        <v>44926</v>
      </c>
      <c r="M203" s="706"/>
      <c r="N203" s="706"/>
      <c r="O203" s="773"/>
      <c r="P203" s="706"/>
      <c r="Q203" s="706"/>
      <c r="R203" s="706"/>
      <c r="S203" s="706"/>
      <c r="T203" s="706"/>
      <c r="U203" s="709"/>
      <c r="V203" s="706"/>
      <c r="W203" s="706"/>
      <c r="X203" s="706"/>
      <c r="Y203" s="706">
        <v>3</v>
      </c>
      <c r="Z203" s="706"/>
      <c r="AA203" s="706"/>
      <c r="AB203" s="706"/>
      <c r="AC203" s="709"/>
      <c r="AD203" s="706"/>
      <c r="AE203" s="706"/>
      <c r="AF203" s="706"/>
      <c r="AG203" s="706"/>
      <c r="AH203" s="706"/>
      <c r="AI203" s="706"/>
      <c r="AJ203" s="773"/>
      <c r="AK203" s="706"/>
      <c r="AL203" s="773"/>
      <c r="AM203" s="773"/>
      <c r="AN203" s="709"/>
      <c r="AO203" s="769"/>
      <c r="AP203" s="769"/>
      <c r="AQ203" s="773"/>
      <c r="AR203" s="773"/>
      <c r="AS203" s="773"/>
      <c r="AT203"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03" s="711">
        <f>WWWW[[#This Row],[%Equitable and continuous access to sufficient quantity of safe drinking water]]*WWWW[[#This Row],[Total PoP ]]</f>
        <v>0</v>
      </c>
      <c r="AV203"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03" s="711">
        <f>WWWW[[#This Row],[% Access to unimproved water points]]*WWWW[[#This Row],[Total PoP ]]</f>
        <v>0</v>
      </c>
      <c r="AX203"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03"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03" s="711">
        <f>WWWW[[#This Row],[HRP1]]/250</f>
        <v>0</v>
      </c>
      <c r="BA203" s="713">
        <f>1-WWWW[[#This Row],[% Equitable and continuous access to sufficient quantity of domestic water]]</f>
        <v>1</v>
      </c>
      <c r="BB203" s="711">
        <f>WWWW[[#This Row],[%equitable and continuous access to sufficient quantity of safe drinking and domestic water''s GAP]]*WWWW[[#This Row],[Total PoP ]]</f>
        <v>95</v>
      </c>
      <c r="BC203" s="714">
        <f>IF(WWWW[[#This Row],[Total required water points]]-WWWW[[#This Row],['#Water points coverage]]&lt;0,0,WWWW[[#This Row],[Total required water points]]-WWWW[[#This Row],['#Water points coverage]])</f>
        <v>1</v>
      </c>
      <c r="BD203" s="714">
        <f>ROUND(IF(WWWW[[#This Row],[Total PoP ]]&lt;250,1,WWWW[[#This Row],[Total PoP ]]/250),0)</f>
        <v>1</v>
      </c>
      <c r="BE20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03" s="711">
        <f>WWWW[[#This Row],[% people access to functioning Latrine]]*WWWW[[#This Row],[Total PoP ]]</f>
        <v>0</v>
      </c>
      <c r="BG203" s="714">
        <f>WWWW[[#This Row],['#_of_Functioning_latrines_in_school]]*50</f>
        <v>0</v>
      </c>
      <c r="BH203" s="714">
        <f>ROUND((WWWW[[#This Row],[Total PoP ]]/6),0)</f>
        <v>16</v>
      </c>
      <c r="BI203" s="714">
        <f>IF(WWWW[[#This Row],[Total required Latrines]]-(WWWW[[#This Row],['#_of_sanitary_fly-proof_HH_latrines]])&lt;0,0,WWWW[[#This Row],[Total required Latrines]]-(WWWW[[#This Row],['#_of_sanitary_fly-proof_HH_latrines]]))</f>
        <v>16</v>
      </c>
      <c r="BJ203" s="710">
        <f>1-WWWW[[#This Row],[% people access to functioning Latrine]]</f>
        <v>1</v>
      </c>
      <c r="BK203"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03" s="772">
        <f>IF(WWWW[[#This Row],['#_of_functional_handwashing_facilities_at_HH_level]]*6&gt;WWWW[[#This Row],[Total PoP ]],WWWW[[#This Row],[Total PoP ]],WWWW[[#This Row],['#_of_functional_handwashing_facilities_at_HH_level]]*6)</f>
        <v>0</v>
      </c>
      <c r="BM203" s="714">
        <f>IF(WWWW[[#This Row],['# people reached by regular dedicated hygiene promotion]]&gt;WWWW[[#This Row],['# People received regular supply of hygiene items]],WWWW[[#This Row],['# people reached by regular dedicated hygiene promotion]],WWWW[[#This Row],['# People received regular supply of hygiene items]])</f>
        <v>0</v>
      </c>
      <c r="BN203" s="713">
        <f>IF(WWWW[[#This Row],[HRP3]]/WWWW[[#This Row],[Total PoP ]]&gt;100%,100%,WWWW[[#This Row],[HRP3]]/WWWW[[#This Row],[Total PoP ]])</f>
        <v>0</v>
      </c>
      <c r="BO203" s="710">
        <f>1-WWWW[[#This Row],[Hygiene Coverage%]]</f>
        <v>1</v>
      </c>
      <c r="BP203" s="712">
        <f>WWWW[[#This Row],['# people reached by regular dedicated hygiene promotion]]/WWWW[[#This Row],[Total PoP ]]</f>
        <v>0</v>
      </c>
      <c r="BQ20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03" s="770">
        <f>WWWW[[#This Row],['#_of_affected_women_and_girls_receiving_a_sufficient_quantity_of_sanitary_pads]]</f>
        <v>0</v>
      </c>
      <c r="BS203" s="773">
        <f>IF(WWWW[[#This Row],['# People with access to soap]]&gt;WWWW[[#This Row],['# People with access to Sanity Pads]],WWWW[[#This Row],['# People with access to soap]],WWWW[[#This Row],['# People with access to Sanity Pads]])</f>
        <v>0</v>
      </c>
      <c r="BT203" s="772" t="str">
        <f>IF(OR(WWWW[[#This Row],['#of students in school]]="",WWWW[[#This Row],['#of students in school]]=0),"No","Yes")</f>
        <v>No</v>
      </c>
      <c r="BU203" s="705" t="str">
        <f>VLOOKUP(WWWW[[#This Row],[Village  Name]],SiteDB6[[Site Name]:[Location Type 1]],9,FALSE)</f>
        <v>Village</v>
      </c>
      <c r="BV203" s="705" t="str">
        <f>VLOOKUP(WWWW[[#This Row],[Village  Name]],SiteDB6[[Site Name]:[Type of Accommodation]],10,FALSE)</f>
        <v>Village</v>
      </c>
      <c r="BW203" s="705">
        <f>VLOOKUP(WWWW[[#This Row],[Village  Name]],SiteDB6[[Site Name]:[Ethnic or GCA/NGCA]],11,FALSE)</f>
        <v>0</v>
      </c>
      <c r="BX203" s="705">
        <f>VLOOKUP(WWWW[[#This Row],[Village  Name]],SiteDB6[[Site Name]:[Lat]],12,FALSE)</f>
        <v>0</v>
      </c>
      <c r="BY203" s="705">
        <f>VLOOKUP(WWWW[[#This Row],[Village  Name]],SiteDB6[[Site Name]:[Long]],13,FALSE)</f>
        <v>0</v>
      </c>
      <c r="BZ203" s="705">
        <f>VLOOKUP(WWWW[[#This Row],[Village  Name]],SiteDB6[[Site Name]:[Pcode]],3,FALSE)</f>
        <v>0</v>
      </c>
      <c r="CA203" s="705" t="str">
        <f t="shared" ref="CA203:CA204" si="11">IF(C203="none","Notcovered","Covered")</f>
        <v>Covered</v>
      </c>
      <c r="CB203" s="715"/>
      <c r="CC203" s="765"/>
      <c r="CD203" s="766"/>
      <c r="CE203" s="766"/>
      <c r="CF203" s="763"/>
      <c r="CG203" s="766"/>
      <c r="CH203" s="767"/>
      <c r="CI203" s="767"/>
      <c r="CJ203" s="768"/>
      <c r="CK203" s="768"/>
      <c r="CL203" s="768"/>
      <c r="CM203" s="768"/>
      <c r="CN203" s="768"/>
      <c r="CO203" s="768"/>
      <c r="CP203" s="768"/>
      <c r="CQ203" s="768"/>
      <c r="CR203" s="768"/>
    </row>
    <row r="204" spans="1:96" s="764" customFormat="1">
      <c r="A204" s="774" t="s">
        <v>3199</v>
      </c>
      <c r="B204" s="703" t="s">
        <v>3232</v>
      </c>
      <c r="C204" s="704" t="s">
        <v>3232</v>
      </c>
      <c r="D204" s="704" t="s">
        <v>339</v>
      </c>
      <c r="E204" s="704" t="s">
        <v>36</v>
      </c>
      <c r="F204" s="704" t="s">
        <v>771</v>
      </c>
      <c r="G204" s="705" t="str">
        <f>VLOOKUP(WWWW[[#This Row],[Village  Name]],SiteDB6[[Site Name]:[Location Type]],8,FALSE)</f>
        <v>Village</v>
      </c>
      <c r="H204" s="704" t="s">
        <v>3235</v>
      </c>
      <c r="I204" s="706">
        <v>71</v>
      </c>
      <c r="J204" s="706">
        <v>485</v>
      </c>
      <c r="K204" s="707">
        <v>43831</v>
      </c>
      <c r="L204" s="708">
        <v>44926</v>
      </c>
      <c r="M204" s="706"/>
      <c r="N204" s="706"/>
      <c r="O204" s="773"/>
      <c r="P204" s="706"/>
      <c r="Q204" s="706"/>
      <c r="R204" s="706"/>
      <c r="S204" s="706"/>
      <c r="T204" s="706"/>
      <c r="U204" s="709"/>
      <c r="V204" s="706"/>
      <c r="W204" s="706"/>
      <c r="X204" s="706"/>
      <c r="Y204" s="706">
        <v>16</v>
      </c>
      <c r="Z204" s="706"/>
      <c r="AA204" s="706"/>
      <c r="AB204" s="706"/>
      <c r="AC204" s="709"/>
      <c r="AD204" s="706"/>
      <c r="AE204" s="706"/>
      <c r="AF204" s="706"/>
      <c r="AG204" s="706"/>
      <c r="AH204" s="706"/>
      <c r="AI204" s="706"/>
      <c r="AJ204" s="773"/>
      <c r="AK204" s="706"/>
      <c r="AL204" s="773"/>
      <c r="AM204" s="773"/>
      <c r="AN204" s="709"/>
      <c r="AO204" s="769"/>
      <c r="AP204" s="769"/>
      <c r="AQ204" s="773"/>
      <c r="AR204" s="773"/>
      <c r="AS204" s="773"/>
      <c r="AT204"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04" s="711">
        <f>WWWW[[#This Row],[%Equitable and continuous access to sufficient quantity of safe drinking water]]*WWWW[[#This Row],[Total PoP ]]</f>
        <v>0</v>
      </c>
      <c r="AV204"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04" s="711">
        <f>WWWW[[#This Row],[% Access to unimproved water points]]*WWWW[[#This Row],[Total PoP ]]</f>
        <v>0</v>
      </c>
      <c r="AX204"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04"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04" s="711">
        <f>WWWW[[#This Row],[HRP1]]/250</f>
        <v>0</v>
      </c>
      <c r="BA204" s="713">
        <f>1-WWWW[[#This Row],[% Equitable and continuous access to sufficient quantity of domestic water]]</f>
        <v>1</v>
      </c>
      <c r="BB204" s="711">
        <f>WWWW[[#This Row],[%equitable and continuous access to sufficient quantity of safe drinking and domestic water''s GAP]]*WWWW[[#This Row],[Total PoP ]]</f>
        <v>485</v>
      </c>
      <c r="BC204" s="714">
        <f>IF(WWWW[[#This Row],[Total required water points]]-WWWW[[#This Row],['#Water points coverage]]&lt;0,0,WWWW[[#This Row],[Total required water points]]-WWWW[[#This Row],['#Water points coverage]])</f>
        <v>2</v>
      </c>
      <c r="BD204" s="714">
        <f>ROUND(IF(WWWW[[#This Row],[Total PoP ]]&lt;250,1,WWWW[[#This Row],[Total PoP ]]/250),0)</f>
        <v>2</v>
      </c>
      <c r="BE20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04" s="711">
        <f>WWWW[[#This Row],[% people access to functioning Latrine]]*WWWW[[#This Row],[Total PoP ]]</f>
        <v>0</v>
      </c>
      <c r="BG204" s="714">
        <f>WWWW[[#This Row],['#_of_Functioning_latrines_in_school]]*50</f>
        <v>0</v>
      </c>
      <c r="BH204" s="714">
        <f>ROUND((WWWW[[#This Row],[Total PoP ]]/6),0)</f>
        <v>81</v>
      </c>
      <c r="BI204" s="714">
        <f>IF(WWWW[[#This Row],[Total required Latrines]]-(WWWW[[#This Row],['#_of_sanitary_fly-proof_HH_latrines]])&lt;0,0,WWWW[[#This Row],[Total required Latrines]]-(WWWW[[#This Row],['#_of_sanitary_fly-proof_HH_latrines]]))</f>
        <v>81</v>
      </c>
      <c r="BJ204" s="710">
        <f>1-WWWW[[#This Row],[% people access to functioning Latrine]]</f>
        <v>1</v>
      </c>
      <c r="BK204"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04" s="772">
        <f>IF(WWWW[[#This Row],['#_of_functional_handwashing_facilities_at_HH_level]]*6&gt;WWWW[[#This Row],[Total PoP ]],WWWW[[#This Row],[Total PoP ]],WWWW[[#This Row],['#_of_functional_handwashing_facilities_at_HH_level]]*6)</f>
        <v>0</v>
      </c>
      <c r="BM204" s="714">
        <f>IF(WWWW[[#This Row],['# people reached by regular dedicated hygiene promotion]]&gt;WWWW[[#This Row],['# People received regular supply of hygiene items]],WWWW[[#This Row],['# people reached by regular dedicated hygiene promotion]],WWWW[[#This Row],['# People received regular supply of hygiene items]])</f>
        <v>0</v>
      </c>
      <c r="BN204" s="713">
        <f>IF(WWWW[[#This Row],[HRP3]]/WWWW[[#This Row],[Total PoP ]]&gt;100%,100%,WWWW[[#This Row],[HRP3]]/WWWW[[#This Row],[Total PoP ]])</f>
        <v>0</v>
      </c>
      <c r="BO204" s="710">
        <f>1-WWWW[[#This Row],[Hygiene Coverage%]]</f>
        <v>1</v>
      </c>
      <c r="BP204" s="712">
        <f>WWWW[[#This Row],['# people reached by regular dedicated hygiene promotion]]/WWWW[[#This Row],[Total PoP ]]</f>
        <v>0</v>
      </c>
      <c r="BQ20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04" s="770">
        <f>WWWW[[#This Row],['#_of_affected_women_and_girls_receiving_a_sufficient_quantity_of_sanitary_pads]]</f>
        <v>0</v>
      </c>
      <c r="BS204" s="773">
        <f>IF(WWWW[[#This Row],['# People with access to soap]]&gt;WWWW[[#This Row],['# People with access to Sanity Pads]],WWWW[[#This Row],['# People with access to soap]],WWWW[[#This Row],['# People with access to Sanity Pads]])</f>
        <v>0</v>
      </c>
      <c r="BT204" s="772" t="str">
        <f>IF(OR(WWWW[[#This Row],['#of students in school]]="",WWWW[[#This Row],['#of students in school]]=0),"No","Yes")</f>
        <v>No</v>
      </c>
      <c r="BU204" s="705" t="str">
        <f>VLOOKUP(WWWW[[#This Row],[Village  Name]],SiteDB6[[Site Name]:[Location Type 1]],9,FALSE)</f>
        <v>Village</v>
      </c>
      <c r="BV204" s="705" t="str">
        <f>VLOOKUP(WWWW[[#This Row],[Village  Name]],SiteDB6[[Site Name]:[Type of Accommodation]],10,FALSE)</f>
        <v>Village</v>
      </c>
      <c r="BW204" s="705">
        <f>VLOOKUP(WWWW[[#This Row],[Village  Name]],SiteDB6[[Site Name]:[Ethnic or GCA/NGCA]],11,FALSE)</f>
        <v>0</v>
      </c>
      <c r="BX204" s="705">
        <f>VLOOKUP(WWWW[[#This Row],[Village  Name]],SiteDB6[[Site Name]:[Lat]],12,FALSE)</f>
        <v>0</v>
      </c>
      <c r="BY204" s="705">
        <f>VLOOKUP(WWWW[[#This Row],[Village  Name]],SiteDB6[[Site Name]:[Long]],13,FALSE)</f>
        <v>0</v>
      </c>
      <c r="BZ204" s="705">
        <f>VLOOKUP(WWWW[[#This Row],[Village  Name]],SiteDB6[[Site Name]:[Pcode]],3,FALSE)</f>
        <v>0</v>
      </c>
      <c r="CA204" s="705" t="str">
        <f t="shared" si="11"/>
        <v>Covered</v>
      </c>
      <c r="CB204" s="715"/>
      <c r="CC204" s="765"/>
      <c r="CD204" s="766"/>
      <c r="CE204" s="766"/>
      <c r="CF204" s="763"/>
      <c r="CG204" s="766"/>
      <c r="CH204" s="767"/>
      <c r="CI204" s="767"/>
      <c r="CJ204" s="768"/>
      <c r="CK204" s="768"/>
      <c r="CL204" s="768"/>
      <c r="CM204" s="768"/>
      <c r="CN204" s="768"/>
      <c r="CO204" s="768"/>
      <c r="CP204" s="768"/>
      <c r="CQ204" s="768"/>
      <c r="CR204" s="768"/>
    </row>
    <row r="205" spans="1:96" s="764" customFormat="1">
      <c r="A205" s="774" t="s">
        <v>3199</v>
      </c>
      <c r="B205" s="703" t="s">
        <v>3232</v>
      </c>
      <c r="C205" s="704" t="s">
        <v>3232</v>
      </c>
      <c r="D205" s="704" t="s">
        <v>339</v>
      </c>
      <c r="E205" s="704" t="s">
        <v>36</v>
      </c>
      <c r="F205" s="704" t="s">
        <v>771</v>
      </c>
      <c r="G205" s="705" t="str">
        <f>VLOOKUP(WWWW[[#This Row],[Village  Name]],SiteDB6[[Site Name]:[Location Type]],8,FALSE)</f>
        <v>Village</v>
      </c>
      <c r="H205" s="704" t="s">
        <v>3236</v>
      </c>
      <c r="I205" s="706">
        <v>64</v>
      </c>
      <c r="J205" s="706">
        <v>318</v>
      </c>
      <c r="K205" s="707">
        <v>43831</v>
      </c>
      <c r="L205" s="708">
        <v>44926</v>
      </c>
      <c r="M205" s="706"/>
      <c r="N205" s="706"/>
      <c r="O205" s="773"/>
      <c r="P205" s="706"/>
      <c r="Q205" s="706"/>
      <c r="R205" s="706"/>
      <c r="S205" s="706"/>
      <c r="T205" s="706"/>
      <c r="U205" s="709"/>
      <c r="V205" s="706"/>
      <c r="W205" s="706"/>
      <c r="X205" s="706"/>
      <c r="Y205" s="706">
        <v>2</v>
      </c>
      <c r="Z205" s="706"/>
      <c r="AA205" s="706"/>
      <c r="AB205" s="706"/>
      <c r="AC205" s="709"/>
      <c r="AD205" s="706"/>
      <c r="AE205" s="706"/>
      <c r="AF205" s="706"/>
      <c r="AG205" s="706"/>
      <c r="AH205" s="706"/>
      <c r="AI205" s="706"/>
      <c r="AJ205" s="773"/>
      <c r="AK205" s="706"/>
      <c r="AL205" s="773"/>
      <c r="AM205" s="773"/>
      <c r="AN205" s="709"/>
      <c r="AO205" s="769"/>
      <c r="AP205" s="769"/>
      <c r="AQ205" s="773"/>
      <c r="AR205" s="773"/>
      <c r="AS205" s="773"/>
      <c r="AT205"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05" s="711">
        <f>WWWW[[#This Row],[%Equitable and continuous access to sufficient quantity of safe drinking water]]*WWWW[[#This Row],[Total PoP ]]</f>
        <v>0</v>
      </c>
      <c r="AV205"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05" s="711">
        <f>WWWW[[#This Row],[% Access to unimproved water points]]*WWWW[[#This Row],[Total PoP ]]</f>
        <v>0</v>
      </c>
      <c r="AX205"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05"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05" s="711">
        <f>WWWW[[#This Row],[HRP1]]/250</f>
        <v>0</v>
      </c>
      <c r="BA205" s="713">
        <f>1-WWWW[[#This Row],[% Equitable and continuous access to sufficient quantity of domestic water]]</f>
        <v>1</v>
      </c>
      <c r="BB205" s="711">
        <f>WWWW[[#This Row],[%equitable and continuous access to sufficient quantity of safe drinking and domestic water''s GAP]]*WWWW[[#This Row],[Total PoP ]]</f>
        <v>318</v>
      </c>
      <c r="BC205" s="714">
        <f>IF(WWWW[[#This Row],[Total required water points]]-WWWW[[#This Row],['#Water points coverage]]&lt;0,0,WWWW[[#This Row],[Total required water points]]-WWWW[[#This Row],['#Water points coverage]])</f>
        <v>1</v>
      </c>
      <c r="BD205" s="714">
        <f>ROUND(IF(WWWW[[#This Row],[Total PoP ]]&lt;250,1,WWWW[[#This Row],[Total PoP ]]/250),0)</f>
        <v>1</v>
      </c>
      <c r="BE20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05" s="711">
        <f>WWWW[[#This Row],[% people access to functioning Latrine]]*WWWW[[#This Row],[Total PoP ]]</f>
        <v>0</v>
      </c>
      <c r="BG205" s="714">
        <f>WWWW[[#This Row],['#_of_Functioning_latrines_in_school]]*50</f>
        <v>0</v>
      </c>
      <c r="BH205" s="714">
        <f>ROUND((WWWW[[#This Row],[Total PoP ]]/6),0)</f>
        <v>53</v>
      </c>
      <c r="BI205" s="714">
        <f>IF(WWWW[[#This Row],[Total required Latrines]]-(WWWW[[#This Row],['#_of_sanitary_fly-proof_HH_latrines]])&lt;0,0,WWWW[[#This Row],[Total required Latrines]]-(WWWW[[#This Row],['#_of_sanitary_fly-proof_HH_latrines]]))</f>
        <v>53</v>
      </c>
      <c r="BJ205" s="710">
        <f>1-WWWW[[#This Row],[% people access to functioning Latrine]]</f>
        <v>1</v>
      </c>
      <c r="BK205"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05" s="772">
        <f>IF(WWWW[[#This Row],['#_of_functional_handwashing_facilities_at_HH_level]]*6&gt;WWWW[[#This Row],[Total PoP ]],WWWW[[#This Row],[Total PoP ]],WWWW[[#This Row],['#_of_functional_handwashing_facilities_at_HH_level]]*6)</f>
        <v>0</v>
      </c>
      <c r="BM205" s="714">
        <f>IF(WWWW[[#This Row],['# people reached by regular dedicated hygiene promotion]]&gt;WWWW[[#This Row],['# People received regular supply of hygiene items]],WWWW[[#This Row],['# people reached by regular dedicated hygiene promotion]],WWWW[[#This Row],['# People received regular supply of hygiene items]])</f>
        <v>0</v>
      </c>
      <c r="BN205" s="713">
        <f>IF(WWWW[[#This Row],[HRP3]]/WWWW[[#This Row],[Total PoP ]]&gt;100%,100%,WWWW[[#This Row],[HRP3]]/WWWW[[#This Row],[Total PoP ]])</f>
        <v>0</v>
      </c>
      <c r="BO205" s="710">
        <f>1-WWWW[[#This Row],[Hygiene Coverage%]]</f>
        <v>1</v>
      </c>
      <c r="BP205" s="712">
        <f>WWWW[[#This Row],['# people reached by regular dedicated hygiene promotion]]/WWWW[[#This Row],[Total PoP ]]</f>
        <v>0</v>
      </c>
      <c r="BQ20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05" s="770">
        <f>WWWW[[#This Row],['#_of_affected_women_and_girls_receiving_a_sufficient_quantity_of_sanitary_pads]]</f>
        <v>0</v>
      </c>
      <c r="BS205" s="773">
        <f>IF(WWWW[[#This Row],['# People with access to soap]]&gt;WWWW[[#This Row],['# People with access to Sanity Pads]],WWWW[[#This Row],['# People with access to soap]],WWWW[[#This Row],['# People with access to Sanity Pads]])</f>
        <v>0</v>
      </c>
      <c r="BT205" s="772" t="str">
        <f>IF(OR(WWWW[[#This Row],['#of students in school]]="",WWWW[[#This Row],['#of students in school]]=0),"No","Yes")</f>
        <v>No</v>
      </c>
      <c r="BU205" s="705" t="str">
        <f>VLOOKUP(WWWW[[#This Row],[Village  Name]],SiteDB6[[Site Name]:[Location Type 1]],9,FALSE)</f>
        <v>Village</v>
      </c>
      <c r="BV205" s="705" t="str">
        <f>VLOOKUP(WWWW[[#This Row],[Village  Name]],SiteDB6[[Site Name]:[Type of Accommodation]],10,FALSE)</f>
        <v>Village</v>
      </c>
      <c r="BW205" s="705">
        <f>VLOOKUP(WWWW[[#This Row],[Village  Name]],SiteDB6[[Site Name]:[Ethnic or GCA/NGCA]],11,FALSE)</f>
        <v>0</v>
      </c>
      <c r="BX205" s="705">
        <f>VLOOKUP(WWWW[[#This Row],[Village  Name]],SiteDB6[[Site Name]:[Lat]],12,FALSE)</f>
        <v>0</v>
      </c>
      <c r="BY205" s="705">
        <f>VLOOKUP(WWWW[[#This Row],[Village  Name]],SiteDB6[[Site Name]:[Long]],13,FALSE)</f>
        <v>0</v>
      </c>
      <c r="BZ205" s="705">
        <f>VLOOKUP(WWWW[[#This Row],[Village  Name]],SiteDB6[[Site Name]:[Pcode]],3,FALSE)</f>
        <v>0</v>
      </c>
      <c r="CA205" s="705" t="str">
        <f t="shared" ref="CA205:CA215" si="12">IF(C205="none","Notcovered","Covered")</f>
        <v>Covered</v>
      </c>
      <c r="CB205" s="715"/>
      <c r="CC205" s="765"/>
      <c r="CD205" s="766"/>
      <c r="CE205" s="766"/>
      <c r="CF205" s="763"/>
      <c r="CG205" s="766"/>
      <c r="CH205" s="767"/>
      <c r="CI205" s="767"/>
      <c r="CJ205" s="768"/>
      <c r="CK205" s="768"/>
      <c r="CL205" s="768"/>
      <c r="CM205" s="768"/>
      <c r="CN205" s="768"/>
      <c r="CO205" s="768"/>
      <c r="CP205" s="768"/>
      <c r="CQ205" s="768"/>
      <c r="CR205" s="768"/>
    </row>
    <row r="206" spans="1:96" s="764" customFormat="1">
      <c r="A206" s="774" t="s">
        <v>3199</v>
      </c>
      <c r="B206" s="703" t="s">
        <v>3232</v>
      </c>
      <c r="C206" s="704" t="s">
        <v>3232</v>
      </c>
      <c r="D206" s="704" t="s">
        <v>339</v>
      </c>
      <c r="E206" s="704" t="s">
        <v>36</v>
      </c>
      <c r="F206" s="704" t="s">
        <v>771</v>
      </c>
      <c r="G206" s="705" t="str">
        <f>VLOOKUP(WWWW[[#This Row],[Village  Name]],SiteDB6[[Site Name]:[Location Type]],8,FALSE)</f>
        <v>Village</v>
      </c>
      <c r="H206" s="704" t="s">
        <v>3237</v>
      </c>
      <c r="I206" s="706">
        <v>27</v>
      </c>
      <c r="J206" s="706">
        <v>208</v>
      </c>
      <c r="K206" s="707">
        <v>43831</v>
      </c>
      <c r="L206" s="708">
        <v>44926</v>
      </c>
      <c r="M206" s="706"/>
      <c r="N206" s="706"/>
      <c r="O206" s="773"/>
      <c r="P206" s="706"/>
      <c r="Q206" s="706"/>
      <c r="R206" s="706"/>
      <c r="S206" s="706"/>
      <c r="T206" s="706"/>
      <c r="U206" s="709"/>
      <c r="V206" s="706"/>
      <c r="W206" s="706"/>
      <c r="X206" s="706"/>
      <c r="Y206" s="706">
        <v>4</v>
      </c>
      <c r="Z206" s="706"/>
      <c r="AA206" s="706"/>
      <c r="AB206" s="706"/>
      <c r="AC206" s="709"/>
      <c r="AD206" s="706"/>
      <c r="AE206" s="706"/>
      <c r="AF206" s="706"/>
      <c r="AG206" s="706"/>
      <c r="AH206" s="706"/>
      <c r="AI206" s="706"/>
      <c r="AJ206" s="773"/>
      <c r="AK206" s="706"/>
      <c r="AL206" s="773"/>
      <c r="AM206" s="773"/>
      <c r="AN206" s="709"/>
      <c r="AO206" s="769"/>
      <c r="AP206" s="769"/>
      <c r="AQ206" s="773"/>
      <c r="AR206" s="773"/>
      <c r="AS206" s="773"/>
      <c r="AT206"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06" s="711">
        <f>WWWW[[#This Row],[%Equitable and continuous access to sufficient quantity of safe drinking water]]*WWWW[[#This Row],[Total PoP ]]</f>
        <v>0</v>
      </c>
      <c r="AV206"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06" s="711">
        <f>WWWW[[#This Row],[% Access to unimproved water points]]*WWWW[[#This Row],[Total PoP ]]</f>
        <v>0</v>
      </c>
      <c r="AX206"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06"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06" s="711">
        <f>WWWW[[#This Row],[HRP1]]/250</f>
        <v>0</v>
      </c>
      <c r="BA206" s="713">
        <f>1-WWWW[[#This Row],[% Equitable and continuous access to sufficient quantity of domestic water]]</f>
        <v>1</v>
      </c>
      <c r="BB206" s="711">
        <f>WWWW[[#This Row],[%equitable and continuous access to sufficient quantity of safe drinking and domestic water''s GAP]]*WWWW[[#This Row],[Total PoP ]]</f>
        <v>208</v>
      </c>
      <c r="BC206" s="714">
        <f>IF(WWWW[[#This Row],[Total required water points]]-WWWW[[#This Row],['#Water points coverage]]&lt;0,0,WWWW[[#This Row],[Total required water points]]-WWWW[[#This Row],['#Water points coverage]])</f>
        <v>1</v>
      </c>
      <c r="BD206" s="714">
        <f>ROUND(IF(WWWW[[#This Row],[Total PoP ]]&lt;250,1,WWWW[[#This Row],[Total PoP ]]/250),0)</f>
        <v>1</v>
      </c>
      <c r="BE20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06" s="711">
        <f>WWWW[[#This Row],[% people access to functioning Latrine]]*WWWW[[#This Row],[Total PoP ]]</f>
        <v>0</v>
      </c>
      <c r="BG206" s="714">
        <f>WWWW[[#This Row],['#_of_Functioning_latrines_in_school]]*50</f>
        <v>0</v>
      </c>
      <c r="BH206" s="714">
        <f>ROUND((WWWW[[#This Row],[Total PoP ]]/6),0)</f>
        <v>35</v>
      </c>
      <c r="BI206" s="714">
        <f>IF(WWWW[[#This Row],[Total required Latrines]]-(WWWW[[#This Row],['#_of_sanitary_fly-proof_HH_latrines]])&lt;0,0,WWWW[[#This Row],[Total required Latrines]]-(WWWW[[#This Row],['#_of_sanitary_fly-proof_HH_latrines]]))</f>
        <v>35</v>
      </c>
      <c r="BJ206" s="710">
        <f>1-WWWW[[#This Row],[% people access to functioning Latrine]]</f>
        <v>1</v>
      </c>
      <c r="BK206"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06" s="772">
        <f>IF(WWWW[[#This Row],['#_of_functional_handwashing_facilities_at_HH_level]]*6&gt;WWWW[[#This Row],[Total PoP ]],WWWW[[#This Row],[Total PoP ]],WWWW[[#This Row],['#_of_functional_handwashing_facilities_at_HH_level]]*6)</f>
        <v>0</v>
      </c>
      <c r="BM206" s="714">
        <f>IF(WWWW[[#This Row],['# people reached by regular dedicated hygiene promotion]]&gt;WWWW[[#This Row],['# People received regular supply of hygiene items]],WWWW[[#This Row],['# people reached by regular dedicated hygiene promotion]],WWWW[[#This Row],['# People received regular supply of hygiene items]])</f>
        <v>0</v>
      </c>
      <c r="BN206" s="713">
        <f>IF(WWWW[[#This Row],[HRP3]]/WWWW[[#This Row],[Total PoP ]]&gt;100%,100%,WWWW[[#This Row],[HRP3]]/WWWW[[#This Row],[Total PoP ]])</f>
        <v>0</v>
      </c>
      <c r="BO206" s="710">
        <f>1-WWWW[[#This Row],[Hygiene Coverage%]]</f>
        <v>1</v>
      </c>
      <c r="BP206" s="712">
        <f>WWWW[[#This Row],['# people reached by regular dedicated hygiene promotion]]/WWWW[[#This Row],[Total PoP ]]</f>
        <v>0</v>
      </c>
      <c r="BQ20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06" s="770">
        <f>WWWW[[#This Row],['#_of_affected_women_and_girls_receiving_a_sufficient_quantity_of_sanitary_pads]]</f>
        <v>0</v>
      </c>
      <c r="BS206" s="773">
        <f>IF(WWWW[[#This Row],['# People with access to soap]]&gt;WWWW[[#This Row],['# People with access to Sanity Pads]],WWWW[[#This Row],['# People with access to soap]],WWWW[[#This Row],['# People with access to Sanity Pads]])</f>
        <v>0</v>
      </c>
      <c r="BT206" s="772" t="str">
        <f>IF(OR(WWWW[[#This Row],['#of students in school]]="",WWWW[[#This Row],['#of students in school]]=0),"No","Yes")</f>
        <v>No</v>
      </c>
      <c r="BU206" s="705" t="str">
        <f>VLOOKUP(WWWW[[#This Row],[Village  Name]],SiteDB6[[Site Name]:[Location Type 1]],9,FALSE)</f>
        <v>Village</v>
      </c>
      <c r="BV206" s="705" t="str">
        <f>VLOOKUP(WWWW[[#This Row],[Village  Name]],SiteDB6[[Site Name]:[Type of Accommodation]],10,FALSE)</f>
        <v>Village</v>
      </c>
      <c r="BW206" s="705">
        <f>VLOOKUP(WWWW[[#This Row],[Village  Name]],SiteDB6[[Site Name]:[Ethnic or GCA/NGCA]],11,FALSE)</f>
        <v>0</v>
      </c>
      <c r="BX206" s="705">
        <f>VLOOKUP(WWWW[[#This Row],[Village  Name]],SiteDB6[[Site Name]:[Lat]],12,FALSE)</f>
        <v>0</v>
      </c>
      <c r="BY206" s="705">
        <f>VLOOKUP(WWWW[[#This Row],[Village  Name]],SiteDB6[[Site Name]:[Long]],13,FALSE)</f>
        <v>0</v>
      </c>
      <c r="BZ206" s="705">
        <f>VLOOKUP(WWWW[[#This Row],[Village  Name]],SiteDB6[[Site Name]:[Pcode]],3,FALSE)</f>
        <v>0</v>
      </c>
      <c r="CA206" s="705" t="str">
        <f t="shared" si="12"/>
        <v>Covered</v>
      </c>
      <c r="CB206" s="715"/>
      <c r="CC206" s="765"/>
      <c r="CD206" s="766"/>
      <c r="CE206" s="766"/>
      <c r="CF206" s="763"/>
      <c r="CG206" s="766"/>
      <c r="CH206" s="767"/>
      <c r="CI206" s="767"/>
      <c r="CJ206" s="768"/>
      <c r="CK206" s="768"/>
      <c r="CL206" s="768"/>
      <c r="CM206" s="768"/>
      <c r="CN206" s="768"/>
      <c r="CO206" s="768"/>
      <c r="CP206" s="768"/>
      <c r="CQ206" s="768"/>
      <c r="CR206" s="768"/>
    </row>
    <row r="207" spans="1:96" s="764" customFormat="1">
      <c r="A207" s="774" t="s">
        <v>3199</v>
      </c>
      <c r="B207" s="703" t="s">
        <v>3232</v>
      </c>
      <c r="C207" s="704" t="s">
        <v>3232</v>
      </c>
      <c r="D207" s="704" t="s">
        <v>339</v>
      </c>
      <c r="E207" s="704" t="s">
        <v>36</v>
      </c>
      <c r="F207" s="704" t="s">
        <v>771</v>
      </c>
      <c r="G207" s="705" t="str">
        <f>VLOOKUP(WWWW[[#This Row],[Village  Name]],SiteDB6[[Site Name]:[Location Type]],8,FALSE)</f>
        <v>Village</v>
      </c>
      <c r="H207" s="704" t="s">
        <v>3238</v>
      </c>
      <c r="I207" s="706">
        <v>43</v>
      </c>
      <c r="J207" s="706">
        <v>240</v>
      </c>
      <c r="K207" s="707">
        <v>43831</v>
      </c>
      <c r="L207" s="708">
        <v>44926</v>
      </c>
      <c r="M207" s="706"/>
      <c r="N207" s="706"/>
      <c r="O207" s="773"/>
      <c r="P207" s="706"/>
      <c r="Q207" s="706"/>
      <c r="R207" s="706"/>
      <c r="S207" s="706"/>
      <c r="T207" s="706"/>
      <c r="U207" s="709"/>
      <c r="V207" s="706"/>
      <c r="W207" s="706"/>
      <c r="X207" s="706"/>
      <c r="Y207" s="706">
        <v>1</v>
      </c>
      <c r="Z207" s="706"/>
      <c r="AA207" s="706"/>
      <c r="AB207" s="706"/>
      <c r="AC207" s="709"/>
      <c r="AD207" s="706"/>
      <c r="AE207" s="706"/>
      <c r="AF207" s="706"/>
      <c r="AG207" s="706"/>
      <c r="AH207" s="706"/>
      <c r="AI207" s="706"/>
      <c r="AJ207" s="773"/>
      <c r="AK207" s="706"/>
      <c r="AL207" s="773"/>
      <c r="AM207" s="773"/>
      <c r="AN207" s="709"/>
      <c r="AO207" s="769"/>
      <c r="AP207" s="769"/>
      <c r="AQ207" s="773"/>
      <c r="AR207" s="773"/>
      <c r="AS207" s="773"/>
      <c r="AT207"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07" s="711">
        <f>WWWW[[#This Row],[%Equitable and continuous access to sufficient quantity of safe drinking water]]*WWWW[[#This Row],[Total PoP ]]</f>
        <v>0</v>
      </c>
      <c r="AV207"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07" s="711">
        <f>WWWW[[#This Row],[% Access to unimproved water points]]*WWWW[[#This Row],[Total PoP ]]</f>
        <v>0</v>
      </c>
      <c r="AX207"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07"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07" s="711">
        <f>WWWW[[#This Row],[HRP1]]/250</f>
        <v>0</v>
      </c>
      <c r="BA207" s="713">
        <f>1-WWWW[[#This Row],[% Equitable and continuous access to sufficient quantity of domestic water]]</f>
        <v>1</v>
      </c>
      <c r="BB207" s="711">
        <f>WWWW[[#This Row],[%equitable and continuous access to sufficient quantity of safe drinking and domestic water''s GAP]]*WWWW[[#This Row],[Total PoP ]]</f>
        <v>240</v>
      </c>
      <c r="BC207" s="714">
        <f>IF(WWWW[[#This Row],[Total required water points]]-WWWW[[#This Row],['#Water points coverage]]&lt;0,0,WWWW[[#This Row],[Total required water points]]-WWWW[[#This Row],['#Water points coverage]])</f>
        <v>1</v>
      </c>
      <c r="BD207" s="714">
        <f>ROUND(IF(WWWW[[#This Row],[Total PoP ]]&lt;250,1,WWWW[[#This Row],[Total PoP ]]/250),0)</f>
        <v>1</v>
      </c>
      <c r="BE20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07" s="711">
        <f>WWWW[[#This Row],[% people access to functioning Latrine]]*WWWW[[#This Row],[Total PoP ]]</f>
        <v>0</v>
      </c>
      <c r="BG207" s="714">
        <f>WWWW[[#This Row],['#_of_Functioning_latrines_in_school]]*50</f>
        <v>0</v>
      </c>
      <c r="BH207" s="714">
        <f>ROUND((WWWW[[#This Row],[Total PoP ]]/6),0)</f>
        <v>40</v>
      </c>
      <c r="BI207" s="714">
        <f>IF(WWWW[[#This Row],[Total required Latrines]]-(WWWW[[#This Row],['#_of_sanitary_fly-proof_HH_latrines]])&lt;0,0,WWWW[[#This Row],[Total required Latrines]]-(WWWW[[#This Row],['#_of_sanitary_fly-proof_HH_latrines]]))</f>
        <v>40</v>
      </c>
      <c r="BJ207" s="710">
        <f>1-WWWW[[#This Row],[% people access to functioning Latrine]]</f>
        <v>1</v>
      </c>
      <c r="BK207"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07" s="772">
        <f>IF(WWWW[[#This Row],['#_of_functional_handwashing_facilities_at_HH_level]]*6&gt;WWWW[[#This Row],[Total PoP ]],WWWW[[#This Row],[Total PoP ]],WWWW[[#This Row],['#_of_functional_handwashing_facilities_at_HH_level]]*6)</f>
        <v>0</v>
      </c>
      <c r="BM207" s="714">
        <f>IF(WWWW[[#This Row],['# people reached by regular dedicated hygiene promotion]]&gt;WWWW[[#This Row],['# People received regular supply of hygiene items]],WWWW[[#This Row],['# people reached by regular dedicated hygiene promotion]],WWWW[[#This Row],['# People received regular supply of hygiene items]])</f>
        <v>0</v>
      </c>
      <c r="BN207" s="713">
        <f>IF(WWWW[[#This Row],[HRP3]]/WWWW[[#This Row],[Total PoP ]]&gt;100%,100%,WWWW[[#This Row],[HRP3]]/WWWW[[#This Row],[Total PoP ]])</f>
        <v>0</v>
      </c>
      <c r="BO207" s="710">
        <f>1-WWWW[[#This Row],[Hygiene Coverage%]]</f>
        <v>1</v>
      </c>
      <c r="BP207" s="712">
        <f>WWWW[[#This Row],['# people reached by regular dedicated hygiene promotion]]/WWWW[[#This Row],[Total PoP ]]</f>
        <v>0</v>
      </c>
      <c r="BQ20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07" s="770">
        <f>WWWW[[#This Row],['#_of_affected_women_and_girls_receiving_a_sufficient_quantity_of_sanitary_pads]]</f>
        <v>0</v>
      </c>
      <c r="BS207" s="773">
        <f>IF(WWWW[[#This Row],['# People with access to soap]]&gt;WWWW[[#This Row],['# People with access to Sanity Pads]],WWWW[[#This Row],['# People with access to soap]],WWWW[[#This Row],['# People with access to Sanity Pads]])</f>
        <v>0</v>
      </c>
      <c r="BT207" s="772" t="str">
        <f>IF(OR(WWWW[[#This Row],['#of students in school]]="",WWWW[[#This Row],['#of students in school]]=0),"No","Yes")</f>
        <v>No</v>
      </c>
      <c r="BU207" s="705" t="str">
        <f>VLOOKUP(WWWW[[#This Row],[Village  Name]],SiteDB6[[Site Name]:[Location Type 1]],9,FALSE)</f>
        <v>Village</v>
      </c>
      <c r="BV207" s="705" t="str">
        <f>VLOOKUP(WWWW[[#This Row],[Village  Name]],SiteDB6[[Site Name]:[Type of Accommodation]],10,FALSE)</f>
        <v>Village</v>
      </c>
      <c r="BW207" s="705">
        <f>VLOOKUP(WWWW[[#This Row],[Village  Name]],SiteDB6[[Site Name]:[Ethnic or GCA/NGCA]],11,FALSE)</f>
        <v>0</v>
      </c>
      <c r="BX207" s="705">
        <f>VLOOKUP(WWWW[[#This Row],[Village  Name]],SiteDB6[[Site Name]:[Lat]],12,FALSE)</f>
        <v>0</v>
      </c>
      <c r="BY207" s="705">
        <f>VLOOKUP(WWWW[[#This Row],[Village  Name]],SiteDB6[[Site Name]:[Long]],13,FALSE)</f>
        <v>0</v>
      </c>
      <c r="BZ207" s="705">
        <f>VLOOKUP(WWWW[[#This Row],[Village  Name]],SiteDB6[[Site Name]:[Pcode]],3,FALSE)</f>
        <v>0</v>
      </c>
      <c r="CA207" s="705" t="str">
        <f t="shared" si="12"/>
        <v>Covered</v>
      </c>
      <c r="CB207" s="715"/>
      <c r="CC207" s="765"/>
      <c r="CD207" s="766"/>
      <c r="CE207" s="766"/>
      <c r="CF207" s="763"/>
      <c r="CG207" s="766"/>
      <c r="CH207" s="767"/>
      <c r="CI207" s="767"/>
      <c r="CJ207" s="768"/>
      <c r="CK207" s="768"/>
      <c r="CL207" s="768"/>
      <c r="CM207" s="768"/>
      <c r="CN207" s="768"/>
      <c r="CO207" s="768"/>
      <c r="CP207" s="768"/>
      <c r="CQ207" s="768"/>
      <c r="CR207" s="768"/>
    </row>
    <row r="208" spans="1:96" s="764" customFormat="1">
      <c r="A208" s="774" t="s">
        <v>3199</v>
      </c>
      <c r="B208" s="703" t="s">
        <v>3232</v>
      </c>
      <c r="C208" s="704" t="s">
        <v>3232</v>
      </c>
      <c r="D208" s="704" t="s">
        <v>339</v>
      </c>
      <c r="E208" s="704" t="s">
        <v>36</v>
      </c>
      <c r="F208" s="704" t="s">
        <v>771</v>
      </c>
      <c r="G208" s="705" t="str">
        <f>VLOOKUP(WWWW[[#This Row],[Village  Name]],SiteDB6[[Site Name]:[Location Type]],8,FALSE)</f>
        <v>Village</v>
      </c>
      <c r="H208" s="704" t="s">
        <v>3239</v>
      </c>
      <c r="I208" s="706">
        <v>70</v>
      </c>
      <c r="J208" s="706">
        <v>332</v>
      </c>
      <c r="K208" s="707">
        <v>43831</v>
      </c>
      <c r="L208" s="708">
        <v>44926</v>
      </c>
      <c r="M208" s="706"/>
      <c r="N208" s="706"/>
      <c r="O208" s="773"/>
      <c r="P208" s="706"/>
      <c r="Q208" s="706"/>
      <c r="R208" s="706"/>
      <c r="S208" s="706"/>
      <c r="T208" s="706"/>
      <c r="U208" s="709"/>
      <c r="V208" s="706"/>
      <c r="W208" s="706"/>
      <c r="X208" s="706"/>
      <c r="Y208" s="706">
        <v>1</v>
      </c>
      <c r="Z208" s="706"/>
      <c r="AA208" s="706"/>
      <c r="AB208" s="706"/>
      <c r="AC208" s="709"/>
      <c r="AD208" s="706"/>
      <c r="AE208" s="706"/>
      <c r="AF208" s="706"/>
      <c r="AG208" s="706"/>
      <c r="AH208" s="706"/>
      <c r="AI208" s="706"/>
      <c r="AJ208" s="773"/>
      <c r="AK208" s="706"/>
      <c r="AL208" s="773"/>
      <c r="AM208" s="773"/>
      <c r="AN208" s="709"/>
      <c r="AO208" s="769"/>
      <c r="AP208" s="769"/>
      <c r="AQ208" s="773"/>
      <c r="AR208" s="773"/>
      <c r="AS208" s="773"/>
      <c r="AT208"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08" s="711">
        <f>WWWW[[#This Row],[%Equitable and continuous access to sufficient quantity of safe drinking water]]*WWWW[[#This Row],[Total PoP ]]</f>
        <v>0</v>
      </c>
      <c r="AV208"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08" s="711">
        <f>WWWW[[#This Row],[% Access to unimproved water points]]*WWWW[[#This Row],[Total PoP ]]</f>
        <v>0</v>
      </c>
      <c r="AX208"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08"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08" s="711">
        <f>WWWW[[#This Row],[HRP1]]/250</f>
        <v>0</v>
      </c>
      <c r="BA208" s="713">
        <f>1-WWWW[[#This Row],[% Equitable and continuous access to sufficient quantity of domestic water]]</f>
        <v>1</v>
      </c>
      <c r="BB208" s="711">
        <f>WWWW[[#This Row],[%equitable and continuous access to sufficient quantity of safe drinking and domestic water''s GAP]]*WWWW[[#This Row],[Total PoP ]]</f>
        <v>332</v>
      </c>
      <c r="BC208" s="714">
        <f>IF(WWWW[[#This Row],[Total required water points]]-WWWW[[#This Row],['#Water points coverage]]&lt;0,0,WWWW[[#This Row],[Total required water points]]-WWWW[[#This Row],['#Water points coverage]])</f>
        <v>1</v>
      </c>
      <c r="BD208" s="714">
        <f>ROUND(IF(WWWW[[#This Row],[Total PoP ]]&lt;250,1,WWWW[[#This Row],[Total PoP ]]/250),0)</f>
        <v>1</v>
      </c>
      <c r="BE20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08" s="711">
        <f>WWWW[[#This Row],[% people access to functioning Latrine]]*WWWW[[#This Row],[Total PoP ]]</f>
        <v>0</v>
      </c>
      <c r="BG208" s="714">
        <f>WWWW[[#This Row],['#_of_Functioning_latrines_in_school]]*50</f>
        <v>0</v>
      </c>
      <c r="BH208" s="714">
        <f>ROUND((WWWW[[#This Row],[Total PoP ]]/6),0)</f>
        <v>55</v>
      </c>
      <c r="BI208" s="714">
        <f>IF(WWWW[[#This Row],[Total required Latrines]]-(WWWW[[#This Row],['#_of_sanitary_fly-proof_HH_latrines]])&lt;0,0,WWWW[[#This Row],[Total required Latrines]]-(WWWW[[#This Row],['#_of_sanitary_fly-proof_HH_latrines]]))</f>
        <v>55</v>
      </c>
      <c r="BJ208" s="710">
        <f>1-WWWW[[#This Row],[% people access to functioning Latrine]]</f>
        <v>1</v>
      </c>
      <c r="BK208"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08" s="772">
        <f>IF(WWWW[[#This Row],['#_of_functional_handwashing_facilities_at_HH_level]]*6&gt;WWWW[[#This Row],[Total PoP ]],WWWW[[#This Row],[Total PoP ]],WWWW[[#This Row],['#_of_functional_handwashing_facilities_at_HH_level]]*6)</f>
        <v>0</v>
      </c>
      <c r="BM208" s="714">
        <f>IF(WWWW[[#This Row],['# people reached by regular dedicated hygiene promotion]]&gt;WWWW[[#This Row],['# People received regular supply of hygiene items]],WWWW[[#This Row],['# people reached by regular dedicated hygiene promotion]],WWWW[[#This Row],['# People received regular supply of hygiene items]])</f>
        <v>0</v>
      </c>
      <c r="BN208" s="713">
        <f>IF(WWWW[[#This Row],[HRP3]]/WWWW[[#This Row],[Total PoP ]]&gt;100%,100%,WWWW[[#This Row],[HRP3]]/WWWW[[#This Row],[Total PoP ]])</f>
        <v>0</v>
      </c>
      <c r="BO208" s="710">
        <f>1-WWWW[[#This Row],[Hygiene Coverage%]]</f>
        <v>1</v>
      </c>
      <c r="BP208" s="712">
        <f>WWWW[[#This Row],['# people reached by regular dedicated hygiene promotion]]/WWWW[[#This Row],[Total PoP ]]</f>
        <v>0</v>
      </c>
      <c r="BQ20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08" s="770">
        <f>WWWW[[#This Row],['#_of_affected_women_and_girls_receiving_a_sufficient_quantity_of_sanitary_pads]]</f>
        <v>0</v>
      </c>
      <c r="BS208" s="773">
        <f>IF(WWWW[[#This Row],['# People with access to soap]]&gt;WWWW[[#This Row],['# People with access to Sanity Pads]],WWWW[[#This Row],['# People with access to soap]],WWWW[[#This Row],['# People with access to Sanity Pads]])</f>
        <v>0</v>
      </c>
      <c r="BT208" s="772" t="str">
        <f>IF(OR(WWWW[[#This Row],['#of students in school]]="",WWWW[[#This Row],['#of students in school]]=0),"No","Yes")</f>
        <v>No</v>
      </c>
      <c r="BU208" s="705" t="str">
        <f>VLOOKUP(WWWW[[#This Row],[Village  Name]],SiteDB6[[Site Name]:[Location Type 1]],9,FALSE)</f>
        <v>Village</v>
      </c>
      <c r="BV208" s="705" t="str">
        <f>VLOOKUP(WWWW[[#This Row],[Village  Name]],SiteDB6[[Site Name]:[Type of Accommodation]],10,FALSE)</f>
        <v>Village</v>
      </c>
      <c r="BW208" s="705">
        <f>VLOOKUP(WWWW[[#This Row],[Village  Name]],SiteDB6[[Site Name]:[Ethnic or GCA/NGCA]],11,FALSE)</f>
        <v>0</v>
      </c>
      <c r="BX208" s="705">
        <f>VLOOKUP(WWWW[[#This Row],[Village  Name]],SiteDB6[[Site Name]:[Lat]],12,FALSE)</f>
        <v>0</v>
      </c>
      <c r="BY208" s="705">
        <f>VLOOKUP(WWWW[[#This Row],[Village  Name]],SiteDB6[[Site Name]:[Long]],13,FALSE)</f>
        <v>0</v>
      </c>
      <c r="BZ208" s="705">
        <f>VLOOKUP(WWWW[[#This Row],[Village  Name]],SiteDB6[[Site Name]:[Pcode]],3,FALSE)</f>
        <v>0</v>
      </c>
      <c r="CA208" s="705" t="str">
        <f t="shared" si="12"/>
        <v>Covered</v>
      </c>
      <c r="CB208" s="715"/>
      <c r="CC208" s="765"/>
      <c r="CD208" s="766"/>
      <c r="CE208" s="766"/>
      <c r="CF208" s="763"/>
      <c r="CG208" s="766"/>
      <c r="CH208" s="767"/>
      <c r="CI208" s="767"/>
      <c r="CJ208" s="768"/>
      <c r="CK208" s="768"/>
      <c r="CL208" s="768"/>
      <c r="CM208" s="768"/>
      <c r="CN208" s="768"/>
      <c r="CO208" s="768"/>
      <c r="CP208" s="768"/>
      <c r="CQ208" s="768"/>
      <c r="CR208" s="768"/>
    </row>
    <row r="209" spans="1:96" s="764" customFormat="1">
      <c r="A209" s="774" t="s">
        <v>3199</v>
      </c>
      <c r="B209" s="703" t="s">
        <v>3232</v>
      </c>
      <c r="C209" s="704" t="s">
        <v>3232</v>
      </c>
      <c r="D209" s="704" t="s">
        <v>339</v>
      </c>
      <c r="E209" s="704" t="s">
        <v>36</v>
      </c>
      <c r="F209" s="704" t="s">
        <v>771</v>
      </c>
      <c r="G209" s="705" t="str">
        <f>VLOOKUP(WWWW[[#This Row],[Village  Name]],SiteDB6[[Site Name]:[Location Type]],8,FALSE)</f>
        <v>Village</v>
      </c>
      <c r="H209" s="704" t="s">
        <v>3240</v>
      </c>
      <c r="I209" s="706">
        <v>104</v>
      </c>
      <c r="J209" s="706">
        <v>597</v>
      </c>
      <c r="K209" s="707">
        <v>43831</v>
      </c>
      <c r="L209" s="708">
        <v>44926</v>
      </c>
      <c r="M209" s="706"/>
      <c r="N209" s="706"/>
      <c r="O209" s="773"/>
      <c r="P209" s="706"/>
      <c r="Q209" s="706"/>
      <c r="R209" s="706"/>
      <c r="S209" s="706"/>
      <c r="T209" s="706"/>
      <c r="U209" s="709"/>
      <c r="V209" s="706"/>
      <c r="W209" s="706"/>
      <c r="X209" s="706"/>
      <c r="Y209" s="706">
        <v>4</v>
      </c>
      <c r="Z209" s="706"/>
      <c r="AA209" s="706"/>
      <c r="AB209" s="706"/>
      <c r="AC209" s="709"/>
      <c r="AD209" s="706"/>
      <c r="AE209" s="706"/>
      <c r="AF209" s="706"/>
      <c r="AG209" s="706"/>
      <c r="AH209" s="706"/>
      <c r="AI209" s="706"/>
      <c r="AJ209" s="773"/>
      <c r="AK209" s="706"/>
      <c r="AL209" s="773"/>
      <c r="AM209" s="773"/>
      <c r="AN209" s="709"/>
      <c r="AO209" s="769"/>
      <c r="AP209" s="769"/>
      <c r="AQ209" s="773"/>
      <c r="AR209" s="773"/>
      <c r="AS209" s="773"/>
      <c r="AT209"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09" s="711">
        <f>WWWW[[#This Row],[%Equitable and continuous access to sufficient quantity of safe drinking water]]*WWWW[[#This Row],[Total PoP ]]</f>
        <v>0</v>
      </c>
      <c r="AV209"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09" s="711">
        <f>WWWW[[#This Row],[% Access to unimproved water points]]*WWWW[[#This Row],[Total PoP ]]</f>
        <v>0</v>
      </c>
      <c r="AX209"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09"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09" s="711">
        <f>WWWW[[#This Row],[HRP1]]/250</f>
        <v>0</v>
      </c>
      <c r="BA209" s="713">
        <f>1-WWWW[[#This Row],[% Equitable and continuous access to sufficient quantity of domestic water]]</f>
        <v>1</v>
      </c>
      <c r="BB209" s="711">
        <f>WWWW[[#This Row],[%equitable and continuous access to sufficient quantity of safe drinking and domestic water''s GAP]]*WWWW[[#This Row],[Total PoP ]]</f>
        <v>597</v>
      </c>
      <c r="BC209" s="714">
        <f>IF(WWWW[[#This Row],[Total required water points]]-WWWW[[#This Row],['#Water points coverage]]&lt;0,0,WWWW[[#This Row],[Total required water points]]-WWWW[[#This Row],['#Water points coverage]])</f>
        <v>2</v>
      </c>
      <c r="BD209" s="714">
        <f>ROUND(IF(WWWW[[#This Row],[Total PoP ]]&lt;250,1,WWWW[[#This Row],[Total PoP ]]/250),0)</f>
        <v>2</v>
      </c>
      <c r="BE20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09" s="711">
        <f>WWWW[[#This Row],[% people access to functioning Latrine]]*WWWW[[#This Row],[Total PoP ]]</f>
        <v>0</v>
      </c>
      <c r="BG209" s="714">
        <f>WWWW[[#This Row],['#_of_Functioning_latrines_in_school]]*50</f>
        <v>0</v>
      </c>
      <c r="BH209" s="714">
        <f>ROUND((WWWW[[#This Row],[Total PoP ]]/6),0)</f>
        <v>100</v>
      </c>
      <c r="BI209" s="714">
        <f>IF(WWWW[[#This Row],[Total required Latrines]]-(WWWW[[#This Row],['#_of_sanitary_fly-proof_HH_latrines]])&lt;0,0,WWWW[[#This Row],[Total required Latrines]]-(WWWW[[#This Row],['#_of_sanitary_fly-proof_HH_latrines]]))</f>
        <v>100</v>
      </c>
      <c r="BJ209" s="710">
        <f>1-WWWW[[#This Row],[% people access to functioning Latrine]]</f>
        <v>1</v>
      </c>
      <c r="BK209"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09" s="772">
        <f>IF(WWWW[[#This Row],['#_of_functional_handwashing_facilities_at_HH_level]]*6&gt;WWWW[[#This Row],[Total PoP ]],WWWW[[#This Row],[Total PoP ]],WWWW[[#This Row],['#_of_functional_handwashing_facilities_at_HH_level]]*6)</f>
        <v>0</v>
      </c>
      <c r="BM209" s="714">
        <f>IF(WWWW[[#This Row],['# people reached by regular dedicated hygiene promotion]]&gt;WWWW[[#This Row],['# People received regular supply of hygiene items]],WWWW[[#This Row],['# people reached by regular dedicated hygiene promotion]],WWWW[[#This Row],['# People received regular supply of hygiene items]])</f>
        <v>0</v>
      </c>
      <c r="BN209" s="713">
        <f>IF(WWWW[[#This Row],[HRP3]]/WWWW[[#This Row],[Total PoP ]]&gt;100%,100%,WWWW[[#This Row],[HRP3]]/WWWW[[#This Row],[Total PoP ]])</f>
        <v>0</v>
      </c>
      <c r="BO209" s="710">
        <f>1-WWWW[[#This Row],[Hygiene Coverage%]]</f>
        <v>1</v>
      </c>
      <c r="BP209" s="712">
        <f>WWWW[[#This Row],['# people reached by regular dedicated hygiene promotion]]/WWWW[[#This Row],[Total PoP ]]</f>
        <v>0</v>
      </c>
      <c r="BQ20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09" s="770">
        <f>WWWW[[#This Row],['#_of_affected_women_and_girls_receiving_a_sufficient_quantity_of_sanitary_pads]]</f>
        <v>0</v>
      </c>
      <c r="BS209" s="773">
        <f>IF(WWWW[[#This Row],['# People with access to soap]]&gt;WWWW[[#This Row],['# People with access to Sanity Pads]],WWWW[[#This Row],['# People with access to soap]],WWWW[[#This Row],['# People with access to Sanity Pads]])</f>
        <v>0</v>
      </c>
      <c r="BT209" s="772" t="str">
        <f>IF(OR(WWWW[[#This Row],['#of students in school]]="",WWWW[[#This Row],['#of students in school]]=0),"No","Yes")</f>
        <v>No</v>
      </c>
      <c r="BU209" s="705" t="str">
        <f>VLOOKUP(WWWW[[#This Row],[Village  Name]],SiteDB6[[Site Name]:[Location Type 1]],9,FALSE)</f>
        <v>Village</v>
      </c>
      <c r="BV209" s="705" t="str">
        <f>VLOOKUP(WWWW[[#This Row],[Village  Name]],SiteDB6[[Site Name]:[Type of Accommodation]],10,FALSE)</f>
        <v>Village</v>
      </c>
      <c r="BW209" s="705">
        <f>VLOOKUP(WWWW[[#This Row],[Village  Name]],SiteDB6[[Site Name]:[Ethnic or GCA/NGCA]],11,FALSE)</f>
        <v>0</v>
      </c>
      <c r="BX209" s="705">
        <f>VLOOKUP(WWWW[[#This Row],[Village  Name]],SiteDB6[[Site Name]:[Lat]],12,FALSE)</f>
        <v>0</v>
      </c>
      <c r="BY209" s="705">
        <f>VLOOKUP(WWWW[[#This Row],[Village  Name]],SiteDB6[[Site Name]:[Long]],13,FALSE)</f>
        <v>0</v>
      </c>
      <c r="BZ209" s="705">
        <f>VLOOKUP(WWWW[[#This Row],[Village  Name]],SiteDB6[[Site Name]:[Pcode]],3,FALSE)</f>
        <v>0</v>
      </c>
      <c r="CA209" s="705" t="str">
        <f t="shared" si="12"/>
        <v>Covered</v>
      </c>
      <c r="CB209" s="715"/>
      <c r="CC209" s="765"/>
      <c r="CD209" s="766"/>
      <c r="CE209" s="766"/>
      <c r="CF209" s="763"/>
      <c r="CG209" s="766"/>
      <c r="CH209" s="767"/>
      <c r="CI209" s="767"/>
      <c r="CJ209" s="768"/>
      <c r="CK209" s="768"/>
      <c r="CL209" s="768"/>
      <c r="CM209" s="768"/>
      <c r="CN209" s="768"/>
      <c r="CO209" s="768"/>
      <c r="CP209" s="768"/>
      <c r="CQ209" s="768"/>
      <c r="CR209" s="768"/>
    </row>
    <row r="210" spans="1:96" s="764" customFormat="1">
      <c r="A210" s="774" t="s">
        <v>3199</v>
      </c>
      <c r="B210" s="703" t="s">
        <v>3232</v>
      </c>
      <c r="C210" s="704" t="s">
        <v>3232</v>
      </c>
      <c r="D210" s="704" t="s">
        <v>339</v>
      </c>
      <c r="E210" s="704" t="s">
        <v>36</v>
      </c>
      <c r="F210" s="704" t="s">
        <v>771</v>
      </c>
      <c r="G210" s="705" t="str">
        <f>VLOOKUP(WWWW[[#This Row],[Village  Name]],SiteDB6[[Site Name]:[Location Type]],8,FALSE)</f>
        <v>Village</v>
      </c>
      <c r="H210" s="704" t="s">
        <v>3241</v>
      </c>
      <c r="I210" s="706">
        <v>23</v>
      </c>
      <c r="J210" s="706">
        <v>156</v>
      </c>
      <c r="K210" s="707">
        <v>43831</v>
      </c>
      <c r="L210" s="708">
        <v>44926</v>
      </c>
      <c r="M210" s="706"/>
      <c r="N210" s="706"/>
      <c r="O210" s="773"/>
      <c r="P210" s="706"/>
      <c r="Q210" s="706"/>
      <c r="R210" s="706"/>
      <c r="S210" s="706"/>
      <c r="T210" s="706"/>
      <c r="U210" s="709"/>
      <c r="V210" s="706"/>
      <c r="W210" s="706"/>
      <c r="X210" s="706"/>
      <c r="Y210" s="706">
        <v>6</v>
      </c>
      <c r="Z210" s="706"/>
      <c r="AA210" s="706"/>
      <c r="AB210" s="706"/>
      <c r="AC210" s="709"/>
      <c r="AD210" s="706"/>
      <c r="AE210" s="706"/>
      <c r="AF210" s="706"/>
      <c r="AG210" s="706"/>
      <c r="AH210" s="706"/>
      <c r="AI210" s="706"/>
      <c r="AJ210" s="773"/>
      <c r="AK210" s="706"/>
      <c r="AL210" s="773"/>
      <c r="AM210" s="773"/>
      <c r="AN210" s="709"/>
      <c r="AO210" s="769"/>
      <c r="AP210" s="769"/>
      <c r="AQ210" s="773"/>
      <c r="AR210" s="773"/>
      <c r="AS210" s="773"/>
      <c r="AT210"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10" s="711">
        <f>WWWW[[#This Row],[%Equitable and continuous access to sufficient quantity of safe drinking water]]*WWWW[[#This Row],[Total PoP ]]</f>
        <v>0</v>
      </c>
      <c r="AV210"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10" s="711">
        <f>WWWW[[#This Row],[% Access to unimproved water points]]*WWWW[[#This Row],[Total PoP ]]</f>
        <v>0</v>
      </c>
      <c r="AX210"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10"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10" s="711">
        <f>WWWW[[#This Row],[HRP1]]/250</f>
        <v>0</v>
      </c>
      <c r="BA210" s="713">
        <f>1-WWWW[[#This Row],[% Equitable and continuous access to sufficient quantity of domestic water]]</f>
        <v>1</v>
      </c>
      <c r="BB210" s="711">
        <f>WWWW[[#This Row],[%equitable and continuous access to sufficient quantity of safe drinking and domestic water''s GAP]]*WWWW[[#This Row],[Total PoP ]]</f>
        <v>156</v>
      </c>
      <c r="BC210" s="714">
        <f>IF(WWWW[[#This Row],[Total required water points]]-WWWW[[#This Row],['#Water points coverage]]&lt;0,0,WWWW[[#This Row],[Total required water points]]-WWWW[[#This Row],['#Water points coverage]])</f>
        <v>1</v>
      </c>
      <c r="BD210" s="714">
        <f>ROUND(IF(WWWW[[#This Row],[Total PoP ]]&lt;250,1,WWWW[[#This Row],[Total PoP ]]/250),0)</f>
        <v>1</v>
      </c>
      <c r="BE21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10" s="711">
        <f>WWWW[[#This Row],[% people access to functioning Latrine]]*WWWW[[#This Row],[Total PoP ]]</f>
        <v>0</v>
      </c>
      <c r="BG210" s="714">
        <f>WWWW[[#This Row],['#_of_Functioning_latrines_in_school]]*50</f>
        <v>0</v>
      </c>
      <c r="BH210" s="714">
        <f>ROUND((WWWW[[#This Row],[Total PoP ]]/6),0)</f>
        <v>26</v>
      </c>
      <c r="BI210" s="714">
        <f>IF(WWWW[[#This Row],[Total required Latrines]]-(WWWW[[#This Row],['#_of_sanitary_fly-proof_HH_latrines]])&lt;0,0,WWWW[[#This Row],[Total required Latrines]]-(WWWW[[#This Row],['#_of_sanitary_fly-proof_HH_latrines]]))</f>
        <v>26</v>
      </c>
      <c r="BJ210" s="710">
        <f>1-WWWW[[#This Row],[% people access to functioning Latrine]]</f>
        <v>1</v>
      </c>
      <c r="BK210"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10" s="772">
        <f>IF(WWWW[[#This Row],['#_of_functional_handwashing_facilities_at_HH_level]]*6&gt;WWWW[[#This Row],[Total PoP ]],WWWW[[#This Row],[Total PoP ]],WWWW[[#This Row],['#_of_functional_handwashing_facilities_at_HH_level]]*6)</f>
        <v>0</v>
      </c>
      <c r="BM210" s="714">
        <f>IF(WWWW[[#This Row],['# people reached by regular dedicated hygiene promotion]]&gt;WWWW[[#This Row],['# People received regular supply of hygiene items]],WWWW[[#This Row],['# people reached by regular dedicated hygiene promotion]],WWWW[[#This Row],['# People received regular supply of hygiene items]])</f>
        <v>0</v>
      </c>
      <c r="BN210" s="713">
        <f>IF(WWWW[[#This Row],[HRP3]]/WWWW[[#This Row],[Total PoP ]]&gt;100%,100%,WWWW[[#This Row],[HRP3]]/WWWW[[#This Row],[Total PoP ]])</f>
        <v>0</v>
      </c>
      <c r="BO210" s="710">
        <f>1-WWWW[[#This Row],[Hygiene Coverage%]]</f>
        <v>1</v>
      </c>
      <c r="BP210" s="712">
        <f>WWWW[[#This Row],['# people reached by regular dedicated hygiene promotion]]/WWWW[[#This Row],[Total PoP ]]</f>
        <v>0</v>
      </c>
      <c r="BQ21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10" s="770">
        <f>WWWW[[#This Row],['#_of_affected_women_and_girls_receiving_a_sufficient_quantity_of_sanitary_pads]]</f>
        <v>0</v>
      </c>
      <c r="BS210" s="773">
        <f>IF(WWWW[[#This Row],['# People with access to soap]]&gt;WWWW[[#This Row],['# People with access to Sanity Pads]],WWWW[[#This Row],['# People with access to soap]],WWWW[[#This Row],['# People with access to Sanity Pads]])</f>
        <v>0</v>
      </c>
      <c r="BT210" s="772" t="str">
        <f>IF(OR(WWWW[[#This Row],['#of students in school]]="",WWWW[[#This Row],['#of students in school]]=0),"No","Yes")</f>
        <v>No</v>
      </c>
      <c r="BU210" s="705" t="str">
        <f>VLOOKUP(WWWW[[#This Row],[Village  Name]],SiteDB6[[Site Name]:[Location Type 1]],9,FALSE)</f>
        <v>Village</v>
      </c>
      <c r="BV210" s="705" t="str">
        <f>VLOOKUP(WWWW[[#This Row],[Village  Name]],SiteDB6[[Site Name]:[Type of Accommodation]],10,FALSE)</f>
        <v>Village</v>
      </c>
      <c r="BW210" s="705">
        <f>VLOOKUP(WWWW[[#This Row],[Village  Name]],SiteDB6[[Site Name]:[Ethnic or GCA/NGCA]],11,FALSE)</f>
        <v>0</v>
      </c>
      <c r="BX210" s="705">
        <f>VLOOKUP(WWWW[[#This Row],[Village  Name]],SiteDB6[[Site Name]:[Lat]],12,FALSE)</f>
        <v>0</v>
      </c>
      <c r="BY210" s="705">
        <f>VLOOKUP(WWWW[[#This Row],[Village  Name]],SiteDB6[[Site Name]:[Long]],13,FALSE)</f>
        <v>0</v>
      </c>
      <c r="BZ210" s="705">
        <f>VLOOKUP(WWWW[[#This Row],[Village  Name]],SiteDB6[[Site Name]:[Pcode]],3,FALSE)</f>
        <v>0</v>
      </c>
      <c r="CA210" s="705" t="str">
        <f t="shared" si="12"/>
        <v>Covered</v>
      </c>
      <c r="CB210" s="715"/>
      <c r="CC210" s="765"/>
      <c r="CD210" s="766"/>
      <c r="CE210" s="766"/>
      <c r="CF210" s="763"/>
      <c r="CG210" s="766"/>
      <c r="CH210" s="767"/>
      <c r="CI210" s="767"/>
      <c r="CJ210" s="768"/>
      <c r="CK210" s="768"/>
      <c r="CL210" s="768"/>
      <c r="CM210" s="768"/>
      <c r="CN210" s="768"/>
      <c r="CO210" s="768"/>
      <c r="CP210" s="768"/>
      <c r="CQ210" s="768"/>
      <c r="CR210" s="768"/>
    </row>
    <row r="211" spans="1:96" s="764" customFormat="1">
      <c r="A211" s="774" t="s">
        <v>3199</v>
      </c>
      <c r="B211" s="703" t="s">
        <v>3232</v>
      </c>
      <c r="C211" s="704" t="s">
        <v>3232</v>
      </c>
      <c r="D211" s="704" t="s">
        <v>339</v>
      </c>
      <c r="E211" s="704" t="s">
        <v>36</v>
      </c>
      <c r="F211" s="704" t="s">
        <v>771</v>
      </c>
      <c r="G211" s="705" t="str">
        <f>VLOOKUP(WWWW[[#This Row],[Village  Name]],SiteDB6[[Site Name]:[Location Type]],8,FALSE)</f>
        <v>Village</v>
      </c>
      <c r="H211" s="704" t="s">
        <v>3242</v>
      </c>
      <c r="I211" s="706">
        <v>36</v>
      </c>
      <c r="J211" s="706">
        <v>220</v>
      </c>
      <c r="K211" s="707">
        <v>43831</v>
      </c>
      <c r="L211" s="708">
        <v>44926</v>
      </c>
      <c r="M211" s="706"/>
      <c r="N211" s="706"/>
      <c r="O211" s="773"/>
      <c r="P211" s="706"/>
      <c r="Q211" s="706"/>
      <c r="R211" s="706"/>
      <c r="S211" s="706"/>
      <c r="T211" s="706"/>
      <c r="U211" s="709"/>
      <c r="V211" s="706"/>
      <c r="W211" s="706"/>
      <c r="X211" s="706"/>
      <c r="Y211" s="706">
        <v>2</v>
      </c>
      <c r="Z211" s="706"/>
      <c r="AA211" s="706"/>
      <c r="AB211" s="706"/>
      <c r="AC211" s="709"/>
      <c r="AD211" s="706"/>
      <c r="AE211" s="706"/>
      <c r="AF211" s="706"/>
      <c r="AG211" s="706"/>
      <c r="AH211" s="706"/>
      <c r="AI211" s="706"/>
      <c r="AJ211" s="773"/>
      <c r="AK211" s="706"/>
      <c r="AL211" s="773"/>
      <c r="AM211" s="773"/>
      <c r="AN211" s="709"/>
      <c r="AO211" s="769"/>
      <c r="AP211" s="769"/>
      <c r="AQ211" s="773"/>
      <c r="AR211" s="773"/>
      <c r="AS211" s="773"/>
      <c r="AT211"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11" s="711">
        <f>WWWW[[#This Row],[%Equitable and continuous access to sufficient quantity of safe drinking water]]*WWWW[[#This Row],[Total PoP ]]</f>
        <v>0</v>
      </c>
      <c r="AV211"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11" s="711">
        <f>WWWW[[#This Row],[% Access to unimproved water points]]*WWWW[[#This Row],[Total PoP ]]</f>
        <v>0</v>
      </c>
      <c r="AX211"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11"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11" s="711">
        <f>WWWW[[#This Row],[HRP1]]/250</f>
        <v>0</v>
      </c>
      <c r="BA211" s="713">
        <f>1-WWWW[[#This Row],[% Equitable and continuous access to sufficient quantity of domestic water]]</f>
        <v>1</v>
      </c>
      <c r="BB211" s="711">
        <f>WWWW[[#This Row],[%equitable and continuous access to sufficient quantity of safe drinking and domestic water''s GAP]]*WWWW[[#This Row],[Total PoP ]]</f>
        <v>220</v>
      </c>
      <c r="BC211" s="714">
        <f>IF(WWWW[[#This Row],[Total required water points]]-WWWW[[#This Row],['#Water points coverage]]&lt;0,0,WWWW[[#This Row],[Total required water points]]-WWWW[[#This Row],['#Water points coverage]])</f>
        <v>1</v>
      </c>
      <c r="BD211" s="714">
        <f>ROUND(IF(WWWW[[#This Row],[Total PoP ]]&lt;250,1,WWWW[[#This Row],[Total PoP ]]/250),0)</f>
        <v>1</v>
      </c>
      <c r="BE21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11" s="711">
        <f>WWWW[[#This Row],[% people access to functioning Latrine]]*WWWW[[#This Row],[Total PoP ]]</f>
        <v>0</v>
      </c>
      <c r="BG211" s="714">
        <f>WWWW[[#This Row],['#_of_Functioning_latrines_in_school]]*50</f>
        <v>0</v>
      </c>
      <c r="BH211" s="714">
        <f>ROUND((WWWW[[#This Row],[Total PoP ]]/6),0)</f>
        <v>37</v>
      </c>
      <c r="BI211" s="714">
        <f>IF(WWWW[[#This Row],[Total required Latrines]]-(WWWW[[#This Row],['#_of_sanitary_fly-proof_HH_latrines]])&lt;0,0,WWWW[[#This Row],[Total required Latrines]]-(WWWW[[#This Row],['#_of_sanitary_fly-proof_HH_latrines]]))</f>
        <v>37</v>
      </c>
      <c r="BJ211" s="710">
        <f>1-WWWW[[#This Row],[% people access to functioning Latrine]]</f>
        <v>1</v>
      </c>
      <c r="BK211"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11" s="772">
        <f>IF(WWWW[[#This Row],['#_of_functional_handwashing_facilities_at_HH_level]]*6&gt;WWWW[[#This Row],[Total PoP ]],WWWW[[#This Row],[Total PoP ]],WWWW[[#This Row],['#_of_functional_handwashing_facilities_at_HH_level]]*6)</f>
        <v>0</v>
      </c>
      <c r="BM211" s="714">
        <f>IF(WWWW[[#This Row],['# people reached by regular dedicated hygiene promotion]]&gt;WWWW[[#This Row],['# People received regular supply of hygiene items]],WWWW[[#This Row],['# people reached by regular dedicated hygiene promotion]],WWWW[[#This Row],['# People received regular supply of hygiene items]])</f>
        <v>0</v>
      </c>
      <c r="BN211" s="713">
        <f>IF(WWWW[[#This Row],[HRP3]]/WWWW[[#This Row],[Total PoP ]]&gt;100%,100%,WWWW[[#This Row],[HRP3]]/WWWW[[#This Row],[Total PoP ]])</f>
        <v>0</v>
      </c>
      <c r="BO211" s="710">
        <f>1-WWWW[[#This Row],[Hygiene Coverage%]]</f>
        <v>1</v>
      </c>
      <c r="BP211" s="712">
        <f>WWWW[[#This Row],['# people reached by regular dedicated hygiene promotion]]/WWWW[[#This Row],[Total PoP ]]</f>
        <v>0</v>
      </c>
      <c r="BQ21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11" s="770">
        <f>WWWW[[#This Row],['#_of_affected_women_and_girls_receiving_a_sufficient_quantity_of_sanitary_pads]]</f>
        <v>0</v>
      </c>
      <c r="BS211" s="773">
        <f>IF(WWWW[[#This Row],['# People with access to soap]]&gt;WWWW[[#This Row],['# People with access to Sanity Pads]],WWWW[[#This Row],['# People with access to soap]],WWWW[[#This Row],['# People with access to Sanity Pads]])</f>
        <v>0</v>
      </c>
      <c r="BT211" s="772" t="str">
        <f>IF(OR(WWWW[[#This Row],['#of students in school]]="",WWWW[[#This Row],['#of students in school]]=0),"No","Yes")</f>
        <v>No</v>
      </c>
      <c r="BU211" s="705" t="str">
        <f>VLOOKUP(WWWW[[#This Row],[Village  Name]],SiteDB6[[Site Name]:[Location Type 1]],9,FALSE)</f>
        <v>Village</v>
      </c>
      <c r="BV211" s="705" t="str">
        <f>VLOOKUP(WWWW[[#This Row],[Village  Name]],SiteDB6[[Site Name]:[Type of Accommodation]],10,FALSE)</f>
        <v>Village</v>
      </c>
      <c r="BW211" s="705">
        <f>VLOOKUP(WWWW[[#This Row],[Village  Name]],SiteDB6[[Site Name]:[Ethnic or GCA/NGCA]],11,FALSE)</f>
        <v>0</v>
      </c>
      <c r="BX211" s="705">
        <f>VLOOKUP(WWWW[[#This Row],[Village  Name]],SiteDB6[[Site Name]:[Lat]],12,FALSE)</f>
        <v>0</v>
      </c>
      <c r="BY211" s="705">
        <f>VLOOKUP(WWWW[[#This Row],[Village  Name]],SiteDB6[[Site Name]:[Long]],13,FALSE)</f>
        <v>0</v>
      </c>
      <c r="BZ211" s="705">
        <f>VLOOKUP(WWWW[[#This Row],[Village  Name]],SiteDB6[[Site Name]:[Pcode]],3,FALSE)</f>
        <v>0</v>
      </c>
      <c r="CA211" s="705" t="str">
        <f t="shared" si="12"/>
        <v>Covered</v>
      </c>
      <c r="CB211" s="715"/>
      <c r="CC211" s="765"/>
      <c r="CD211" s="766"/>
      <c r="CE211" s="766"/>
      <c r="CF211" s="763"/>
      <c r="CG211" s="766"/>
      <c r="CH211" s="767"/>
      <c r="CI211" s="767"/>
      <c r="CJ211" s="768"/>
      <c r="CK211" s="768"/>
      <c r="CL211" s="768"/>
      <c r="CM211" s="768"/>
      <c r="CN211" s="768"/>
      <c r="CO211" s="768"/>
      <c r="CP211" s="768"/>
      <c r="CQ211" s="768"/>
      <c r="CR211" s="768"/>
    </row>
    <row r="212" spans="1:96" s="764" customFormat="1">
      <c r="A212" s="774" t="s">
        <v>3199</v>
      </c>
      <c r="B212" s="703" t="s">
        <v>3232</v>
      </c>
      <c r="C212" s="704" t="s">
        <v>3232</v>
      </c>
      <c r="D212" s="704" t="s">
        <v>339</v>
      </c>
      <c r="E212" s="704" t="s">
        <v>36</v>
      </c>
      <c r="F212" s="704" t="s">
        <v>771</v>
      </c>
      <c r="G212" s="705" t="str">
        <f>VLOOKUP(WWWW[[#This Row],[Village  Name]],SiteDB6[[Site Name]:[Location Type]],8,FALSE)</f>
        <v>Village</v>
      </c>
      <c r="H212" s="704" t="s">
        <v>3243</v>
      </c>
      <c r="I212" s="706">
        <v>36</v>
      </c>
      <c r="J212" s="706">
        <v>145</v>
      </c>
      <c r="K212" s="707">
        <v>43831</v>
      </c>
      <c r="L212" s="708">
        <v>44926</v>
      </c>
      <c r="M212" s="706"/>
      <c r="N212" s="706"/>
      <c r="O212" s="773"/>
      <c r="P212" s="706"/>
      <c r="Q212" s="706"/>
      <c r="R212" s="706"/>
      <c r="S212" s="706"/>
      <c r="T212" s="706"/>
      <c r="U212" s="709"/>
      <c r="V212" s="706"/>
      <c r="W212" s="706"/>
      <c r="X212" s="706"/>
      <c r="Y212" s="706">
        <v>1</v>
      </c>
      <c r="Z212" s="706"/>
      <c r="AA212" s="706"/>
      <c r="AB212" s="706"/>
      <c r="AC212" s="709"/>
      <c r="AD212" s="706"/>
      <c r="AE212" s="706"/>
      <c r="AF212" s="706"/>
      <c r="AG212" s="706"/>
      <c r="AH212" s="706"/>
      <c r="AI212" s="706"/>
      <c r="AJ212" s="773"/>
      <c r="AK212" s="706"/>
      <c r="AL212" s="773"/>
      <c r="AM212" s="773"/>
      <c r="AN212" s="709"/>
      <c r="AO212" s="769"/>
      <c r="AP212" s="769"/>
      <c r="AQ212" s="773"/>
      <c r="AR212" s="773"/>
      <c r="AS212" s="773"/>
      <c r="AT212"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12" s="711">
        <f>WWWW[[#This Row],[%Equitable and continuous access to sufficient quantity of safe drinking water]]*WWWW[[#This Row],[Total PoP ]]</f>
        <v>0</v>
      </c>
      <c r="AV212"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12" s="711">
        <f>WWWW[[#This Row],[% Access to unimproved water points]]*WWWW[[#This Row],[Total PoP ]]</f>
        <v>0</v>
      </c>
      <c r="AX212"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12"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12" s="711">
        <f>WWWW[[#This Row],[HRP1]]/250</f>
        <v>0</v>
      </c>
      <c r="BA212" s="713">
        <f>1-WWWW[[#This Row],[% Equitable and continuous access to sufficient quantity of domestic water]]</f>
        <v>1</v>
      </c>
      <c r="BB212" s="711">
        <f>WWWW[[#This Row],[%equitable and continuous access to sufficient quantity of safe drinking and domestic water''s GAP]]*WWWW[[#This Row],[Total PoP ]]</f>
        <v>145</v>
      </c>
      <c r="BC212" s="714">
        <f>IF(WWWW[[#This Row],[Total required water points]]-WWWW[[#This Row],['#Water points coverage]]&lt;0,0,WWWW[[#This Row],[Total required water points]]-WWWW[[#This Row],['#Water points coverage]])</f>
        <v>1</v>
      </c>
      <c r="BD212" s="714">
        <f>ROUND(IF(WWWW[[#This Row],[Total PoP ]]&lt;250,1,WWWW[[#This Row],[Total PoP ]]/250),0)</f>
        <v>1</v>
      </c>
      <c r="BE21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12" s="711">
        <f>WWWW[[#This Row],[% people access to functioning Latrine]]*WWWW[[#This Row],[Total PoP ]]</f>
        <v>0</v>
      </c>
      <c r="BG212" s="714">
        <f>WWWW[[#This Row],['#_of_Functioning_latrines_in_school]]*50</f>
        <v>0</v>
      </c>
      <c r="BH212" s="714">
        <f>ROUND((WWWW[[#This Row],[Total PoP ]]/6),0)</f>
        <v>24</v>
      </c>
      <c r="BI212" s="714">
        <f>IF(WWWW[[#This Row],[Total required Latrines]]-(WWWW[[#This Row],['#_of_sanitary_fly-proof_HH_latrines]])&lt;0,0,WWWW[[#This Row],[Total required Latrines]]-(WWWW[[#This Row],['#_of_sanitary_fly-proof_HH_latrines]]))</f>
        <v>24</v>
      </c>
      <c r="BJ212" s="710">
        <f>1-WWWW[[#This Row],[% people access to functioning Latrine]]</f>
        <v>1</v>
      </c>
      <c r="BK212"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12" s="772">
        <f>IF(WWWW[[#This Row],['#_of_functional_handwashing_facilities_at_HH_level]]*6&gt;WWWW[[#This Row],[Total PoP ]],WWWW[[#This Row],[Total PoP ]],WWWW[[#This Row],['#_of_functional_handwashing_facilities_at_HH_level]]*6)</f>
        <v>0</v>
      </c>
      <c r="BM212" s="714">
        <f>IF(WWWW[[#This Row],['# people reached by regular dedicated hygiene promotion]]&gt;WWWW[[#This Row],['# People received regular supply of hygiene items]],WWWW[[#This Row],['# people reached by regular dedicated hygiene promotion]],WWWW[[#This Row],['# People received regular supply of hygiene items]])</f>
        <v>0</v>
      </c>
      <c r="BN212" s="713">
        <f>IF(WWWW[[#This Row],[HRP3]]/WWWW[[#This Row],[Total PoP ]]&gt;100%,100%,WWWW[[#This Row],[HRP3]]/WWWW[[#This Row],[Total PoP ]])</f>
        <v>0</v>
      </c>
      <c r="BO212" s="710">
        <f>1-WWWW[[#This Row],[Hygiene Coverage%]]</f>
        <v>1</v>
      </c>
      <c r="BP212" s="712">
        <f>WWWW[[#This Row],['# people reached by regular dedicated hygiene promotion]]/WWWW[[#This Row],[Total PoP ]]</f>
        <v>0</v>
      </c>
      <c r="BQ21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12" s="770">
        <f>WWWW[[#This Row],['#_of_affected_women_and_girls_receiving_a_sufficient_quantity_of_sanitary_pads]]</f>
        <v>0</v>
      </c>
      <c r="BS212" s="773">
        <f>IF(WWWW[[#This Row],['# People with access to soap]]&gt;WWWW[[#This Row],['# People with access to Sanity Pads]],WWWW[[#This Row],['# People with access to soap]],WWWW[[#This Row],['# People with access to Sanity Pads]])</f>
        <v>0</v>
      </c>
      <c r="BT212" s="772" t="str">
        <f>IF(OR(WWWW[[#This Row],['#of students in school]]="",WWWW[[#This Row],['#of students in school]]=0),"No","Yes")</f>
        <v>No</v>
      </c>
      <c r="BU212" s="705" t="str">
        <f>VLOOKUP(WWWW[[#This Row],[Village  Name]],SiteDB6[[Site Name]:[Location Type 1]],9,FALSE)</f>
        <v>Village</v>
      </c>
      <c r="BV212" s="705" t="str">
        <f>VLOOKUP(WWWW[[#This Row],[Village  Name]],SiteDB6[[Site Name]:[Type of Accommodation]],10,FALSE)</f>
        <v>Village</v>
      </c>
      <c r="BW212" s="705">
        <f>VLOOKUP(WWWW[[#This Row],[Village  Name]],SiteDB6[[Site Name]:[Ethnic or GCA/NGCA]],11,FALSE)</f>
        <v>0</v>
      </c>
      <c r="BX212" s="705">
        <f>VLOOKUP(WWWW[[#This Row],[Village  Name]],SiteDB6[[Site Name]:[Lat]],12,FALSE)</f>
        <v>0</v>
      </c>
      <c r="BY212" s="705">
        <f>VLOOKUP(WWWW[[#This Row],[Village  Name]],SiteDB6[[Site Name]:[Long]],13,FALSE)</f>
        <v>0</v>
      </c>
      <c r="BZ212" s="705">
        <f>VLOOKUP(WWWW[[#This Row],[Village  Name]],SiteDB6[[Site Name]:[Pcode]],3,FALSE)</f>
        <v>0</v>
      </c>
      <c r="CA212" s="705" t="str">
        <f t="shared" si="12"/>
        <v>Covered</v>
      </c>
      <c r="CB212" s="715"/>
      <c r="CC212" s="765"/>
      <c r="CD212" s="766"/>
      <c r="CE212" s="766"/>
      <c r="CF212" s="763"/>
      <c r="CG212" s="766"/>
      <c r="CH212" s="767"/>
      <c r="CI212" s="767"/>
      <c r="CJ212" s="768"/>
      <c r="CK212" s="768"/>
      <c r="CL212" s="768"/>
      <c r="CM212" s="768"/>
      <c r="CN212" s="768"/>
      <c r="CO212" s="768"/>
      <c r="CP212" s="768"/>
      <c r="CQ212" s="768"/>
      <c r="CR212" s="768"/>
    </row>
    <row r="213" spans="1:96" s="764" customFormat="1">
      <c r="A213" s="774" t="s">
        <v>3199</v>
      </c>
      <c r="B213" s="703" t="s">
        <v>3232</v>
      </c>
      <c r="C213" s="704" t="s">
        <v>3232</v>
      </c>
      <c r="D213" s="704" t="s">
        <v>339</v>
      </c>
      <c r="E213" s="704" t="s">
        <v>36</v>
      </c>
      <c r="F213" s="704" t="s">
        <v>771</v>
      </c>
      <c r="G213" s="705" t="str">
        <f>VLOOKUP(WWWW[[#This Row],[Village  Name]],SiteDB6[[Site Name]:[Location Type]],8,FALSE)</f>
        <v>Village</v>
      </c>
      <c r="H213" s="704" t="s">
        <v>3244</v>
      </c>
      <c r="I213" s="706">
        <v>28</v>
      </c>
      <c r="J213" s="706">
        <v>223</v>
      </c>
      <c r="K213" s="707">
        <v>43831</v>
      </c>
      <c r="L213" s="708">
        <v>44926</v>
      </c>
      <c r="M213" s="706"/>
      <c r="N213" s="706"/>
      <c r="O213" s="773"/>
      <c r="P213" s="706"/>
      <c r="Q213" s="706"/>
      <c r="R213" s="706"/>
      <c r="S213" s="706"/>
      <c r="T213" s="706"/>
      <c r="U213" s="709"/>
      <c r="V213" s="706"/>
      <c r="W213" s="706"/>
      <c r="X213" s="706"/>
      <c r="Y213" s="706">
        <v>7</v>
      </c>
      <c r="Z213" s="706"/>
      <c r="AA213" s="706"/>
      <c r="AB213" s="706"/>
      <c r="AC213" s="709"/>
      <c r="AD213" s="706"/>
      <c r="AE213" s="706"/>
      <c r="AF213" s="706"/>
      <c r="AG213" s="706"/>
      <c r="AH213" s="706"/>
      <c r="AI213" s="706"/>
      <c r="AJ213" s="773"/>
      <c r="AK213" s="706"/>
      <c r="AL213" s="773"/>
      <c r="AM213" s="773"/>
      <c r="AN213" s="709"/>
      <c r="AO213" s="769"/>
      <c r="AP213" s="769"/>
      <c r="AQ213" s="773"/>
      <c r="AR213" s="773"/>
      <c r="AS213" s="773"/>
      <c r="AT213"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13" s="711">
        <f>WWWW[[#This Row],[%Equitable and continuous access to sufficient quantity of safe drinking water]]*WWWW[[#This Row],[Total PoP ]]</f>
        <v>0</v>
      </c>
      <c r="AV213"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13" s="711">
        <f>WWWW[[#This Row],[% Access to unimproved water points]]*WWWW[[#This Row],[Total PoP ]]</f>
        <v>0</v>
      </c>
      <c r="AX213"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13"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13" s="711">
        <f>WWWW[[#This Row],[HRP1]]/250</f>
        <v>0</v>
      </c>
      <c r="BA213" s="713">
        <f>1-WWWW[[#This Row],[% Equitable and continuous access to sufficient quantity of domestic water]]</f>
        <v>1</v>
      </c>
      <c r="BB213" s="711">
        <f>WWWW[[#This Row],[%equitable and continuous access to sufficient quantity of safe drinking and domestic water''s GAP]]*WWWW[[#This Row],[Total PoP ]]</f>
        <v>223</v>
      </c>
      <c r="BC213" s="714">
        <f>IF(WWWW[[#This Row],[Total required water points]]-WWWW[[#This Row],['#Water points coverage]]&lt;0,0,WWWW[[#This Row],[Total required water points]]-WWWW[[#This Row],['#Water points coverage]])</f>
        <v>1</v>
      </c>
      <c r="BD213" s="714">
        <f>ROUND(IF(WWWW[[#This Row],[Total PoP ]]&lt;250,1,WWWW[[#This Row],[Total PoP ]]/250),0)</f>
        <v>1</v>
      </c>
      <c r="BE21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13" s="711">
        <f>WWWW[[#This Row],[% people access to functioning Latrine]]*WWWW[[#This Row],[Total PoP ]]</f>
        <v>0</v>
      </c>
      <c r="BG213" s="714">
        <f>WWWW[[#This Row],['#_of_Functioning_latrines_in_school]]*50</f>
        <v>0</v>
      </c>
      <c r="BH213" s="714">
        <f>ROUND((WWWW[[#This Row],[Total PoP ]]/6),0)</f>
        <v>37</v>
      </c>
      <c r="BI213" s="714">
        <f>IF(WWWW[[#This Row],[Total required Latrines]]-(WWWW[[#This Row],['#_of_sanitary_fly-proof_HH_latrines]])&lt;0,0,WWWW[[#This Row],[Total required Latrines]]-(WWWW[[#This Row],['#_of_sanitary_fly-proof_HH_latrines]]))</f>
        <v>37</v>
      </c>
      <c r="BJ213" s="710">
        <f>1-WWWW[[#This Row],[% people access to functioning Latrine]]</f>
        <v>1</v>
      </c>
      <c r="BK213"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13" s="772">
        <f>IF(WWWW[[#This Row],['#_of_functional_handwashing_facilities_at_HH_level]]*6&gt;WWWW[[#This Row],[Total PoP ]],WWWW[[#This Row],[Total PoP ]],WWWW[[#This Row],['#_of_functional_handwashing_facilities_at_HH_level]]*6)</f>
        <v>0</v>
      </c>
      <c r="BM213" s="714">
        <f>IF(WWWW[[#This Row],['# people reached by regular dedicated hygiene promotion]]&gt;WWWW[[#This Row],['# People received regular supply of hygiene items]],WWWW[[#This Row],['# people reached by regular dedicated hygiene promotion]],WWWW[[#This Row],['# People received regular supply of hygiene items]])</f>
        <v>0</v>
      </c>
      <c r="BN213" s="713">
        <f>IF(WWWW[[#This Row],[HRP3]]/WWWW[[#This Row],[Total PoP ]]&gt;100%,100%,WWWW[[#This Row],[HRP3]]/WWWW[[#This Row],[Total PoP ]])</f>
        <v>0</v>
      </c>
      <c r="BO213" s="710">
        <f>1-WWWW[[#This Row],[Hygiene Coverage%]]</f>
        <v>1</v>
      </c>
      <c r="BP213" s="712">
        <f>WWWW[[#This Row],['# people reached by regular dedicated hygiene promotion]]/WWWW[[#This Row],[Total PoP ]]</f>
        <v>0</v>
      </c>
      <c r="BQ21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13" s="770">
        <f>WWWW[[#This Row],['#_of_affected_women_and_girls_receiving_a_sufficient_quantity_of_sanitary_pads]]</f>
        <v>0</v>
      </c>
      <c r="BS213" s="773">
        <f>IF(WWWW[[#This Row],['# People with access to soap]]&gt;WWWW[[#This Row],['# People with access to Sanity Pads]],WWWW[[#This Row],['# People with access to soap]],WWWW[[#This Row],['# People with access to Sanity Pads]])</f>
        <v>0</v>
      </c>
      <c r="BT213" s="772" t="str">
        <f>IF(OR(WWWW[[#This Row],['#of students in school]]="",WWWW[[#This Row],['#of students in school]]=0),"No","Yes")</f>
        <v>No</v>
      </c>
      <c r="BU213" s="705" t="str">
        <f>VLOOKUP(WWWW[[#This Row],[Village  Name]],SiteDB6[[Site Name]:[Location Type 1]],9,FALSE)</f>
        <v>Village</v>
      </c>
      <c r="BV213" s="705" t="str">
        <f>VLOOKUP(WWWW[[#This Row],[Village  Name]],SiteDB6[[Site Name]:[Type of Accommodation]],10,FALSE)</f>
        <v>Village</v>
      </c>
      <c r="BW213" s="705">
        <f>VLOOKUP(WWWW[[#This Row],[Village  Name]],SiteDB6[[Site Name]:[Ethnic or GCA/NGCA]],11,FALSE)</f>
        <v>0</v>
      </c>
      <c r="BX213" s="705">
        <f>VLOOKUP(WWWW[[#This Row],[Village  Name]],SiteDB6[[Site Name]:[Lat]],12,FALSE)</f>
        <v>0</v>
      </c>
      <c r="BY213" s="705">
        <f>VLOOKUP(WWWW[[#This Row],[Village  Name]],SiteDB6[[Site Name]:[Long]],13,FALSE)</f>
        <v>0</v>
      </c>
      <c r="BZ213" s="705">
        <f>VLOOKUP(WWWW[[#This Row],[Village  Name]],SiteDB6[[Site Name]:[Pcode]],3,FALSE)</f>
        <v>0</v>
      </c>
      <c r="CA213" s="705" t="str">
        <f t="shared" si="12"/>
        <v>Covered</v>
      </c>
      <c r="CB213" s="715"/>
      <c r="CC213" s="765"/>
      <c r="CD213" s="766"/>
      <c r="CE213" s="766"/>
      <c r="CF213" s="763"/>
      <c r="CG213" s="766"/>
      <c r="CH213" s="767"/>
      <c r="CI213" s="767"/>
      <c r="CJ213" s="768"/>
      <c r="CK213" s="768"/>
      <c r="CL213" s="768"/>
      <c r="CM213" s="768"/>
      <c r="CN213" s="768"/>
      <c r="CO213" s="768"/>
      <c r="CP213" s="768"/>
      <c r="CQ213" s="768"/>
      <c r="CR213" s="768"/>
    </row>
    <row r="214" spans="1:96" s="764" customFormat="1">
      <c r="A214" s="774" t="s">
        <v>3199</v>
      </c>
      <c r="B214" s="703" t="s">
        <v>3232</v>
      </c>
      <c r="C214" s="704" t="s">
        <v>3232</v>
      </c>
      <c r="D214" s="704" t="s">
        <v>339</v>
      </c>
      <c r="E214" s="704" t="s">
        <v>36</v>
      </c>
      <c r="F214" s="704" t="s">
        <v>771</v>
      </c>
      <c r="G214" s="705" t="str">
        <f>VLOOKUP(WWWW[[#This Row],[Village  Name]],SiteDB6[[Site Name]:[Location Type]],8,FALSE)</f>
        <v>Village</v>
      </c>
      <c r="H214" s="704" t="s">
        <v>3245</v>
      </c>
      <c r="I214" s="706">
        <v>17</v>
      </c>
      <c r="J214" s="706">
        <v>183</v>
      </c>
      <c r="K214" s="707">
        <v>43831</v>
      </c>
      <c r="L214" s="708">
        <v>44926</v>
      </c>
      <c r="M214" s="706"/>
      <c r="N214" s="706"/>
      <c r="O214" s="773"/>
      <c r="P214" s="706"/>
      <c r="Q214" s="706"/>
      <c r="R214" s="706"/>
      <c r="S214" s="706"/>
      <c r="T214" s="706"/>
      <c r="U214" s="709"/>
      <c r="V214" s="706"/>
      <c r="W214" s="706"/>
      <c r="X214" s="706"/>
      <c r="Y214" s="706">
        <v>1</v>
      </c>
      <c r="Z214" s="706"/>
      <c r="AA214" s="706"/>
      <c r="AB214" s="706"/>
      <c r="AC214" s="709"/>
      <c r="AD214" s="706"/>
      <c r="AE214" s="706"/>
      <c r="AF214" s="706"/>
      <c r="AG214" s="706"/>
      <c r="AH214" s="706"/>
      <c r="AI214" s="706"/>
      <c r="AJ214" s="773"/>
      <c r="AK214" s="706"/>
      <c r="AL214" s="773"/>
      <c r="AM214" s="773"/>
      <c r="AN214" s="709"/>
      <c r="AO214" s="769"/>
      <c r="AP214" s="769"/>
      <c r="AQ214" s="773"/>
      <c r="AR214" s="773"/>
      <c r="AS214" s="773"/>
      <c r="AT214"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14" s="711">
        <f>WWWW[[#This Row],[%Equitable and continuous access to sufficient quantity of safe drinking water]]*WWWW[[#This Row],[Total PoP ]]</f>
        <v>0</v>
      </c>
      <c r="AV214"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14" s="711">
        <f>WWWW[[#This Row],[% Access to unimproved water points]]*WWWW[[#This Row],[Total PoP ]]</f>
        <v>0</v>
      </c>
      <c r="AX214"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14"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14" s="711">
        <f>WWWW[[#This Row],[HRP1]]/250</f>
        <v>0</v>
      </c>
      <c r="BA214" s="713">
        <f>1-WWWW[[#This Row],[% Equitable and continuous access to sufficient quantity of domestic water]]</f>
        <v>1</v>
      </c>
      <c r="BB214" s="711">
        <f>WWWW[[#This Row],[%equitable and continuous access to sufficient quantity of safe drinking and domestic water''s GAP]]*WWWW[[#This Row],[Total PoP ]]</f>
        <v>183</v>
      </c>
      <c r="BC214" s="714">
        <f>IF(WWWW[[#This Row],[Total required water points]]-WWWW[[#This Row],['#Water points coverage]]&lt;0,0,WWWW[[#This Row],[Total required water points]]-WWWW[[#This Row],['#Water points coverage]])</f>
        <v>1</v>
      </c>
      <c r="BD214" s="714">
        <f>ROUND(IF(WWWW[[#This Row],[Total PoP ]]&lt;250,1,WWWW[[#This Row],[Total PoP ]]/250),0)</f>
        <v>1</v>
      </c>
      <c r="BE21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14" s="711">
        <f>WWWW[[#This Row],[% people access to functioning Latrine]]*WWWW[[#This Row],[Total PoP ]]</f>
        <v>0</v>
      </c>
      <c r="BG214" s="714">
        <f>WWWW[[#This Row],['#_of_Functioning_latrines_in_school]]*50</f>
        <v>0</v>
      </c>
      <c r="BH214" s="714">
        <f>ROUND((WWWW[[#This Row],[Total PoP ]]/6),0)</f>
        <v>31</v>
      </c>
      <c r="BI214" s="714">
        <f>IF(WWWW[[#This Row],[Total required Latrines]]-(WWWW[[#This Row],['#_of_sanitary_fly-proof_HH_latrines]])&lt;0,0,WWWW[[#This Row],[Total required Latrines]]-(WWWW[[#This Row],['#_of_sanitary_fly-proof_HH_latrines]]))</f>
        <v>31</v>
      </c>
      <c r="BJ214" s="710">
        <f>1-WWWW[[#This Row],[% people access to functioning Latrine]]</f>
        <v>1</v>
      </c>
      <c r="BK214"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14" s="772">
        <f>IF(WWWW[[#This Row],['#_of_functional_handwashing_facilities_at_HH_level]]*6&gt;WWWW[[#This Row],[Total PoP ]],WWWW[[#This Row],[Total PoP ]],WWWW[[#This Row],['#_of_functional_handwashing_facilities_at_HH_level]]*6)</f>
        <v>0</v>
      </c>
      <c r="BM214" s="714">
        <f>IF(WWWW[[#This Row],['# people reached by regular dedicated hygiene promotion]]&gt;WWWW[[#This Row],['# People received regular supply of hygiene items]],WWWW[[#This Row],['# people reached by regular dedicated hygiene promotion]],WWWW[[#This Row],['# People received regular supply of hygiene items]])</f>
        <v>0</v>
      </c>
      <c r="BN214" s="713">
        <f>IF(WWWW[[#This Row],[HRP3]]/WWWW[[#This Row],[Total PoP ]]&gt;100%,100%,WWWW[[#This Row],[HRP3]]/WWWW[[#This Row],[Total PoP ]])</f>
        <v>0</v>
      </c>
      <c r="BO214" s="710">
        <f>1-WWWW[[#This Row],[Hygiene Coverage%]]</f>
        <v>1</v>
      </c>
      <c r="BP214" s="712">
        <f>WWWW[[#This Row],['# people reached by regular dedicated hygiene promotion]]/WWWW[[#This Row],[Total PoP ]]</f>
        <v>0</v>
      </c>
      <c r="BQ21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14" s="770">
        <f>WWWW[[#This Row],['#_of_affected_women_and_girls_receiving_a_sufficient_quantity_of_sanitary_pads]]</f>
        <v>0</v>
      </c>
      <c r="BS214" s="773">
        <f>IF(WWWW[[#This Row],['# People with access to soap]]&gt;WWWW[[#This Row],['# People with access to Sanity Pads]],WWWW[[#This Row],['# People with access to soap]],WWWW[[#This Row],['# People with access to Sanity Pads]])</f>
        <v>0</v>
      </c>
      <c r="BT214" s="772" t="str">
        <f>IF(OR(WWWW[[#This Row],['#of students in school]]="",WWWW[[#This Row],['#of students in school]]=0),"No","Yes")</f>
        <v>No</v>
      </c>
      <c r="BU214" s="705" t="str">
        <f>VLOOKUP(WWWW[[#This Row],[Village  Name]],SiteDB6[[Site Name]:[Location Type 1]],9,FALSE)</f>
        <v>Village</v>
      </c>
      <c r="BV214" s="705" t="str">
        <f>VLOOKUP(WWWW[[#This Row],[Village  Name]],SiteDB6[[Site Name]:[Type of Accommodation]],10,FALSE)</f>
        <v>Village</v>
      </c>
      <c r="BW214" s="705">
        <f>VLOOKUP(WWWW[[#This Row],[Village  Name]],SiteDB6[[Site Name]:[Ethnic or GCA/NGCA]],11,FALSE)</f>
        <v>0</v>
      </c>
      <c r="BX214" s="705">
        <f>VLOOKUP(WWWW[[#This Row],[Village  Name]],SiteDB6[[Site Name]:[Lat]],12,FALSE)</f>
        <v>0</v>
      </c>
      <c r="BY214" s="705">
        <f>VLOOKUP(WWWW[[#This Row],[Village  Name]],SiteDB6[[Site Name]:[Long]],13,FALSE)</f>
        <v>0</v>
      </c>
      <c r="BZ214" s="705">
        <f>VLOOKUP(WWWW[[#This Row],[Village  Name]],SiteDB6[[Site Name]:[Pcode]],3,FALSE)</f>
        <v>0</v>
      </c>
      <c r="CA214" s="705" t="str">
        <f t="shared" si="12"/>
        <v>Covered</v>
      </c>
      <c r="CB214" s="715"/>
      <c r="CC214" s="765"/>
      <c r="CD214" s="766"/>
      <c r="CE214" s="766"/>
      <c r="CF214" s="763"/>
      <c r="CG214" s="766"/>
      <c r="CH214" s="767"/>
      <c r="CI214" s="767"/>
      <c r="CJ214" s="768"/>
      <c r="CK214" s="768"/>
      <c r="CL214" s="768"/>
      <c r="CM214" s="768"/>
      <c r="CN214" s="768"/>
      <c r="CO214" s="768"/>
      <c r="CP214" s="768"/>
      <c r="CQ214" s="768"/>
      <c r="CR214" s="768"/>
    </row>
    <row r="215" spans="1:96" s="764" customFormat="1">
      <c r="A215" s="774" t="s">
        <v>3199</v>
      </c>
      <c r="B215" s="703" t="s">
        <v>3232</v>
      </c>
      <c r="C215" s="704" t="s">
        <v>3232</v>
      </c>
      <c r="D215" s="704" t="s">
        <v>339</v>
      </c>
      <c r="E215" s="704" t="s">
        <v>36</v>
      </c>
      <c r="F215" s="704" t="s">
        <v>771</v>
      </c>
      <c r="G215" s="705" t="str">
        <f>VLOOKUP(WWWW[[#This Row],[Village  Name]],SiteDB6[[Site Name]:[Location Type]],8,FALSE)</f>
        <v>Village</v>
      </c>
      <c r="H215" s="704" t="s">
        <v>3246</v>
      </c>
      <c r="I215" s="706">
        <v>34</v>
      </c>
      <c r="J215" s="706">
        <v>239</v>
      </c>
      <c r="K215" s="707">
        <v>43831</v>
      </c>
      <c r="L215" s="708">
        <v>44926</v>
      </c>
      <c r="M215" s="706"/>
      <c r="N215" s="706"/>
      <c r="O215" s="773"/>
      <c r="P215" s="706"/>
      <c r="Q215" s="706"/>
      <c r="R215" s="706"/>
      <c r="S215" s="706"/>
      <c r="T215" s="706"/>
      <c r="U215" s="709"/>
      <c r="V215" s="706"/>
      <c r="W215" s="706"/>
      <c r="X215" s="706"/>
      <c r="Y215" s="706">
        <v>8</v>
      </c>
      <c r="Z215" s="706"/>
      <c r="AA215" s="706"/>
      <c r="AB215" s="706"/>
      <c r="AC215" s="709"/>
      <c r="AD215" s="706"/>
      <c r="AE215" s="706"/>
      <c r="AF215" s="706"/>
      <c r="AG215" s="706"/>
      <c r="AH215" s="706"/>
      <c r="AI215" s="706"/>
      <c r="AJ215" s="773"/>
      <c r="AK215" s="706"/>
      <c r="AL215" s="773"/>
      <c r="AM215" s="773"/>
      <c r="AN215" s="709"/>
      <c r="AO215" s="769"/>
      <c r="AP215" s="769"/>
      <c r="AQ215" s="773"/>
      <c r="AR215" s="773"/>
      <c r="AS215" s="773"/>
      <c r="AT215"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15" s="711">
        <f>WWWW[[#This Row],[%Equitable and continuous access to sufficient quantity of safe drinking water]]*WWWW[[#This Row],[Total PoP ]]</f>
        <v>0</v>
      </c>
      <c r="AV215"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15" s="711">
        <f>WWWW[[#This Row],[% Access to unimproved water points]]*WWWW[[#This Row],[Total PoP ]]</f>
        <v>0</v>
      </c>
      <c r="AX215"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15"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15" s="711">
        <f>WWWW[[#This Row],[HRP1]]/250</f>
        <v>0</v>
      </c>
      <c r="BA215" s="713">
        <f>1-WWWW[[#This Row],[% Equitable and continuous access to sufficient quantity of domestic water]]</f>
        <v>1</v>
      </c>
      <c r="BB215" s="711">
        <f>WWWW[[#This Row],[%equitable and continuous access to sufficient quantity of safe drinking and domestic water''s GAP]]*WWWW[[#This Row],[Total PoP ]]</f>
        <v>239</v>
      </c>
      <c r="BC215" s="714">
        <f>IF(WWWW[[#This Row],[Total required water points]]-WWWW[[#This Row],['#Water points coverage]]&lt;0,0,WWWW[[#This Row],[Total required water points]]-WWWW[[#This Row],['#Water points coverage]])</f>
        <v>1</v>
      </c>
      <c r="BD215" s="714">
        <f>ROUND(IF(WWWW[[#This Row],[Total PoP ]]&lt;250,1,WWWW[[#This Row],[Total PoP ]]/250),0)</f>
        <v>1</v>
      </c>
      <c r="BE21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15" s="711">
        <f>WWWW[[#This Row],[% people access to functioning Latrine]]*WWWW[[#This Row],[Total PoP ]]</f>
        <v>0</v>
      </c>
      <c r="BG215" s="714">
        <f>WWWW[[#This Row],['#_of_Functioning_latrines_in_school]]*50</f>
        <v>0</v>
      </c>
      <c r="BH215" s="714">
        <f>ROUND((WWWW[[#This Row],[Total PoP ]]/6),0)</f>
        <v>40</v>
      </c>
      <c r="BI215" s="714">
        <f>IF(WWWW[[#This Row],[Total required Latrines]]-(WWWW[[#This Row],['#_of_sanitary_fly-proof_HH_latrines]])&lt;0,0,WWWW[[#This Row],[Total required Latrines]]-(WWWW[[#This Row],['#_of_sanitary_fly-proof_HH_latrines]]))</f>
        <v>40</v>
      </c>
      <c r="BJ215" s="710">
        <f>1-WWWW[[#This Row],[% people access to functioning Latrine]]</f>
        <v>1</v>
      </c>
      <c r="BK215"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15" s="772">
        <f>IF(WWWW[[#This Row],['#_of_functional_handwashing_facilities_at_HH_level]]*6&gt;WWWW[[#This Row],[Total PoP ]],WWWW[[#This Row],[Total PoP ]],WWWW[[#This Row],['#_of_functional_handwashing_facilities_at_HH_level]]*6)</f>
        <v>0</v>
      </c>
      <c r="BM215" s="714">
        <f>IF(WWWW[[#This Row],['# people reached by regular dedicated hygiene promotion]]&gt;WWWW[[#This Row],['# People received regular supply of hygiene items]],WWWW[[#This Row],['# people reached by regular dedicated hygiene promotion]],WWWW[[#This Row],['# People received regular supply of hygiene items]])</f>
        <v>0</v>
      </c>
      <c r="BN215" s="713">
        <f>IF(WWWW[[#This Row],[HRP3]]/WWWW[[#This Row],[Total PoP ]]&gt;100%,100%,WWWW[[#This Row],[HRP3]]/WWWW[[#This Row],[Total PoP ]])</f>
        <v>0</v>
      </c>
      <c r="BO215" s="710">
        <f>1-WWWW[[#This Row],[Hygiene Coverage%]]</f>
        <v>1</v>
      </c>
      <c r="BP215" s="712">
        <f>WWWW[[#This Row],['# people reached by regular dedicated hygiene promotion]]/WWWW[[#This Row],[Total PoP ]]</f>
        <v>0</v>
      </c>
      <c r="BQ21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15" s="770">
        <f>WWWW[[#This Row],['#_of_affected_women_and_girls_receiving_a_sufficient_quantity_of_sanitary_pads]]</f>
        <v>0</v>
      </c>
      <c r="BS215" s="773">
        <f>IF(WWWW[[#This Row],['# People with access to soap]]&gt;WWWW[[#This Row],['# People with access to Sanity Pads]],WWWW[[#This Row],['# People with access to soap]],WWWW[[#This Row],['# People with access to Sanity Pads]])</f>
        <v>0</v>
      </c>
      <c r="BT215" s="772" t="str">
        <f>IF(OR(WWWW[[#This Row],['#of students in school]]="",WWWW[[#This Row],['#of students in school]]=0),"No","Yes")</f>
        <v>No</v>
      </c>
      <c r="BU215" s="705" t="str">
        <f>VLOOKUP(WWWW[[#This Row],[Village  Name]],SiteDB6[[Site Name]:[Location Type 1]],9,FALSE)</f>
        <v>Village</v>
      </c>
      <c r="BV215" s="705" t="str">
        <f>VLOOKUP(WWWW[[#This Row],[Village  Name]],SiteDB6[[Site Name]:[Type of Accommodation]],10,FALSE)</f>
        <v>Village</v>
      </c>
      <c r="BW215" s="705">
        <f>VLOOKUP(WWWW[[#This Row],[Village  Name]],SiteDB6[[Site Name]:[Ethnic or GCA/NGCA]],11,FALSE)</f>
        <v>0</v>
      </c>
      <c r="BX215" s="705">
        <f>VLOOKUP(WWWW[[#This Row],[Village  Name]],SiteDB6[[Site Name]:[Lat]],12,FALSE)</f>
        <v>0</v>
      </c>
      <c r="BY215" s="705">
        <f>VLOOKUP(WWWW[[#This Row],[Village  Name]],SiteDB6[[Site Name]:[Long]],13,FALSE)</f>
        <v>0</v>
      </c>
      <c r="BZ215" s="705">
        <f>VLOOKUP(WWWW[[#This Row],[Village  Name]],SiteDB6[[Site Name]:[Pcode]],3,FALSE)</f>
        <v>0</v>
      </c>
      <c r="CA215" s="705" t="str">
        <f t="shared" si="12"/>
        <v>Covered</v>
      </c>
      <c r="CB215" s="715"/>
      <c r="CC215" s="765"/>
      <c r="CD215" s="766"/>
      <c r="CE215" s="766"/>
      <c r="CF215" s="763"/>
      <c r="CG215" s="766"/>
      <c r="CH215" s="767"/>
      <c r="CI215" s="767"/>
      <c r="CJ215" s="768"/>
      <c r="CK215" s="768"/>
      <c r="CL215" s="768"/>
      <c r="CM215" s="768"/>
      <c r="CN215" s="768"/>
      <c r="CO215" s="768"/>
      <c r="CP215" s="768"/>
      <c r="CQ215" s="768"/>
      <c r="CR215" s="768"/>
    </row>
    <row r="216" spans="1:96" s="764" customFormat="1">
      <c r="A216" s="774" t="s">
        <v>3199</v>
      </c>
      <c r="B216" s="703" t="s">
        <v>3232</v>
      </c>
      <c r="C216" s="704" t="s">
        <v>3232</v>
      </c>
      <c r="D216" s="704" t="s">
        <v>339</v>
      </c>
      <c r="E216" s="704" t="s">
        <v>36</v>
      </c>
      <c r="F216" s="704" t="s">
        <v>174</v>
      </c>
      <c r="G216" s="705" t="str">
        <f>VLOOKUP(WWWW[[#This Row],[Village  Name]],SiteDB6[[Site Name]:[Location Type]],8,FALSE)</f>
        <v>Village</v>
      </c>
      <c r="H216" s="704" t="s">
        <v>3247</v>
      </c>
      <c r="I216" s="706">
        <v>15</v>
      </c>
      <c r="J216" s="706">
        <v>78</v>
      </c>
      <c r="K216" s="707">
        <v>43831</v>
      </c>
      <c r="L216" s="708">
        <v>44926</v>
      </c>
      <c r="M216" s="706"/>
      <c r="N216" s="706"/>
      <c r="O216" s="773"/>
      <c r="P216" s="706"/>
      <c r="Q216" s="706"/>
      <c r="R216" s="706"/>
      <c r="S216" s="706"/>
      <c r="T216" s="706"/>
      <c r="U216" s="709"/>
      <c r="V216" s="706"/>
      <c r="W216" s="706"/>
      <c r="X216" s="706"/>
      <c r="Y216" s="706">
        <v>2</v>
      </c>
      <c r="Z216" s="706"/>
      <c r="AA216" s="706"/>
      <c r="AB216" s="706"/>
      <c r="AC216" s="709"/>
      <c r="AD216" s="706"/>
      <c r="AE216" s="706"/>
      <c r="AF216" s="706"/>
      <c r="AG216" s="706"/>
      <c r="AH216" s="706"/>
      <c r="AI216" s="706"/>
      <c r="AJ216" s="773"/>
      <c r="AK216" s="706"/>
      <c r="AL216" s="773"/>
      <c r="AM216" s="773"/>
      <c r="AN216" s="709"/>
      <c r="AO216" s="769"/>
      <c r="AP216" s="769"/>
      <c r="AQ216" s="773"/>
      <c r="AR216" s="773"/>
      <c r="AS216" s="773"/>
      <c r="AT216"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16" s="711">
        <f>WWWW[[#This Row],[%Equitable and continuous access to sufficient quantity of safe drinking water]]*WWWW[[#This Row],[Total PoP ]]</f>
        <v>0</v>
      </c>
      <c r="AV216"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16" s="711">
        <f>WWWW[[#This Row],[% Access to unimproved water points]]*WWWW[[#This Row],[Total PoP ]]</f>
        <v>0</v>
      </c>
      <c r="AX216"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16"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16" s="711">
        <f>WWWW[[#This Row],[HRP1]]/250</f>
        <v>0</v>
      </c>
      <c r="BA216" s="713">
        <f>1-WWWW[[#This Row],[% Equitable and continuous access to sufficient quantity of domestic water]]</f>
        <v>1</v>
      </c>
      <c r="BB216" s="711">
        <f>WWWW[[#This Row],[%equitable and continuous access to sufficient quantity of safe drinking and domestic water''s GAP]]*WWWW[[#This Row],[Total PoP ]]</f>
        <v>78</v>
      </c>
      <c r="BC216" s="714">
        <f>IF(WWWW[[#This Row],[Total required water points]]-WWWW[[#This Row],['#Water points coverage]]&lt;0,0,WWWW[[#This Row],[Total required water points]]-WWWW[[#This Row],['#Water points coverage]])</f>
        <v>1</v>
      </c>
      <c r="BD216" s="714">
        <f>ROUND(IF(WWWW[[#This Row],[Total PoP ]]&lt;250,1,WWWW[[#This Row],[Total PoP ]]/250),0)</f>
        <v>1</v>
      </c>
      <c r="BE21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16" s="711">
        <f>WWWW[[#This Row],[% people access to functioning Latrine]]*WWWW[[#This Row],[Total PoP ]]</f>
        <v>0</v>
      </c>
      <c r="BG216" s="714">
        <f>WWWW[[#This Row],['#_of_Functioning_latrines_in_school]]*50</f>
        <v>0</v>
      </c>
      <c r="BH216" s="714">
        <f>ROUND((WWWW[[#This Row],[Total PoP ]]/6),0)</f>
        <v>13</v>
      </c>
      <c r="BI216" s="714">
        <f>IF(WWWW[[#This Row],[Total required Latrines]]-(WWWW[[#This Row],['#_of_sanitary_fly-proof_HH_latrines]])&lt;0,0,WWWW[[#This Row],[Total required Latrines]]-(WWWW[[#This Row],['#_of_sanitary_fly-proof_HH_latrines]]))</f>
        <v>13</v>
      </c>
      <c r="BJ216" s="710">
        <f>1-WWWW[[#This Row],[% people access to functioning Latrine]]</f>
        <v>1</v>
      </c>
      <c r="BK216"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16" s="772">
        <f>IF(WWWW[[#This Row],['#_of_functional_handwashing_facilities_at_HH_level]]*6&gt;WWWW[[#This Row],[Total PoP ]],WWWW[[#This Row],[Total PoP ]],WWWW[[#This Row],['#_of_functional_handwashing_facilities_at_HH_level]]*6)</f>
        <v>0</v>
      </c>
      <c r="BM216" s="714">
        <f>IF(WWWW[[#This Row],['# people reached by regular dedicated hygiene promotion]]&gt;WWWW[[#This Row],['# People received regular supply of hygiene items]],WWWW[[#This Row],['# people reached by regular dedicated hygiene promotion]],WWWW[[#This Row],['# People received regular supply of hygiene items]])</f>
        <v>0</v>
      </c>
      <c r="BN216" s="713">
        <f>IF(WWWW[[#This Row],[HRP3]]/WWWW[[#This Row],[Total PoP ]]&gt;100%,100%,WWWW[[#This Row],[HRP3]]/WWWW[[#This Row],[Total PoP ]])</f>
        <v>0</v>
      </c>
      <c r="BO216" s="710">
        <f>1-WWWW[[#This Row],[Hygiene Coverage%]]</f>
        <v>1</v>
      </c>
      <c r="BP216" s="712">
        <f>WWWW[[#This Row],['# people reached by regular dedicated hygiene promotion]]/WWWW[[#This Row],[Total PoP ]]</f>
        <v>0</v>
      </c>
      <c r="BQ21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16" s="770">
        <f>WWWW[[#This Row],['#_of_affected_women_and_girls_receiving_a_sufficient_quantity_of_sanitary_pads]]</f>
        <v>0</v>
      </c>
      <c r="BS216" s="773">
        <f>IF(WWWW[[#This Row],['# People with access to soap]]&gt;WWWW[[#This Row],['# People with access to Sanity Pads]],WWWW[[#This Row],['# People with access to soap]],WWWW[[#This Row],['# People with access to Sanity Pads]])</f>
        <v>0</v>
      </c>
      <c r="BT216" s="772" t="str">
        <f>IF(OR(WWWW[[#This Row],['#of students in school]]="",WWWW[[#This Row],['#of students in school]]=0),"No","Yes")</f>
        <v>No</v>
      </c>
      <c r="BU216" s="705" t="str">
        <f>VLOOKUP(WWWW[[#This Row],[Village  Name]],SiteDB6[[Site Name]:[Location Type 1]],9,FALSE)</f>
        <v>Village</v>
      </c>
      <c r="BV216" s="705" t="str">
        <f>VLOOKUP(WWWW[[#This Row],[Village  Name]],SiteDB6[[Site Name]:[Type of Accommodation]],10,FALSE)</f>
        <v>Village</v>
      </c>
      <c r="BW216" s="705">
        <f>VLOOKUP(WWWW[[#This Row],[Village  Name]],SiteDB6[[Site Name]:[Ethnic or GCA/NGCA]],11,FALSE)</f>
        <v>0</v>
      </c>
      <c r="BX216" s="705">
        <f>VLOOKUP(WWWW[[#This Row],[Village  Name]],SiteDB6[[Site Name]:[Lat]],12,FALSE)</f>
        <v>0</v>
      </c>
      <c r="BY216" s="705">
        <f>VLOOKUP(WWWW[[#This Row],[Village  Name]],SiteDB6[[Site Name]:[Long]],13,FALSE)</f>
        <v>0</v>
      </c>
      <c r="BZ216" s="705">
        <f>VLOOKUP(WWWW[[#This Row],[Village  Name]],SiteDB6[[Site Name]:[Pcode]],3,FALSE)</f>
        <v>0</v>
      </c>
      <c r="CA216" s="705" t="str">
        <f>IF(C216="none","Notcovered","Covered")</f>
        <v>Covered</v>
      </c>
      <c r="CB216" s="715"/>
      <c r="CC216" s="765"/>
      <c r="CD216" s="766"/>
      <c r="CE216" s="766"/>
      <c r="CF216" s="763"/>
      <c r="CG216" s="766"/>
      <c r="CH216" s="767"/>
      <c r="CI216" s="767"/>
      <c r="CJ216" s="768"/>
      <c r="CK216" s="768"/>
      <c r="CL216" s="768"/>
      <c r="CM216" s="768"/>
      <c r="CN216" s="768"/>
      <c r="CO216" s="768"/>
      <c r="CP216" s="768"/>
      <c r="CQ216" s="768"/>
      <c r="CR216" s="768"/>
    </row>
    <row r="217" spans="1:96" s="764" customFormat="1">
      <c r="A217" s="774" t="s">
        <v>3199</v>
      </c>
      <c r="B217" s="703" t="s">
        <v>3232</v>
      </c>
      <c r="C217" s="704" t="s">
        <v>3232</v>
      </c>
      <c r="D217" s="704" t="s">
        <v>339</v>
      </c>
      <c r="E217" s="704" t="s">
        <v>36</v>
      </c>
      <c r="F217" s="704" t="s">
        <v>174</v>
      </c>
      <c r="G217" s="705" t="str">
        <f>VLOOKUP(WWWW[[#This Row],[Village  Name]],SiteDB6[[Site Name]:[Location Type]],8,FALSE)</f>
        <v>Village</v>
      </c>
      <c r="H217" s="704" t="s">
        <v>3248</v>
      </c>
      <c r="I217" s="706">
        <v>16</v>
      </c>
      <c r="J217" s="706">
        <v>95</v>
      </c>
      <c r="K217" s="707">
        <v>43831</v>
      </c>
      <c r="L217" s="708">
        <v>44926</v>
      </c>
      <c r="M217" s="706"/>
      <c r="N217" s="706"/>
      <c r="O217" s="773"/>
      <c r="P217" s="706"/>
      <c r="Q217" s="706"/>
      <c r="R217" s="706"/>
      <c r="S217" s="706"/>
      <c r="T217" s="706"/>
      <c r="U217" s="709"/>
      <c r="V217" s="706"/>
      <c r="W217" s="706"/>
      <c r="X217" s="706"/>
      <c r="Y217" s="706">
        <v>3</v>
      </c>
      <c r="Z217" s="706"/>
      <c r="AA217" s="706"/>
      <c r="AB217" s="706"/>
      <c r="AC217" s="709"/>
      <c r="AD217" s="706"/>
      <c r="AE217" s="706"/>
      <c r="AF217" s="706"/>
      <c r="AG217" s="706"/>
      <c r="AH217" s="706"/>
      <c r="AI217" s="706"/>
      <c r="AJ217" s="773"/>
      <c r="AK217" s="706"/>
      <c r="AL217" s="773"/>
      <c r="AM217" s="773"/>
      <c r="AN217" s="709"/>
      <c r="AO217" s="769"/>
      <c r="AP217" s="769"/>
      <c r="AQ217" s="773"/>
      <c r="AR217" s="773"/>
      <c r="AS217" s="773"/>
      <c r="AT217"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17" s="711">
        <f>WWWW[[#This Row],[%Equitable and continuous access to sufficient quantity of safe drinking water]]*WWWW[[#This Row],[Total PoP ]]</f>
        <v>0</v>
      </c>
      <c r="AV217"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17" s="711">
        <f>WWWW[[#This Row],[% Access to unimproved water points]]*WWWW[[#This Row],[Total PoP ]]</f>
        <v>0</v>
      </c>
      <c r="AX217"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17"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17" s="711">
        <f>WWWW[[#This Row],[HRP1]]/250</f>
        <v>0</v>
      </c>
      <c r="BA217" s="713">
        <f>1-WWWW[[#This Row],[% Equitable and continuous access to sufficient quantity of domestic water]]</f>
        <v>1</v>
      </c>
      <c r="BB217" s="711">
        <f>WWWW[[#This Row],[%equitable and continuous access to sufficient quantity of safe drinking and domestic water''s GAP]]*WWWW[[#This Row],[Total PoP ]]</f>
        <v>95</v>
      </c>
      <c r="BC217" s="714">
        <f>IF(WWWW[[#This Row],[Total required water points]]-WWWW[[#This Row],['#Water points coverage]]&lt;0,0,WWWW[[#This Row],[Total required water points]]-WWWW[[#This Row],['#Water points coverage]])</f>
        <v>1</v>
      </c>
      <c r="BD217" s="714">
        <f>ROUND(IF(WWWW[[#This Row],[Total PoP ]]&lt;250,1,WWWW[[#This Row],[Total PoP ]]/250),0)</f>
        <v>1</v>
      </c>
      <c r="BE21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17" s="711">
        <f>WWWW[[#This Row],[% people access to functioning Latrine]]*WWWW[[#This Row],[Total PoP ]]</f>
        <v>0</v>
      </c>
      <c r="BG217" s="714">
        <f>WWWW[[#This Row],['#_of_Functioning_latrines_in_school]]*50</f>
        <v>0</v>
      </c>
      <c r="BH217" s="714">
        <f>ROUND((WWWW[[#This Row],[Total PoP ]]/6),0)</f>
        <v>16</v>
      </c>
      <c r="BI217" s="714">
        <f>IF(WWWW[[#This Row],[Total required Latrines]]-(WWWW[[#This Row],['#_of_sanitary_fly-proof_HH_latrines]])&lt;0,0,WWWW[[#This Row],[Total required Latrines]]-(WWWW[[#This Row],['#_of_sanitary_fly-proof_HH_latrines]]))</f>
        <v>16</v>
      </c>
      <c r="BJ217" s="710">
        <f>1-WWWW[[#This Row],[% people access to functioning Latrine]]</f>
        <v>1</v>
      </c>
      <c r="BK217"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17" s="772">
        <f>IF(WWWW[[#This Row],['#_of_functional_handwashing_facilities_at_HH_level]]*6&gt;WWWW[[#This Row],[Total PoP ]],WWWW[[#This Row],[Total PoP ]],WWWW[[#This Row],['#_of_functional_handwashing_facilities_at_HH_level]]*6)</f>
        <v>0</v>
      </c>
      <c r="BM217" s="714">
        <f>IF(WWWW[[#This Row],['# people reached by regular dedicated hygiene promotion]]&gt;WWWW[[#This Row],['# People received regular supply of hygiene items]],WWWW[[#This Row],['# people reached by regular dedicated hygiene promotion]],WWWW[[#This Row],['# People received regular supply of hygiene items]])</f>
        <v>0</v>
      </c>
      <c r="BN217" s="713">
        <f>IF(WWWW[[#This Row],[HRP3]]/WWWW[[#This Row],[Total PoP ]]&gt;100%,100%,WWWW[[#This Row],[HRP3]]/WWWW[[#This Row],[Total PoP ]])</f>
        <v>0</v>
      </c>
      <c r="BO217" s="710">
        <f>1-WWWW[[#This Row],[Hygiene Coverage%]]</f>
        <v>1</v>
      </c>
      <c r="BP217" s="712">
        <f>WWWW[[#This Row],['# people reached by regular dedicated hygiene promotion]]/WWWW[[#This Row],[Total PoP ]]</f>
        <v>0</v>
      </c>
      <c r="BQ21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17" s="770">
        <f>WWWW[[#This Row],['#_of_affected_women_and_girls_receiving_a_sufficient_quantity_of_sanitary_pads]]</f>
        <v>0</v>
      </c>
      <c r="BS217" s="773">
        <f>IF(WWWW[[#This Row],['# People with access to soap]]&gt;WWWW[[#This Row],['# People with access to Sanity Pads]],WWWW[[#This Row],['# People with access to soap]],WWWW[[#This Row],['# People with access to Sanity Pads]])</f>
        <v>0</v>
      </c>
      <c r="BT217" s="772" t="str">
        <f>IF(OR(WWWW[[#This Row],['#of students in school]]="",WWWW[[#This Row],['#of students in school]]=0),"No","Yes")</f>
        <v>No</v>
      </c>
      <c r="BU217" s="705" t="str">
        <f>VLOOKUP(WWWW[[#This Row],[Village  Name]],SiteDB6[[Site Name]:[Location Type 1]],9,FALSE)</f>
        <v>Village</v>
      </c>
      <c r="BV217" s="705" t="str">
        <f>VLOOKUP(WWWW[[#This Row],[Village  Name]],SiteDB6[[Site Name]:[Type of Accommodation]],10,FALSE)</f>
        <v>Village</v>
      </c>
      <c r="BW217" s="705">
        <f>VLOOKUP(WWWW[[#This Row],[Village  Name]],SiteDB6[[Site Name]:[Ethnic or GCA/NGCA]],11,FALSE)</f>
        <v>0</v>
      </c>
      <c r="BX217" s="705">
        <f>VLOOKUP(WWWW[[#This Row],[Village  Name]],SiteDB6[[Site Name]:[Lat]],12,FALSE)</f>
        <v>0</v>
      </c>
      <c r="BY217" s="705">
        <f>VLOOKUP(WWWW[[#This Row],[Village  Name]],SiteDB6[[Site Name]:[Long]],13,FALSE)</f>
        <v>0</v>
      </c>
      <c r="BZ217" s="705">
        <f>VLOOKUP(WWWW[[#This Row],[Village  Name]],SiteDB6[[Site Name]:[Pcode]],3,FALSE)</f>
        <v>0</v>
      </c>
      <c r="CA217" s="705" t="str">
        <f t="shared" ref="CA217:CA229" si="13">IF(C217="none","Notcovered","Covered")</f>
        <v>Covered</v>
      </c>
      <c r="CB217" s="715"/>
      <c r="CC217" s="765"/>
      <c r="CD217" s="766"/>
      <c r="CE217" s="766"/>
      <c r="CF217" s="763"/>
      <c r="CG217" s="766"/>
      <c r="CH217" s="767"/>
      <c r="CI217" s="767"/>
      <c r="CJ217" s="768"/>
      <c r="CK217" s="768"/>
      <c r="CL217" s="768"/>
      <c r="CM217" s="768"/>
      <c r="CN217" s="768"/>
      <c r="CO217" s="768"/>
      <c r="CP217" s="768"/>
      <c r="CQ217" s="768"/>
      <c r="CR217" s="768"/>
    </row>
    <row r="218" spans="1:96" s="764" customFormat="1">
      <c r="A218" s="774" t="s">
        <v>3199</v>
      </c>
      <c r="B218" s="703" t="s">
        <v>3232</v>
      </c>
      <c r="C218" s="704" t="s">
        <v>3232</v>
      </c>
      <c r="D218" s="704" t="s">
        <v>339</v>
      </c>
      <c r="E218" s="704" t="s">
        <v>36</v>
      </c>
      <c r="F218" s="704" t="s">
        <v>174</v>
      </c>
      <c r="G218" s="705" t="str">
        <f>VLOOKUP(WWWW[[#This Row],[Village  Name]],SiteDB6[[Site Name]:[Location Type]],8,FALSE)</f>
        <v>Village</v>
      </c>
      <c r="H218" s="704" t="s">
        <v>3249</v>
      </c>
      <c r="I218" s="706">
        <v>32</v>
      </c>
      <c r="J218" s="706">
        <v>189</v>
      </c>
      <c r="K218" s="707">
        <v>43831</v>
      </c>
      <c r="L218" s="708">
        <v>44926</v>
      </c>
      <c r="M218" s="706"/>
      <c r="N218" s="706"/>
      <c r="O218" s="773"/>
      <c r="P218" s="706"/>
      <c r="Q218" s="706"/>
      <c r="R218" s="706"/>
      <c r="S218" s="706"/>
      <c r="T218" s="706"/>
      <c r="U218" s="709"/>
      <c r="V218" s="706"/>
      <c r="W218" s="706"/>
      <c r="X218" s="706"/>
      <c r="Y218" s="706">
        <v>2</v>
      </c>
      <c r="Z218" s="706"/>
      <c r="AA218" s="706"/>
      <c r="AB218" s="706"/>
      <c r="AC218" s="709"/>
      <c r="AD218" s="706"/>
      <c r="AE218" s="706"/>
      <c r="AF218" s="706"/>
      <c r="AG218" s="706"/>
      <c r="AH218" s="706"/>
      <c r="AI218" s="706"/>
      <c r="AJ218" s="773"/>
      <c r="AK218" s="706"/>
      <c r="AL218" s="773"/>
      <c r="AM218" s="773"/>
      <c r="AN218" s="709"/>
      <c r="AO218" s="769"/>
      <c r="AP218" s="769"/>
      <c r="AQ218" s="773"/>
      <c r="AR218" s="773"/>
      <c r="AS218" s="773"/>
      <c r="AT218"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18" s="711">
        <f>WWWW[[#This Row],[%Equitable and continuous access to sufficient quantity of safe drinking water]]*WWWW[[#This Row],[Total PoP ]]</f>
        <v>0</v>
      </c>
      <c r="AV218"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18" s="711">
        <f>WWWW[[#This Row],[% Access to unimproved water points]]*WWWW[[#This Row],[Total PoP ]]</f>
        <v>0</v>
      </c>
      <c r="AX218"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18"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18" s="711">
        <f>WWWW[[#This Row],[HRP1]]/250</f>
        <v>0</v>
      </c>
      <c r="BA218" s="713">
        <f>1-WWWW[[#This Row],[% Equitable and continuous access to sufficient quantity of domestic water]]</f>
        <v>1</v>
      </c>
      <c r="BB218" s="711">
        <f>WWWW[[#This Row],[%equitable and continuous access to sufficient quantity of safe drinking and domestic water''s GAP]]*WWWW[[#This Row],[Total PoP ]]</f>
        <v>189</v>
      </c>
      <c r="BC218" s="714">
        <f>IF(WWWW[[#This Row],[Total required water points]]-WWWW[[#This Row],['#Water points coverage]]&lt;0,0,WWWW[[#This Row],[Total required water points]]-WWWW[[#This Row],['#Water points coverage]])</f>
        <v>1</v>
      </c>
      <c r="BD218" s="714">
        <f>ROUND(IF(WWWW[[#This Row],[Total PoP ]]&lt;250,1,WWWW[[#This Row],[Total PoP ]]/250),0)</f>
        <v>1</v>
      </c>
      <c r="BE21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18" s="711">
        <f>WWWW[[#This Row],[% people access to functioning Latrine]]*WWWW[[#This Row],[Total PoP ]]</f>
        <v>0</v>
      </c>
      <c r="BG218" s="714">
        <f>WWWW[[#This Row],['#_of_Functioning_latrines_in_school]]*50</f>
        <v>0</v>
      </c>
      <c r="BH218" s="714">
        <f>ROUND((WWWW[[#This Row],[Total PoP ]]/6),0)</f>
        <v>32</v>
      </c>
      <c r="BI218" s="714">
        <f>IF(WWWW[[#This Row],[Total required Latrines]]-(WWWW[[#This Row],['#_of_sanitary_fly-proof_HH_latrines]])&lt;0,0,WWWW[[#This Row],[Total required Latrines]]-(WWWW[[#This Row],['#_of_sanitary_fly-proof_HH_latrines]]))</f>
        <v>32</v>
      </c>
      <c r="BJ218" s="710">
        <f>1-WWWW[[#This Row],[% people access to functioning Latrine]]</f>
        <v>1</v>
      </c>
      <c r="BK218"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18" s="772">
        <f>IF(WWWW[[#This Row],['#_of_functional_handwashing_facilities_at_HH_level]]*6&gt;WWWW[[#This Row],[Total PoP ]],WWWW[[#This Row],[Total PoP ]],WWWW[[#This Row],['#_of_functional_handwashing_facilities_at_HH_level]]*6)</f>
        <v>0</v>
      </c>
      <c r="BM218" s="714">
        <f>IF(WWWW[[#This Row],['# people reached by regular dedicated hygiene promotion]]&gt;WWWW[[#This Row],['# People received regular supply of hygiene items]],WWWW[[#This Row],['# people reached by regular dedicated hygiene promotion]],WWWW[[#This Row],['# People received regular supply of hygiene items]])</f>
        <v>0</v>
      </c>
      <c r="BN218" s="713">
        <f>IF(WWWW[[#This Row],[HRP3]]/WWWW[[#This Row],[Total PoP ]]&gt;100%,100%,WWWW[[#This Row],[HRP3]]/WWWW[[#This Row],[Total PoP ]])</f>
        <v>0</v>
      </c>
      <c r="BO218" s="710">
        <f>1-WWWW[[#This Row],[Hygiene Coverage%]]</f>
        <v>1</v>
      </c>
      <c r="BP218" s="712">
        <f>WWWW[[#This Row],['# people reached by regular dedicated hygiene promotion]]/WWWW[[#This Row],[Total PoP ]]</f>
        <v>0</v>
      </c>
      <c r="BQ21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18" s="770">
        <f>WWWW[[#This Row],['#_of_affected_women_and_girls_receiving_a_sufficient_quantity_of_sanitary_pads]]</f>
        <v>0</v>
      </c>
      <c r="BS218" s="773">
        <f>IF(WWWW[[#This Row],['# People with access to soap]]&gt;WWWW[[#This Row],['# People with access to Sanity Pads]],WWWW[[#This Row],['# People with access to soap]],WWWW[[#This Row],['# People with access to Sanity Pads]])</f>
        <v>0</v>
      </c>
      <c r="BT218" s="772" t="str">
        <f>IF(OR(WWWW[[#This Row],['#of students in school]]="",WWWW[[#This Row],['#of students in school]]=0),"No","Yes")</f>
        <v>No</v>
      </c>
      <c r="BU218" s="705" t="str">
        <f>VLOOKUP(WWWW[[#This Row],[Village  Name]],SiteDB6[[Site Name]:[Location Type 1]],9,FALSE)</f>
        <v>Village</v>
      </c>
      <c r="BV218" s="705" t="str">
        <f>VLOOKUP(WWWW[[#This Row],[Village  Name]],SiteDB6[[Site Name]:[Type of Accommodation]],10,FALSE)</f>
        <v>Village</v>
      </c>
      <c r="BW218" s="705">
        <f>VLOOKUP(WWWW[[#This Row],[Village  Name]],SiteDB6[[Site Name]:[Ethnic or GCA/NGCA]],11,FALSE)</f>
        <v>0</v>
      </c>
      <c r="BX218" s="705">
        <f>VLOOKUP(WWWW[[#This Row],[Village  Name]],SiteDB6[[Site Name]:[Lat]],12,FALSE)</f>
        <v>0</v>
      </c>
      <c r="BY218" s="705">
        <f>VLOOKUP(WWWW[[#This Row],[Village  Name]],SiteDB6[[Site Name]:[Long]],13,FALSE)</f>
        <v>0</v>
      </c>
      <c r="BZ218" s="705">
        <f>VLOOKUP(WWWW[[#This Row],[Village  Name]],SiteDB6[[Site Name]:[Pcode]],3,FALSE)</f>
        <v>0</v>
      </c>
      <c r="CA218" s="705" t="str">
        <f t="shared" si="13"/>
        <v>Covered</v>
      </c>
      <c r="CB218" s="715"/>
      <c r="CC218" s="765"/>
      <c r="CD218" s="766"/>
      <c r="CE218" s="766"/>
      <c r="CF218" s="763"/>
      <c r="CG218" s="766"/>
      <c r="CH218" s="767"/>
      <c r="CI218" s="767"/>
      <c r="CJ218" s="768"/>
      <c r="CK218" s="768"/>
      <c r="CL218" s="768"/>
      <c r="CM218" s="768"/>
      <c r="CN218" s="768"/>
      <c r="CO218" s="768"/>
      <c r="CP218" s="768"/>
      <c r="CQ218" s="768"/>
      <c r="CR218" s="768"/>
    </row>
    <row r="219" spans="1:96" s="764" customFormat="1">
      <c r="A219" s="774" t="s">
        <v>3199</v>
      </c>
      <c r="B219" s="703" t="s">
        <v>3232</v>
      </c>
      <c r="C219" s="704" t="s">
        <v>3232</v>
      </c>
      <c r="D219" s="704" t="s">
        <v>339</v>
      </c>
      <c r="E219" s="704" t="s">
        <v>36</v>
      </c>
      <c r="F219" s="704" t="s">
        <v>174</v>
      </c>
      <c r="G219" s="705" t="str">
        <f>VLOOKUP(WWWW[[#This Row],[Village  Name]],SiteDB6[[Site Name]:[Location Type]],8,FALSE)</f>
        <v>Village</v>
      </c>
      <c r="H219" s="704" t="s">
        <v>3250</v>
      </c>
      <c r="I219" s="706">
        <v>54</v>
      </c>
      <c r="J219" s="706">
        <v>361</v>
      </c>
      <c r="K219" s="707">
        <v>43831</v>
      </c>
      <c r="L219" s="708">
        <v>44926</v>
      </c>
      <c r="M219" s="706"/>
      <c r="N219" s="706"/>
      <c r="O219" s="773"/>
      <c r="P219" s="706"/>
      <c r="Q219" s="706"/>
      <c r="R219" s="706"/>
      <c r="S219" s="706"/>
      <c r="T219" s="706"/>
      <c r="U219" s="709"/>
      <c r="V219" s="706"/>
      <c r="W219" s="706"/>
      <c r="X219" s="706"/>
      <c r="Y219" s="706">
        <v>5</v>
      </c>
      <c r="Z219" s="706"/>
      <c r="AA219" s="706"/>
      <c r="AB219" s="706"/>
      <c r="AC219" s="709"/>
      <c r="AD219" s="706"/>
      <c r="AE219" s="706"/>
      <c r="AF219" s="706"/>
      <c r="AG219" s="706"/>
      <c r="AH219" s="706"/>
      <c r="AI219" s="706"/>
      <c r="AJ219" s="773"/>
      <c r="AK219" s="706"/>
      <c r="AL219" s="773"/>
      <c r="AM219" s="773"/>
      <c r="AN219" s="709"/>
      <c r="AO219" s="769"/>
      <c r="AP219" s="769"/>
      <c r="AQ219" s="773"/>
      <c r="AR219" s="773"/>
      <c r="AS219" s="773"/>
      <c r="AT219"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19" s="711">
        <f>WWWW[[#This Row],[%Equitable and continuous access to sufficient quantity of safe drinking water]]*WWWW[[#This Row],[Total PoP ]]</f>
        <v>0</v>
      </c>
      <c r="AV219"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19" s="711">
        <f>WWWW[[#This Row],[% Access to unimproved water points]]*WWWW[[#This Row],[Total PoP ]]</f>
        <v>0</v>
      </c>
      <c r="AX219"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19"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19" s="711">
        <f>WWWW[[#This Row],[HRP1]]/250</f>
        <v>0</v>
      </c>
      <c r="BA219" s="713">
        <f>1-WWWW[[#This Row],[% Equitable and continuous access to sufficient quantity of domestic water]]</f>
        <v>1</v>
      </c>
      <c r="BB219" s="711">
        <f>WWWW[[#This Row],[%equitable and continuous access to sufficient quantity of safe drinking and domestic water''s GAP]]*WWWW[[#This Row],[Total PoP ]]</f>
        <v>361</v>
      </c>
      <c r="BC219" s="714">
        <f>IF(WWWW[[#This Row],[Total required water points]]-WWWW[[#This Row],['#Water points coverage]]&lt;0,0,WWWW[[#This Row],[Total required water points]]-WWWW[[#This Row],['#Water points coverage]])</f>
        <v>1</v>
      </c>
      <c r="BD219" s="714">
        <f>ROUND(IF(WWWW[[#This Row],[Total PoP ]]&lt;250,1,WWWW[[#This Row],[Total PoP ]]/250),0)</f>
        <v>1</v>
      </c>
      <c r="BE21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19" s="711">
        <f>WWWW[[#This Row],[% people access to functioning Latrine]]*WWWW[[#This Row],[Total PoP ]]</f>
        <v>0</v>
      </c>
      <c r="BG219" s="714">
        <f>WWWW[[#This Row],['#_of_Functioning_latrines_in_school]]*50</f>
        <v>0</v>
      </c>
      <c r="BH219" s="714">
        <f>ROUND((WWWW[[#This Row],[Total PoP ]]/6),0)</f>
        <v>60</v>
      </c>
      <c r="BI219" s="714">
        <f>IF(WWWW[[#This Row],[Total required Latrines]]-(WWWW[[#This Row],['#_of_sanitary_fly-proof_HH_latrines]])&lt;0,0,WWWW[[#This Row],[Total required Latrines]]-(WWWW[[#This Row],['#_of_sanitary_fly-proof_HH_latrines]]))</f>
        <v>60</v>
      </c>
      <c r="BJ219" s="710">
        <f>1-WWWW[[#This Row],[% people access to functioning Latrine]]</f>
        <v>1</v>
      </c>
      <c r="BK219"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19" s="772">
        <f>IF(WWWW[[#This Row],['#_of_functional_handwashing_facilities_at_HH_level]]*6&gt;WWWW[[#This Row],[Total PoP ]],WWWW[[#This Row],[Total PoP ]],WWWW[[#This Row],['#_of_functional_handwashing_facilities_at_HH_level]]*6)</f>
        <v>0</v>
      </c>
      <c r="BM219" s="714">
        <f>IF(WWWW[[#This Row],['# people reached by regular dedicated hygiene promotion]]&gt;WWWW[[#This Row],['# People received regular supply of hygiene items]],WWWW[[#This Row],['# people reached by regular dedicated hygiene promotion]],WWWW[[#This Row],['# People received regular supply of hygiene items]])</f>
        <v>0</v>
      </c>
      <c r="BN219" s="713">
        <f>IF(WWWW[[#This Row],[HRP3]]/WWWW[[#This Row],[Total PoP ]]&gt;100%,100%,WWWW[[#This Row],[HRP3]]/WWWW[[#This Row],[Total PoP ]])</f>
        <v>0</v>
      </c>
      <c r="BO219" s="710">
        <f>1-WWWW[[#This Row],[Hygiene Coverage%]]</f>
        <v>1</v>
      </c>
      <c r="BP219" s="712">
        <f>WWWW[[#This Row],['# people reached by regular dedicated hygiene promotion]]/WWWW[[#This Row],[Total PoP ]]</f>
        <v>0</v>
      </c>
      <c r="BQ21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19" s="770">
        <f>WWWW[[#This Row],['#_of_affected_women_and_girls_receiving_a_sufficient_quantity_of_sanitary_pads]]</f>
        <v>0</v>
      </c>
      <c r="BS219" s="773">
        <f>IF(WWWW[[#This Row],['# People with access to soap]]&gt;WWWW[[#This Row],['# People with access to Sanity Pads]],WWWW[[#This Row],['# People with access to soap]],WWWW[[#This Row],['# People with access to Sanity Pads]])</f>
        <v>0</v>
      </c>
      <c r="BT219" s="772" t="str">
        <f>IF(OR(WWWW[[#This Row],['#of students in school]]="",WWWW[[#This Row],['#of students in school]]=0),"No","Yes")</f>
        <v>No</v>
      </c>
      <c r="BU219" s="705" t="str">
        <f>VLOOKUP(WWWW[[#This Row],[Village  Name]],SiteDB6[[Site Name]:[Location Type 1]],9,FALSE)</f>
        <v>Village</v>
      </c>
      <c r="BV219" s="705" t="str">
        <f>VLOOKUP(WWWW[[#This Row],[Village  Name]],SiteDB6[[Site Name]:[Type of Accommodation]],10,FALSE)</f>
        <v>Village</v>
      </c>
      <c r="BW219" s="705">
        <f>VLOOKUP(WWWW[[#This Row],[Village  Name]],SiteDB6[[Site Name]:[Ethnic or GCA/NGCA]],11,FALSE)</f>
        <v>0</v>
      </c>
      <c r="BX219" s="705">
        <f>VLOOKUP(WWWW[[#This Row],[Village  Name]],SiteDB6[[Site Name]:[Lat]],12,FALSE)</f>
        <v>0</v>
      </c>
      <c r="BY219" s="705">
        <f>VLOOKUP(WWWW[[#This Row],[Village  Name]],SiteDB6[[Site Name]:[Long]],13,FALSE)</f>
        <v>0</v>
      </c>
      <c r="BZ219" s="705">
        <f>VLOOKUP(WWWW[[#This Row],[Village  Name]],SiteDB6[[Site Name]:[Pcode]],3,FALSE)</f>
        <v>0</v>
      </c>
      <c r="CA219" s="705" t="str">
        <f t="shared" si="13"/>
        <v>Covered</v>
      </c>
      <c r="CB219" s="715"/>
      <c r="CC219" s="765"/>
      <c r="CD219" s="766"/>
      <c r="CE219" s="766"/>
      <c r="CF219" s="763"/>
      <c r="CG219" s="766"/>
      <c r="CH219" s="767"/>
      <c r="CI219" s="767"/>
      <c r="CJ219" s="768"/>
      <c r="CK219" s="768"/>
      <c r="CL219" s="768"/>
      <c r="CM219" s="768"/>
      <c r="CN219" s="768"/>
      <c r="CO219" s="768"/>
      <c r="CP219" s="768"/>
      <c r="CQ219" s="768"/>
      <c r="CR219" s="768"/>
    </row>
    <row r="220" spans="1:96" s="764" customFormat="1">
      <c r="A220" s="774" t="s">
        <v>3199</v>
      </c>
      <c r="B220" s="703" t="s">
        <v>3232</v>
      </c>
      <c r="C220" s="704" t="s">
        <v>3232</v>
      </c>
      <c r="D220" s="704" t="s">
        <v>339</v>
      </c>
      <c r="E220" s="704" t="s">
        <v>36</v>
      </c>
      <c r="F220" s="704" t="s">
        <v>174</v>
      </c>
      <c r="G220" s="705" t="str">
        <f>VLOOKUP(WWWW[[#This Row],[Village  Name]],SiteDB6[[Site Name]:[Location Type]],8,FALSE)</f>
        <v>Village</v>
      </c>
      <c r="H220" s="704" t="s">
        <v>3251</v>
      </c>
      <c r="I220" s="706">
        <v>33</v>
      </c>
      <c r="J220" s="706">
        <v>136</v>
      </c>
      <c r="K220" s="707">
        <v>43831</v>
      </c>
      <c r="L220" s="708">
        <v>44926</v>
      </c>
      <c r="M220" s="706"/>
      <c r="N220" s="706"/>
      <c r="O220" s="773"/>
      <c r="P220" s="706"/>
      <c r="Q220" s="706"/>
      <c r="R220" s="706"/>
      <c r="S220" s="706"/>
      <c r="T220" s="706"/>
      <c r="U220" s="709"/>
      <c r="V220" s="706"/>
      <c r="W220" s="706"/>
      <c r="X220" s="706"/>
      <c r="Y220" s="706">
        <v>3</v>
      </c>
      <c r="Z220" s="706"/>
      <c r="AA220" s="706"/>
      <c r="AB220" s="706"/>
      <c r="AC220" s="709"/>
      <c r="AD220" s="706"/>
      <c r="AE220" s="706"/>
      <c r="AF220" s="706"/>
      <c r="AG220" s="706"/>
      <c r="AH220" s="706"/>
      <c r="AI220" s="706"/>
      <c r="AJ220" s="773"/>
      <c r="AK220" s="706"/>
      <c r="AL220" s="773"/>
      <c r="AM220" s="773"/>
      <c r="AN220" s="709"/>
      <c r="AO220" s="769"/>
      <c r="AP220" s="769"/>
      <c r="AQ220" s="773"/>
      <c r="AR220" s="773"/>
      <c r="AS220" s="773"/>
      <c r="AT220"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20" s="711">
        <f>WWWW[[#This Row],[%Equitable and continuous access to sufficient quantity of safe drinking water]]*WWWW[[#This Row],[Total PoP ]]</f>
        <v>0</v>
      </c>
      <c r="AV220"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20" s="711">
        <f>WWWW[[#This Row],[% Access to unimproved water points]]*WWWW[[#This Row],[Total PoP ]]</f>
        <v>0</v>
      </c>
      <c r="AX220"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20"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20" s="711">
        <f>WWWW[[#This Row],[HRP1]]/250</f>
        <v>0</v>
      </c>
      <c r="BA220" s="713">
        <f>1-WWWW[[#This Row],[% Equitable and continuous access to sufficient quantity of domestic water]]</f>
        <v>1</v>
      </c>
      <c r="BB220" s="711">
        <f>WWWW[[#This Row],[%equitable and continuous access to sufficient quantity of safe drinking and domestic water''s GAP]]*WWWW[[#This Row],[Total PoP ]]</f>
        <v>136</v>
      </c>
      <c r="BC220" s="714">
        <f>IF(WWWW[[#This Row],[Total required water points]]-WWWW[[#This Row],['#Water points coverage]]&lt;0,0,WWWW[[#This Row],[Total required water points]]-WWWW[[#This Row],['#Water points coverage]])</f>
        <v>1</v>
      </c>
      <c r="BD220" s="714">
        <f>ROUND(IF(WWWW[[#This Row],[Total PoP ]]&lt;250,1,WWWW[[#This Row],[Total PoP ]]/250),0)</f>
        <v>1</v>
      </c>
      <c r="BE22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20" s="711">
        <f>WWWW[[#This Row],[% people access to functioning Latrine]]*WWWW[[#This Row],[Total PoP ]]</f>
        <v>0</v>
      </c>
      <c r="BG220" s="714">
        <f>WWWW[[#This Row],['#_of_Functioning_latrines_in_school]]*50</f>
        <v>0</v>
      </c>
      <c r="BH220" s="714">
        <f>ROUND((WWWW[[#This Row],[Total PoP ]]/6),0)</f>
        <v>23</v>
      </c>
      <c r="BI220" s="714">
        <f>IF(WWWW[[#This Row],[Total required Latrines]]-(WWWW[[#This Row],['#_of_sanitary_fly-proof_HH_latrines]])&lt;0,0,WWWW[[#This Row],[Total required Latrines]]-(WWWW[[#This Row],['#_of_sanitary_fly-proof_HH_latrines]]))</f>
        <v>23</v>
      </c>
      <c r="BJ220" s="710">
        <f>1-WWWW[[#This Row],[% people access to functioning Latrine]]</f>
        <v>1</v>
      </c>
      <c r="BK220"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20" s="772">
        <f>IF(WWWW[[#This Row],['#_of_functional_handwashing_facilities_at_HH_level]]*6&gt;WWWW[[#This Row],[Total PoP ]],WWWW[[#This Row],[Total PoP ]],WWWW[[#This Row],['#_of_functional_handwashing_facilities_at_HH_level]]*6)</f>
        <v>0</v>
      </c>
      <c r="BM220" s="714">
        <f>IF(WWWW[[#This Row],['# people reached by regular dedicated hygiene promotion]]&gt;WWWW[[#This Row],['# People received regular supply of hygiene items]],WWWW[[#This Row],['# people reached by regular dedicated hygiene promotion]],WWWW[[#This Row],['# People received regular supply of hygiene items]])</f>
        <v>0</v>
      </c>
      <c r="BN220" s="713">
        <f>IF(WWWW[[#This Row],[HRP3]]/WWWW[[#This Row],[Total PoP ]]&gt;100%,100%,WWWW[[#This Row],[HRP3]]/WWWW[[#This Row],[Total PoP ]])</f>
        <v>0</v>
      </c>
      <c r="BO220" s="710">
        <f>1-WWWW[[#This Row],[Hygiene Coverage%]]</f>
        <v>1</v>
      </c>
      <c r="BP220" s="712">
        <f>WWWW[[#This Row],['# people reached by regular dedicated hygiene promotion]]/WWWW[[#This Row],[Total PoP ]]</f>
        <v>0</v>
      </c>
      <c r="BQ22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20" s="770">
        <f>WWWW[[#This Row],['#_of_affected_women_and_girls_receiving_a_sufficient_quantity_of_sanitary_pads]]</f>
        <v>0</v>
      </c>
      <c r="BS220" s="773">
        <f>IF(WWWW[[#This Row],['# People with access to soap]]&gt;WWWW[[#This Row],['# People with access to Sanity Pads]],WWWW[[#This Row],['# People with access to soap]],WWWW[[#This Row],['# People with access to Sanity Pads]])</f>
        <v>0</v>
      </c>
      <c r="BT220" s="772" t="str">
        <f>IF(OR(WWWW[[#This Row],['#of students in school]]="",WWWW[[#This Row],['#of students in school]]=0),"No","Yes")</f>
        <v>No</v>
      </c>
      <c r="BU220" s="705" t="str">
        <f>VLOOKUP(WWWW[[#This Row],[Village  Name]],SiteDB6[[Site Name]:[Location Type 1]],9,FALSE)</f>
        <v>Village</v>
      </c>
      <c r="BV220" s="705" t="str">
        <f>VLOOKUP(WWWW[[#This Row],[Village  Name]],SiteDB6[[Site Name]:[Type of Accommodation]],10,FALSE)</f>
        <v>Village</v>
      </c>
      <c r="BW220" s="705">
        <f>VLOOKUP(WWWW[[#This Row],[Village  Name]],SiteDB6[[Site Name]:[Ethnic or GCA/NGCA]],11,FALSE)</f>
        <v>0</v>
      </c>
      <c r="BX220" s="705">
        <f>VLOOKUP(WWWW[[#This Row],[Village  Name]],SiteDB6[[Site Name]:[Lat]],12,FALSE)</f>
        <v>0</v>
      </c>
      <c r="BY220" s="705">
        <f>VLOOKUP(WWWW[[#This Row],[Village  Name]],SiteDB6[[Site Name]:[Long]],13,FALSE)</f>
        <v>0</v>
      </c>
      <c r="BZ220" s="705">
        <f>VLOOKUP(WWWW[[#This Row],[Village  Name]],SiteDB6[[Site Name]:[Pcode]],3,FALSE)</f>
        <v>0</v>
      </c>
      <c r="CA220" s="705" t="str">
        <f t="shared" si="13"/>
        <v>Covered</v>
      </c>
      <c r="CB220" s="715"/>
      <c r="CC220" s="765"/>
      <c r="CD220" s="766"/>
      <c r="CE220" s="766"/>
      <c r="CF220" s="763"/>
      <c r="CG220" s="766"/>
      <c r="CH220" s="767"/>
      <c r="CI220" s="767"/>
      <c r="CJ220" s="768"/>
      <c r="CK220" s="768"/>
      <c r="CL220" s="768"/>
      <c r="CM220" s="768"/>
      <c r="CN220" s="768"/>
      <c r="CO220" s="768"/>
      <c r="CP220" s="768"/>
      <c r="CQ220" s="768"/>
      <c r="CR220" s="768"/>
    </row>
    <row r="221" spans="1:96" s="764" customFormat="1">
      <c r="A221" s="774" t="s">
        <v>3199</v>
      </c>
      <c r="B221" s="703" t="s">
        <v>3232</v>
      </c>
      <c r="C221" s="704" t="s">
        <v>3232</v>
      </c>
      <c r="D221" s="704" t="s">
        <v>339</v>
      </c>
      <c r="E221" s="704" t="s">
        <v>36</v>
      </c>
      <c r="F221" s="704" t="s">
        <v>174</v>
      </c>
      <c r="G221" s="705" t="str">
        <f>VLOOKUP(WWWW[[#This Row],[Village  Name]],SiteDB6[[Site Name]:[Location Type]],8,FALSE)</f>
        <v>Village</v>
      </c>
      <c r="H221" s="704" t="s">
        <v>3252</v>
      </c>
      <c r="I221" s="706">
        <v>33</v>
      </c>
      <c r="J221" s="706">
        <v>182</v>
      </c>
      <c r="K221" s="707">
        <v>43831</v>
      </c>
      <c r="L221" s="708">
        <v>44926</v>
      </c>
      <c r="M221" s="706"/>
      <c r="N221" s="706"/>
      <c r="O221" s="773"/>
      <c r="P221" s="706"/>
      <c r="Q221" s="706"/>
      <c r="R221" s="706"/>
      <c r="S221" s="706"/>
      <c r="T221" s="706"/>
      <c r="U221" s="709"/>
      <c r="V221" s="706"/>
      <c r="W221" s="706"/>
      <c r="X221" s="706"/>
      <c r="Y221" s="706">
        <v>11</v>
      </c>
      <c r="Z221" s="706"/>
      <c r="AA221" s="706"/>
      <c r="AB221" s="706"/>
      <c r="AC221" s="709"/>
      <c r="AD221" s="706"/>
      <c r="AE221" s="706"/>
      <c r="AF221" s="706"/>
      <c r="AG221" s="706"/>
      <c r="AH221" s="706"/>
      <c r="AI221" s="706"/>
      <c r="AJ221" s="773"/>
      <c r="AK221" s="706"/>
      <c r="AL221" s="773"/>
      <c r="AM221" s="773"/>
      <c r="AN221" s="709"/>
      <c r="AO221" s="769"/>
      <c r="AP221" s="769"/>
      <c r="AQ221" s="773"/>
      <c r="AR221" s="773"/>
      <c r="AS221" s="773"/>
      <c r="AT221"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21" s="711">
        <f>WWWW[[#This Row],[%Equitable and continuous access to sufficient quantity of safe drinking water]]*WWWW[[#This Row],[Total PoP ]]</f>
        <v>0</v>
      </c>
      <c r="AV221"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21" s="711">
        <f>WWWW[[#This Row],[% Access to unimproved water points]]*WWWW[[#This Row],[Total PoP ]]</f>
        <v>0</v>
      </c>
      <c r="AX221"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21"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21" s="711">
        <f>WWWW[[#This Row],[HRP1]]/250</f>
        <v>0</v>
      </c>
      <c r="BA221" s="713">
        <f>1-WWWW[[#This Row],[% Equitable and continuous access to sufficient quantity of domestic water]]</f>
        <v>1</v>
      </c>
      <c r="BB221" s="711">
        <f>WWWW[[#This Row],[%equitable and continuous access to sufficient quantity of safe drinking and domestic water''s GAP]]*WWWW[[#This Row],[Total PoP ]]</f>
        <v>182</v>
      </c>
      <c r="BC221" s="714">
        <f>IF(WWWW[[#This Row],[Total required water points]]-WWWW[[#This Row],['#Water points coverage]]&lt;0,0,WWWW[[#This Row],[Total required water points]]-WWWW[[#This Row],['#Water points coverage]])</f>
        <v>1</v>
      </c>
      <c r="BD221" s="714">
        <f>ROUND(IF(WWWW[[#This Row],[Total PoP ]]&lt;250,1,WWWW[[#This Row],[Total PoP ]]/250),0)</f>
        <v>1</v>
      </c>
      <c r="BE22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21" s="711">
        <f>WWWW[[#This Row],[% people access to functioning Latrine]]*WWWW[[#This Row],[Total PoP ]]</f>
        <v>0</v>
      </c>
      <c r="BG221" s="714">
        <f>WWWW[[#This Row],['#_of_Functioning_latrines_in_school]]*50</f>
        <v>0</v>
      </c>
      <c r="BH221" s="714">
        <f>ROUND((WWWW[[#This Row],[Total PoP ]]/6),0)</f>
        <v>30</v>
      </c>
      <c r="BI221" s="714">
        <f>IF(WWWW[[#This Row],[Total required Latrines]]-(WWWW[[#This Row],['#_of_sanitary_fly-proof_HH_latrines]])&lt;0,0,WWWW[[#This Row],[Total required Latrines]]-(WWWW[[#This Row],['#_of_sanitary_fly-proof_HH_latrines]]))</f>
        <v>30</v>
      </c>
      <c r="BJ221" s="710">
        <f>1-WWWW[[#This Row],[% people access to functioning Latrine]]</f>
        <v>1</v>
      </c>
      <c r="BK221"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21" s="772">
        <f>IF(WWWW[[#This Row],['#_of_functional_handwashing_facilities_at_HH_level]]*6&gt;WWWW[[#This Row],[Total PoP ]],WWWW[[#This Row],[Total PoP ]],WWWW[[#This Row],['#_of_functional_handwashing_facilities_at_HH_level]]*6)</f>
        <v>0</v>
      </c>
      <c r="BM221" s="714">
        <f>IF(WWWW[[#This Row],['# people reached by regular dedicated hygiene promotion]]&gt;WWWW[[#This Row],['# People received regular supply of hygiene items]],WWWW[[#This Row],['# people reached by regular dedicated hygiene promotion]],WWWW[[#This Row],['# People received regular supply of hygiene items]])</f>
        <v>0</v>
      </c>
      <c r="BN221" s="713">
        <f>IF(WWWW[[#This Row],[HRP3]]/WWWW[[#This Row],[Total PoP ]]&gt;100%,100%,WWWW[[#This Row],[HRP3]]/WWWW[[#This Row],[Total PoP ]])</f>
        <v>0</v>
      </c>
      <c r="BO221" s="710">
        <f>1-WWWW[[#This Row],[Hygiene Coverage%]]</f>
        <v>1</v>
      </c>
      <c r="BP221" s="712">
        <f>WWWW[[#This Row],['# people reached by regular dedicated hygiene promotion]]/WWWW[[#This Row],[Total PoP ]]</f>
        <v>0</v>
      </c>
      <c r="BQ22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21" s="770">
        <f>WWWW[[#This Row],['#_of_affected_women_and_girls_receiving_a_sufficient_quantity_of_sanitary_pads]]</f>
        <v>0</v>
      </c>
      <c r="BS221" s="773">
        <f>IF(WWWW[[#This Row],['# People with access to soap]]&gt;WWWW[[#This Row],['# People with access to Sanity Pads]],WWWW[[#This Row],['# People with access to soap]],WWWW[[#This Row],['# People with access to Sanity Pads]])</f>
        <v>0</v>
      </c>
      <c r="BT221" s="772" t="str">
        <f>IF(OR(WWWW[[#This Row],['#of students in school]]="",WWWW[[#This Row],['#of students in school]]=0),"No","Yes")</f>
        <v>No</v>
      </c>
      <c r="BU221" s="705" t="str">
        <f>VLOOKUP(WWWW[[#This Row],[Village  Name]],SiteDB6[[Site Name]:[Location Type 1]],9,FALSE)</f>
        <v>Village</v>
      </c>
      <c r="BV221" s="705" t="str">
        <f>VLOOKUP(WWWW[[#This Row],[Village  Name]],SiteDB6[[Site Name]:[Type of Accommodation]],10,FALSE)</f>
        <v>Village</v>
      </c>
      <c r="BW221" s="705">
        <f>VLOOKUP(WWWW[[#This Row],[Village  Name]],SiteDB6[[Site Name]:[Ethnic or GCA/NGCA]],11,FALSE)</f>
        <v>0</v>
      </c>
      <c r="BX221" s="705">
        <f>VLOOKUP(WWWW[[#This Row],[Village  Name]],SiteDB6[[Site Name]:[Lat]],12,FALSE)</f>
        <v>0</v>
      </c>
      <c r="BY221" s="705">
        <f>VLOOKUP(WWWW[[#This Row],[Village  Name]],SiteDB6[[Site Name]:[Long]],13,FALSE)</f>
        <v>0</v>
      </c>
      <c r="BZ221" s="705">
        <f>VLOOKUP(WWWW[[#This Row],[Village  Name]],SiteDB6[[Site Name]:[Pcode]],3,FALSE)</f>
        <v>0</v>
      </c>
      <c r="CA221" s="705" t="str">
        <f t="shared" si="13"/>
        <v>Covered</v>
      </c>
      <c r="CB221" s="715"/>
      <c r="CC221" s="765"/>
      <c r="CD221" s="766"/>
      <c r="CE221" s="766"/>
      <c r="CF221" s="763"/>
      <c r="CG221" s="766"/>
      <c r="CH221" s="767"/>
      <c r="CI221" s="767"/>
      <c r="CJ221" s="768"/>
      <c r="CK221" s="768"/>
      <c r="CL221" s="768"/>
      <c r="CM221" s="768"/>
      <c r="CN221" s="768"/>
      <c r="CO221" s="768"/>
      <c r="CP221" s="768"/>
      <c r="CQ221" s="768"/>
      <c r="CR221" s="768"/>
    </row>
    <row r="222" spans="1:96" s="764" customFormat="1">
      <c r="A222" s="774" t="s">
        <v>3199</v>
      </c>
      <c r="B222" s="703" t="s">
        <v>3232</v>
      </c>
      <c r="C222" s="704" t="s">
        <v>3232</v>
      </c>
      <c r="D222" s="704" t="s">
        <v>339</v>
      </c>
      <c r="E222" s="704" t="s">
        <v>36</v>
      </c>
      <c r="F222" s="704" t="s">
        <v>174</v>
      </c>
      <c r="G222" s="705" t="str">
        <f>VLOOKUP(WWWW[[#This Row],[Village  Name]],SiteDB6[[Site Name]:[Location Type]],8,FALSE)</f>
        <v>Village</v>
      </c>
      <c r="H222" s="704" t="s">
        <v>3253</v>
      </c>
      <c r="I222" s="706">
        <v>20</v>
      </c>
      <c r="J222" s="706">
        <v>124</v>
      </c>
      <c r="K222" s="707">
        <v>43831</v>
      </c>
      <c r="L222" s="708">
        <v>44926</v>
      </c>
      <c r="M222" s="706"/>
      <c r="N222" s="706"/>
      <c r="O222" s="773"/>
      <c r="P222" s="706"/>
      <c r="Q222" s="706"/>
      <c r="R222" s="706"/>
      <c r="S222" s="706"/>
      <c r="T222" s="706"/>
      <c r="U222" s="709"/>
      <c r="V222" s="706"/>
      <c r="W222" s="706"/>
      <c r="X222" s="706"/>
      <c r="Y222" s="706">
        <v>4</v>
      </c>
      <c r="Z222" s="706"/>
      <c r="AA222" s="706"/>
      <c r="AB222" s="706"/>
      <c r="AC222" s="709"/>
      <c r="AD222" s="706"/>
      <c r="AE222" s="706"/>
      <c r="AF222" s="706"/>
      <c r="AG222" s="706"/>
      <c r="AH222" s="706"/>
      <c r="AI222" s="706"/>
      <c r="AJ222" s="773"/>
      <c r="AK222" s="706"/>
      <c r="AL222" s="773"/>
      <c r="AM222" s="773"/>
      <c r="AN222" s="709"/>
      <c r="AO222" s="769"/>
      <c r="AP222" s="769"/>
      <c r="AQ222" s="773"/>
      <c r="AR222" s="773"/>
      <c r="AS222" s="773"/>
      <c r="AT222"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22" s="711">
        <f>WWWW[[#This Row],[%Equitable and continuous access to sufficient quantity of safe drinking water]]*WWWW[[#This Row],[Total PoP ]]</f>
        <v>0</v>
      </c>
      <c r="AV222"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22" s="711">
        <f>WWWW[[#This Row],[% Access to unimproved water points]]*WWWW[[#This Row],[Total PoP ]]</f>
        <v>0</v>
      </c>
      <c r="AX222"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22"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22" s="711">
        <f>WWWW[[#This Row],[HRP1]]/250</f>
        <v>0</v>
      </c>
      <c r="BA222" s="713">
        <f>1-WWWW[[#This Row],[% Equitable and continuous access to sufficient quantity of domestic water]]</f>
        <v>1</v>
      </c>
      <c r="BB222" s="711">
        <f>WWWW[[#This Row],[%equitable and continuous access to sufficient quantity of safe drinking and domestic water''s GAP]]*WWWW[[#This Row],[Total PoP ]]</f>
        <v>124</v>
      </c>
      <c r="BC222" s="714">
        <f>IF(WWWW[[#This Row],[Total required water points]]-WWWW[[#This Row],['#Water points coverage]]&lt;0,0,WWWW[[#This Row],[Total required water points]]-WWWW[[#This Row],['#Water points coverage]])</f>
        <v>1</v>
      </c>
      <c r="BD222" s="714">
        <f>ROUND(IF(WWWW[[#This Row],[Total PoP ]]&lt;250,1,WWWW[[#This Row],[Total PoP ]]/250),0)</f>
        <v>1</v>
      </c>
      <c r="BE22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22" s="711">
        <f>WWWW[[#This Row],[% people access to functioning Latrine]]*WWWW[[#This Row],[Total PoP ]]</f>
        <v>0</v>
      </c>
      <c r="BG222" s="714">
        <f>WWWW[[#This Row],['#_of_Functioning_latrines_in_school]]*50</f>
        <v>0</v>
      </c>
      <c r="BH222" s="714">
        <f>ROUND((WWWW[[#This Row],[Total PoP ]]/6),0)</f>
        <v>21</v>
      </c>
      <c r="BI222" s="714">
        <f>IF(WWWW[[#This Row],[Total required Latrines]]-(WWWW[[#This Row],['#_of_sanitary_fly-proof_HH_latrines]])&lt;0,0,WWWW[[#This Row],[Total required Latrines]]-(WWWW[[#This Row],['#_of_sanitary_fly-proof_HH_latrines]]))</f>
        <v>21</v>
      </c>
      <c r="BJ222" s="710">
        <f>1-WWWW[[#This Row],[% people access to functioning Latrine]]</f>
        <v>1</v>
      </c>
      <c r="BK222"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22" s="772">
        <f>IF(WWWW[[#This Row],['#_of_functional_handwashing_facilities_at_HH_level]]*6&gt;WWWW[[#This Row],[Total PoP ]],WWWW[[#This Row],[Total PoP ]],WWWW[[#This Row],['#_of_functional_handwashing_facilities_at_HH_level]]*6)</f>
        <v>0</v>
      </c>
      <c r="BM222" s="714">
        <f>IF(WWWW[[#This Row],['# people reached by regular dedicated hygiene promotion]]&gt;WWWW[[#This Row],['# People received regular supply of hygiene items]],WWWW[[#This Row],['# people reached by regular dedicated hygiene promotion]],WWWW[[#This Row],['# People received regular supply of hygiene items]])</f>
        <v>0</v>
      </c>
      <c r="BN222" s="713">
        <f>IF(WWWW[[#This Row],[HRP3]]/WWWW[[#This Row],[Total PoP ]]&gt;100%,100%,WWWW[[#This Row],[HRP3]]/WWWW[[#This Row],[Total PoP ]])</f>
        <v>0</v>
      </c>
      <c r="BO222" s="710">
        <f>1-WWWW[[#This Row],[Hygiene Coverage%]]</f>
        <v>1</v>
      </c>
      <c r="BP222" s="712">
        <f>WWWW[[#This Row],['# people reached by regular dedicated hygiene promotion]]/WWWW[[#This Row],[Total PoP ]]</f>
        <v>0</v>
      </c>
      <c r="BQ22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22" s="770">
        <f>WWWW[[#This Row],['#_of_affected_women_and_girls_receiving_a_sufficient_quantity_of_sanitary_pads]]</f>
        <v>0</v>
      </c>
      <c r="BS222" s="773">
        <f>IF(WWWW[[#This Row],['# People with access to soap]]&gt;WWWW[[#This Row],['# People with access to Sanity Pads]],WWWW[[#This Row],['# People with access to soap]],WWWW[[#This Row],['# People with access to Sanity Pads]])</f>
        <v>0</v>
      </c>
      <c r="BT222" s="772" t="str">
        <f>IF(OR(WWWW[[#This Row],['#of students in school]]="",WWWW[[#This Row],['#of students in school]]=0),"No","Yes")</f>
        <v>No</v>
      </c>
      <c r="BU222" s="705" t="str">
        <f>VLOOKUP(WWWW[[#This Row],[Village  Name]],SiteDB6[[Site Name]:[Location Type 1]],9,FALSE)</f>
        <v>Village</v>
      </c>
      <c r="BV222" s="705" t="str">
        <f>VLOOKUP(WWWW[[#This Row],[Village  Name]],SiteDB6[[Site Name]:[Type of Accommodation]],10,FALSE)</f>
        <v>Village</v>
      </c>
      <c r="BW222" s="705">
        <f>VLOOKUP(WWWW[[#This Row],[Village  Name]],SiteDB6[[Site Name]:[Ethnic or GCA/NGCA]],11,FALSE)</f>
        <v>0</v>
      </c>
      <c r="BX222" s="705">
        <f>VLOOKUP(WWWW[[#This Row],[Village  Name]],SiteDB6[[Site Name]:[Lat]],12,FALSE)</f>
        <v>0</v>
      </c>
      <c r="BY222" s="705">
        <f>VLOOKUP(WWWW[[#This Row],[Village  Name]],SiteDB6[[Site Name]:[Long]],13,FALSE)</f>
        <v>0</v>
      </c>
      <c r="BZ222" s="705">
        <f>VLOOKUP(WWWW[[#This Row],[Village  Name]],SiteDB6[[Site Name]:[Pcode]],3,FALSE)</f>
        <v>0</v>
      </c>
      <c r="CA222" s="705" t="str">
        <f t="shared" si="13"/>
        <v>Covered</v>
      </c>
      <c r="CB222" s="715"/>
      <c r="CC222" s="765"/>
      <c r="CD222" s="766"/>
      <c r="CE222" s="766"/>
      <c r="CF222" s="763"/>
      <c r="CG222" s="766"/>
      <c r="CH222" s="767"/>
      <c r="CI222" s="767"/>
      <c r="CJ222" s="768"/>
      <c r="CK222" s="768"/>
      <c r="CL222" s="768"/>
      <c r="CM222" s="768"/>
      <c r="CN222" s="768"/>
      <c r="CO222" s="768"/>
      <c r="CP222" s="768"/>
      <c r="CQ222" s="768"/>
      <c r="CR222" s="768"/>
    </row>
    <row r="223" spans="1:96" s="764" customFormat="1">
      <c r="A223" s="774" t="s">
        <v>3199</v>
      </c>
      <c r="B223" s="703" t="s">
        <v>3232</v>
      </c>
      <c r="C223" s="704" t="s">
        <v>3232</v>
      </c>
      <c r="D223" s="704" t="s">
        <v>339</v>
      </c>
      <c r="E223" s="704" t="s">
        <v>36</v>
      </c>
      <c r="F223" s="704" t="s">
        <v>174</v>
      </c>
      <c r="G223" s="705" t="str">
        <f>VLOOKUP(WWWW[[#This Row],[Village  Name]],SiteDB6[[Site Name]:[Location Type]],8,FALSE)</f>
        <v>Village</v>
      </c>
      <c r="H223" s="704" t="s">
        <v>3254</v>
      </c>
      <c r="I223" s="706">
        <v>20</v>
      </c>
      <c r="J223" s="706">
        <v>136</v>
      </c>
      <c r="K223" s="707">
        <v>43831</v>
      </c>
      <c r="L223" s="708">
        <v>44926</v>
      </c>
      <c r="M223" s="706"/>
      <c r="N223" s="706"/>
      <c r="O223" s="773"/>
      <c r="P223" s="706"/>
      <c r="Q223" s="706"/>
      <c r="R223" s="706"/>
      <c r="S223" s="706"/>
      <c r="T223" s="706"/>
      <c r="U223" s="709"/>
      <c r="V223" s="706"/>
      <c r="W223" s="706"/>
      <c r="X223" s="706"/>
      <c r="Y223" s="706">
        <v>2</v>
      </c>
      <c r="Z223" s="706"/>
      <c r="AA223" s="706"/>
      <c r="AB223" s="706"/>
      <c r="AC223" s="709"/>
      <c r="AD223" s="706"/>
      <c r="AE223" s="706"/>
      <c r="AF223" s="706"/>
      <c r="AG223" s="706"/>
      <c r="AH223" s="706"/>
      <c r="AI223" s="706"/>
      <c r="AJ223" s="773"/>
      <c r="AK223" s="706"/>
      <c r="AL223" s="773"/>
      <c r="AM223" s="773"/>
      <c r="AN223" s="709"/>
      <c r="AO223" s="769"/>
      <c r="AP223" s="769"/>
      <c r="AQ223" s="773"/>
      <c r="AR223" s="773"/>
      <c r="AS223" s="773"/>
      <c r="AT223"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23" s="711">
        <f>WWWW[[#This Row],[%Equitable and continuous access to sufficient quantity of safe drinking water]]*WWWW[[#This Row],[Total PoP ]]</f>
        <v>0</v>
      </c>
      <c r="AV223"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23" s="711">
        <f>WWWW[[#This Row],[% Access to unimproved water points]]*WWWW[[#This Row],[Total PoP ]]</f>
        <v>0</v>
      </c>
      <c r="AX223"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23"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23" s="711">
        <f>WWWW[[#This Row],[HRP1]]/250</f>
        <v>0</v>
      </c>
      <c r="BA223" s="713">
        <f>1-WWWW[[#This Row],[% Equitable and continuous access to sufficient quantity of domestic water]]</f>
        <v>1</v>
      </c>
      <c r="BB223" s="711">
        <f>WWWW[[#This Row],[%equitable and continuous access to sufficient quantity of safe drinking and domestic water''s GAP]]*WWWW[[#This Row],[Total PoP ]]</f>
        <v>136</v>
      </c>
      <c r="BC223" s="714">
        <f>IF(WWWW[[#This Row],[Total required water points]]-WWWW[[#This Row],['#Water points coverage]]&lt;0,0,WWWW[[#This Row],[Total required water points]]-WWWW[[#This Row],['#Water points coverage]])</f>
        <v>1</v>
      </c>
      <c r="BD223" s="714">
        <f>ROUND(IF(WWWW[[#This Row],[Total PoP ]]&lt;250,1,WWWW[[#This Row],[Total PoP ]]/250),0)</f>
        <v>1</v>
      </c>
      <c r="BE22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23" s="711">
        <f>WWWW[[#This Row],[% people access to functioning Latrine]]*WWWW[[#This Row],[Total PoP ]]</f>
        <v>0</v>
      </c>
      <c r="BG223" s="714">
        <f>WWWW[[#This Row],['#_of_Functioning_latrines_in_school]]*50</f>
        <v>0</v>
      </c>
      <c r="BH223" s="714">
        <f>ROUND((WWWW[[#This Row],[Total PoP ]]/6),0)</f>
        <v>23</v>
      </c>
      <c r="BI223" s="714">
        <f>IF(WWWW[[#This Row],[Total required Latrines]]-(WWWW[[#This Row],['#_of_sanitary_fly-proof_HH_latrines]])&lt;0,0,WWWW[[#This Row],[Total required Latrines]]-(WWWW[[#This Row],['#_of_sanitary_fly-proof_HH_latrines]]))</f>
        <v>23</v>
      </c>
      <c r="BJ223" s="710">
        <f>1-WWWW[[#This Row],[% people access to functioning Latrine]]</f>
        <v>1</v>
      </c>
      <c r="BK223"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23" s="772">
        <f>IF(WWWW[[#This Row],['#_of_functional_handwashing_facilities_at_HH_level]]*6&gt;WWWW[[#This Row],[Total PoP ]],WWWW[[#This Row],[Total PoP ]],WWWW[[#This Row],['#_of_functional_handwashing_facilities_at_HH_level]]*6)</f>
        <v>0</v>
      </c>
      <c r="BM223" s="714">
        <f>IF(WWWW[[#This Row],['# people reached by regular dedicated hygiene promotion]]&gt;WWWW[[#This Row],['# People received regular supply of hygiene items]],WWWW[[#This Row],['# people reached by regular dedicated hygiene promotion]],WWWW[[#This Row],['# People received regular supply of hygiene items]])</f>
        <v>0</v>
      </c>
      <c r="BN223" s="713">
        <f>IF(WWWW[[#This Row],[HRP3]]/WWWW[[#This Row],[Total PoP ]]&gt;100%,100%,WWWW[[#This Row],[HRP3]]/WWWW[[#This Row],[Total PoP ]])</f>
        <v>0</v>
      </c>
      <c r="BO223" s="710">
        <f>1-WWWW[[#This Row],[Hygiene Coverage%]]</f>
        <v>1</v>
      </c>
      <c r="BP223" s="712">
        <f>WWWW[[#This Row],['# people reached by regular dedicated hygiene promotion]]/WWWW[[#This Row],[Total PoP ]]</f>
        <v>0</v>
      </c>
      <c r="BQ22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23" s="770">
        <f>WWWW[[#This Row],['#_of_affected_women_and_girls_receiving_a_sufficient_quantity_of_sanitary_pads]]</f>
        <v>0</v>
      </c>
      <c r="BS223" s="773">
        <f>IF(WWWW[[#This Row],['# People with access to soap]]&gt;WWWW[[#This Row],['# People with access to Sanity Pads]],WWWW[[#This Row],['# People with access to soap]],WWWW[[#This Row],['# People with access to Sanity Pads]])</f>
        <v>0</v>
      </c>
      <c r="BT223" s="772" t="str">
        <f>IF(OR(WWWW[[#This Row],['#of students in school]]="",WWWW[[#This Row],['#of students in school]]=0),"No","Yes")</f>
        <v>No</v>
      </c>
      <c r="BU223" s="705" t="str">
        <f>VLOOKUP(WWWW[[#This Row],[Village  Name]],SiteDB6[[Site Name]:[Location Type 1]],9,FALSE)</f>
        <v>Village</v>
      </c>
      <c r="BV223" s="705" t="str">
        <f>VLOOKUP(WWWW[[#This Row],[Village  Name]],SiteDB6[[Site Name]:[Type of Accommodation]],10,FALSE)</f>
        <v>Village</v>
      </c>
      <c r="BW223" s="705">
        <f>VLOOKUP(WWWW[[#This Row],[Village  Name]],SiteDB6[[Site Name]:[Ethnic or GCA/NGCA]],11,FALSE)</f>
        <v>0</v>
      </c>
      <c r="BX223" s="705">
        <f>VLOOKUP(WWWW[[#This Row],[Village  Name]],SiteDB6[[Site Name]:[Lat]],12,FALSE)</f>
        <v>0</v>
      </c>
      <c r="BY223" s="705">
        <f>VLOOKUP(WWWW[[#This Row],[Village  Name]],SiteDB6[[Site Name]:[Long]],13,FALSE)</f>
        <v>0</v>
      </c>
      <c r="BZ223" s="705">
        <f>VLOOKUP(WWWW[[#This Row],[Village  Name]],SiteDB6[[Site Name]:[Pcode]],3,FALSE)</f>
        <v>0</v>
      </c>
      <c r="CA223" s="705" t="str">
        <f t="shared" si="13"/>
        <v>Covered</v>
      </c>
      <c r="CB223" s="715"/>
      <c r="CC223" s="765"/>
      <c r="CD223" s="766"/>
      <c r="CE223" s="766"/>
      <c r="CF223" s="763"/>
      <c r="CG223" s="766"/>
      <c r="CH223" s="767"/>
      <c r="CI223" s="767"/>
      <c r="CJ223" s="768"/>
      <c r="CK223" s="768"/>
      <c r="CL223" s="768"/>
      <c r="CM223" s="768"/>
      <c r="CN223" s="768"/>
      <c r="CO223" s="768"/>
      <c r="CP223" s="768"/>
      <c r="CQ223" s="768"/>
      <c r="CR223" s="768"/>
    </row>
    <row r="224" spans="1:96" s="764" customFormat="1">
      <c r="A224" s="774" t="s">
        <v>3199</v>
      </c>
      <c r="B224" s="703" t="s">
        <v>3232</v>
      </c>
      <c r="C224" s="704" t="s">
        <v>3232</v>
      </c>
      <c r="D224" s="704" t="s">
        <v>339</v>
      </c>
      <c r="E224" s="704" t="s">
        <v>36</v>
      </c>
      <c r="F224" s="704" t="s">
        <v>174</v>
      </c>
      <c r="G224" s="705" t="str">
        <f>VLOOKUP(WWWW[[#This Row],[Village  Name]],SiteDB6[[Site Name]:[Location Type]],8,FALSE)</f>
        <v>Village</v>
      </c>
      <c r="H224" s="704" t="s">
        <v>3255</v>
      </c>
      <c r="I224" s="706">
        <v>38</v>
      </c>
      <c r="J224" s="706">
        <v>219</v>
      </c>
      <c r="K224" s="707">
        <v>43831</v>
      </c>
      <c r="L224" s="708">
        <v>44926</v>
      </c>
      <c r="M224" s="706"/>
      <c r="N224" s="706"/>
      <c r="O224" s="773"/>
      <c r="P224" s="706"/>
      <c r="Q224" s="706"/>
      <c r="R224" s="706"/>
      <c r="S224" s="706"/>
      <c r="T224" s="706"/>
      <c r="U224" s="709"/>
      <c r="V224" s="706"/>
      <c r="W224" s="706"/>
      <c r="X224" s="706"/>
      <c r="Y224" s="706">
        <v>3</v>
      </c>
      <c r="Z224" s="706"/>
      <c r="AA224" s="706"/>
      <c r="AB224" s="706"/>
      <c r="AC224" s="709"/>
      <c r="AD224" s="706"/>
      <c r="AE224" s="706"/>
      <c r="AF224" s="706"/>
      <c r="AG224" s="706"/>
      <c r="AH224" s="706"/>
      <c r="AI224" s="706"/>
      <c r="AJ224" s="773"/>
      <c r="AK224" s="706"/>
      <c r="AL224" s="773"/>
      <c r="AM224" s="773"/>
      <c r="AN224" s="709"/>
      <c r="AO224" s="769"/>
      <c r="AP224" s="769"/>
      <c r="AQ224" s="773"/>
      <c r="AR224" s="773"/>
      <c r="AS224" s="773"/>
      <c r="AT224"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24" s="711">
        <f>WWWW[[#This Row],[%Equitable and continuous access to sufficient quantity of safe drinking water]]*WWWW[[#This Row],[Total PoP ]]</f>
        <v>0</v>
      </c>
      <c r="AV224"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24" s="711">
        <f>WWWW[[#This Row],[% Access to unimproved water points]]*WWWW[[#This Row],[Total PoP ]]</f>
        <v>0</v>
      </c>
      <c r="AX224"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24"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24" s="711">
        <f>WWWW[[#This Row],[HRP1]]/250</f>
        <v>0</v>
      </c>
      <c r="BA224" s="713">
        <f>1-WWWW[[#This Row],[% Equitable and continuous access to sufficient quantity of domestic water]]</f>
        <v>1</v>
      </c>
      <c r="BB224" s="711">
        <f>WWWW[[#This Row],[%equitable and continuous access to sufficient quantity of safe drinking and domestic water''s GAP]]*WWWW[[#This Row],[Total PoP ]]</f>
        <v>219</v>
      </c>
      <c r="BC224" s="714">
        <f>IF(WWWW[[#This Row],[Total required water points]]-WWWW[[#This Row],['#Water points coverage]]&lt;0,0,WWWW[[#This Row],[Total required water points]]-WWWW[[#This Row],['#Water points coverage]])</f>
        <v>1</v>
      </c>
      <c r="BD224" s="714">
        <f>ROUND(IF(WWWW[[#This Row],[Total PoP ]]&lt;250,1,WWWW[[#This Row],[Total PoP ]]/250),0)</f>
        <v>1</v>
      </c>
      <c r="BE22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24" s="711">
        <f>WWWW[[#This Row],[% people access to functioning Latrine]]*WWWW[[#This Row],[Total PoP ]]</f>
        <v>0</v>
      </c>
      <c r="BG224" s="714">
        <f>WWWW[[#This Row],['#_of_Functioning_latrines_in_school]]*50</f>
        <v>0</v>
      </c>
      <c r="BH224" s="714">
        <f>ROUND((WWWW[[#This Row],[Total PoP ]]/6),0)</f>
        <v>37</v>
      </c>
      <c r="BI224" s="714">
        <f>IF(WWWW[[#This Row],[Total required Latrines]]-(WWWW[[#This Row],['#_of_sanitary_fly-proof_HH_latrines]])&lt;0,0,WWWW[[#This Row],[Total required Latrines]]-(WWWW[[#This Row],['#_of_sanitary_fly-proof_HH_latrines]]))</f>
        <v>37</v>
      </c>
      <c r="BJ224" s="710">
        <f>1-WWWW[[#This Row],[% people access to functioning Latrine]]</f>
        <v>1</v>
      </c>
      <c r="BK224"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24" s="772">
        <f>IF(WWWW[[#This Row],['#_of_functional_handwashing_facilities_at_HH_level]]*6&gt;WWWW[[#This Row],[Total PoP ]],WWWW[[#This Row],[Total PoP ]],WWWW[[#This Row],['#_of_functional_handwashing_facilities_at_HH_level]]*6)</f>
        <v>0</v>
      </c>
      <c r="BM224" s="714">
        <f>IF(WWWW[[#This Row],['# people reached by regular dedicated hygiene promotion]]&gt;WWWW[[#This Row],['# People received regular supply of hygiene items]],WWWW[[#This Row],['# people reached by regular dedicated hygiene promotion]],WWWW[[#This Row],['# People received regular supply of hygiene items]])</f>
        <v>0</v>
      </c>
      <c r="BN224" s="713">
        <f>IF(WWWW[[#This Row],[HRP3]]/WWWW[[#This Row],[Total PoP ]]&gt;100%,100%,WWWW[[#This Row],[HRP3]]/WWWW[[#This Row],[Total PoP ]])</f>
        <v>0</v>
      </c>
      <c r="BO224" s="710">
        <f>1-WWWW[[#This Row],[Hygiene Coverage%]]</f>
        <v>1</v>
      </c>
      <c r="BP224" s="712">
        <f>WWWW[[#This Row],['# people reached by regular dedicated hygiene promotion]]/WWWW[[#This Row],[Total PoP ]]</f>
        <v>0</v>
      </c>
      <c r="BQ22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24" s="770">
        <f>WWWW[[#This Row],['#_of_affected_women_and_girls_receiving_a_sufficient_quantity_of_sanitary_pads]]</f>
        <v>0</v>
      </c>
      <c r="BS224" s="773">
        <f>IF(WWWW[[#This Row],['# People with access to soap]]&gt;WWWW[[#This Row],['# People with access to Sanity Pads]],WWWW[[#This Row],['# People with access to soap]],WWWW[[#This Row],['# People with access to Sanity Pads]])</f>
        <v>0</v>
      </c>
      <c r="BT224" s="772" t="str">
        <f>IF(OR(WWWW[[#This Row],['#of students in school]]="",WWWW[[#This Row],['#of students in school]]=0),"No","Yes")</f>
        <v>No</v>
      </c>
      <c r="BU224" s="705" t="str">
        <f>VLOOKUP(WWWW[[#This Row],[Village  Name]],SiteDB6[[Site Name]:[Location Type 1]],9,FALSE)</f>
        <v>Village</v>
      </c>
      <c r="BV224" s="705" t="str">
        <f>VLOOKUP(WWWW[[#This Row],[Village  Name]],SiteDB6[[Site Name]:[Type of Accommodation]],10,FALSE)</f>
        <v>Village</v>
      </c>
      <c r="BW224" s="705">
        <f>VLOOKUP(WWWW[[#This Row],[Village  Name]],SiteDB6[[Site Name]:[Ethnic or GCA/NGCA]],11,FALSE)</f>
        <v>0</v>
      </c>
      <c r="BX224" s="705">
        <f>VLOOKUP(WWWW[[#This Row],[Village  Name]],SiteDB6[[Site Name]:[Lat]],12,FALSE)</f>
        <v>0</v>
      </c>
      <c r="BY224" s="705">
        <f>VLOOKUP(WWWW[[#This Row],[Village  Name]],SiteDB6[[Site Name]:[Long]],13,FALSE)</f>
        <v>0</v>
      </c>
      <c r="BZ224" s="705">
        <f>VLOOKUP(WWWW[[#This Row],[Village  Name]],SiteDB6[[Site Name]:[Pcode]],3,FALSE)</f>
        <v>0</v>
      </c>
      <c r="CA224" s="705" t="str">
        <f t="shared" si="13"/>
        <v>Covered</v>
      </c>
      <c r="CB224" s="715"/>
      <c r="CC224" s="765"/>
      <c r="CD224" s="766"/>
      <c r="CE224" s="766"/>
      <c r="CF224" s="763"/>
      <c r="CG224" s="766"/>
      <c r="CH224" s="767"/>
      <c r="CI224" s="767"/>
      <c r="CJ224" s="768"/>
      <c r="CK224" s="768"/>
      <c r="CL224" s="768"/>
      <c r="CM224" s="768"/>
      <c r="CN224" s="768"/>
      <c r="CO224" s="768"/>
      <c r="CP224" s="768"/>
      <c r="CQ224" s="768"/>
      <c r="CR224" s="768"/>
    </row>
    <row r="225" spans="1:96" s="764" customFormat="1">
      <c r="A225" s="774" t="s">
        <v>3199</v>
      </c>
      <c r="B225" s="703" t="s">
        <v>3232</v>
      </c>
      <c r="C225" s="704" t="s">
        <v>3232</v>
      </c>
      <c r="D225" s="704" t="s">
        <v>339</v>
      </c>
      <c r="E225" s="704" t="s">
        <v>36</v>
      </c>
      <c r="F225" s="704" t="s">
        <v>174</v>
      </c>
      <c r="G225" s="705" t="str">
        <f>VLOOKUP(WWWW[[#This Row],[Village  Name]],SiteDB6[[Site Name]:[Location Type]],8,FALSE)</f>
        <v>Village</v>
      </c>
      <c r="H225" s="704" t="s">
        <v>3256</v>
      </c>
      <c r="I225" s="706">
        <v>17</v>
      </c>
      <c r="J225" s="706">
        <v>93</v>
      </c>
      <c r="K225" s="707">
        <v>43831</v>
      </c>
      <c r="L225" s="708">
        <v>44926</v>
      </c>
      <c r="M225" s="706"/>
      <c r="N225" s="706"/>
      <c r="O225" s="773"/>
      <c r="P225" s="706"/>
      <c r="Q225" s="706"/>
      <c r="R225" s="706"/>
      <c r="S225" s="706"/>
      <c r="T225" s="706"/>
      <c r="U225" s="709"/>
      <c r="V225" s="706"/>
      <c r="W225" s="706"/>
      <c r="X225" s="706"/>
      <c r="Y225" s="706">
        <v>0</v>
      </c>
      <c r="Z225" s="706"/>
      <c r="AA225" s="706"/>
      <c r="AB225" s="706"/>
      <c r="AC225" s="709"/>
      <c r="AD225" s="706"/>
      <c r="AE225" s="706"/>
      <c r="AF225" s="706"/>
      <c r="AG225" s="706"/>
      <c r="AH225" s="706"/>
      <c r="AI225" s="706"/>
      <c r="AJ225" s="773"/>
      <c r="AK225" s="706"/>
      <c r="AL225" s="773"/>
      <c r="AM225" s="773"/>
      <c r="AN225" s="709"/>
      <c r="AO225" s="769"/>
      <c r="AP225" s="769"/>
      <c r="AQ225" s="773"/>
      <c r="AR225" s="773"/>
      <c r="AS225" s="773"/>
      <c r="AT225"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25" s="711">
        <f>WWWW[[#This Row],[%Equitable and continuous access to sufficient quantity of safe drinking water]]*WWWW[[#This Row],[Total PoP ]]</f>
        <v>0</v>
      </c>
      <c r="AV225"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25" s="711">
        <f>WWWW[[#This Row],[% Access to unimproved water points]]*WWWW[[#This Row],[Total PoP ]]</f>
        <v>0</v>
      </c>
      <c r="AX225"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25"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25" s="711">
        <f>WWWW[[#This Row],[HRP1]]/250</f>
        <v>0</v>
      </c>
      <c r="BA225" s="713">
        <f>1-WWWW[[#This Row],[% Equitable and continuous access to sufficient quantity of domestic water]]</f>
        <v>1</v>
      </c>
      <c r="BB225" s="711">
        <f>WWWW[[#This Row],[%equitable and continuous access to sufficient quantity of safe drinking and domestic water''s GAP]]*WWWW[[#This Row],[Total PoP ]]</f>
        <v>93</v>
      </c>
      <c r="BC225" s="714">
        <f>IF(WWWW[[#This Row],[Total required water points]]-WWWW[[#This Row],['#Water points coverage]]&lt;0,0,WWWW[[#This Row],[Total required water points]]-WWWW[[#This Row],['#Water points coverage]])</f>
        <v>1</v>
      </c>
      <c r="BD225" s="714">
        <f>ROUND(IF(WWWW[[#This Row],[Total PoP ]]&lt;250,1,WWWW[[#This Row],[Total PoP ]]/250),0)</f>
        <v>1</v>
      </c>
      <c r="BE22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25" s="711">
        <f>WWWW[[#This Row],[% people access to functioning Latrine]]*WWWW[[#This Row],[Total PoP ]]</f>
        <v>0</v>
      </c>
      <c r="BG225" s="714">
        <f>WWWW[[#This Row],['#_of_Functioning_latrines_in_school]]*50</f>
        <v>0</v>
      </c>
      <c r="BH225" s="714">
        <f>ROUND((WWWW[[#This Row],[Total PoP ]]/6),0)</f>
        <v>16</v>
      </c>
      <c r="BI225" s="714">
        <f>IF(WWWW[[#This Row],[Total required Latrines]]-(WWWW[[#This Row],['#_of_sanitary_fly-proof_HH_latrines]])&lt;0,0,WWWW[[#This Row],[Total required Latrines]]-(WWWW[[#This Row],['#_of_sanitary_fly-proof_HH_latrines]]))</f>
        <v>16</v>
      </c>
      <c r="BJ225" s="710">
        <f>1-WWWW[[#This Row],[% people access to functioning Latrine]]</f>
        <v>1</v>
      </c>
      <c r="BK225"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25" s="772">
        <f>IF(WWWW[[#This Row],['#_of_functional_handwashing_facilities_at_HH_level]]*6&gt;WWWW[[#This Row],[Total PoP ]],WWWW[[#This Row],[Total PoP ]],WWWW[[#This Row],['#_of_functional_handwashing_facilities_at_HH_level]]*6)</f>
        <v>0</v>
      </c>
      <c r="BM225" s="714">
        <f>IF(WWWW[[#This Row],['# people reached by regular dedicated hygiene promotion]]&gt;WWWW[[#This Row],['# People received regular supply of hygiene items]],WWWW[[#This Row],['# people reached by regular dedicated hygiene promotion]],WWWW[[#This Row],['# People received regular supply of hygiene items]])</f>
        <v>0</v>
      </c>
      <c r="BN225" s="713">
        <f>IF(WWWW[[#This Row],[HRP3]]/WWWW[[#This Row],[Total PoP ]]&gt;100%,100%,WWWW[[#This Row],[HRP3]]/WWWW[[#This Row],[Total PoP ]])</f>
        <v>0</v>
      </c>
      <c r="BO225" s="710">
        <f>1-WWWW[[#This Row],[Hygiene Coverage%]]</f>
        <v>1</v>
      </c>
      <c r="BP225" s="712">
        <f>WWWW[[#This Row],['# people reached by regular dedicated hygiene promotion]]/WWWW[[#This Row],[Total PoP ]]</f>
        <v>0</v>
      </c>
      <c r="BQ22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25" s="770">
        <f>WWWW[[#This Row],['#_of_affected_women_and_girls_receiving_a_sufficient_quantity_of_sanitary_pads]]</f>
        <v>0</v>
      </c>
      <c r="BS225" s="773">
        <f>IF(WWWW[[#This Row],['# People with access to soap]]&gt;WWWW[[#This Row],['# People with access to Sanity Pads]],WWWW[[#This Row],['# People with access to soap]],WWWW[[#This Row],['# People with access to Sanity Pads]])</f>
        <v>0</v>
      </c>
      <c r="BT225" s="772" t="str">
        <f>IF(OR(WWWW[[#This Row],['#of students in school]]="",WWWW[[#This Row],['#of students in school]]=0),"No","Yes")</f>
        <v>No</v>
      </c>
      <c r="BU225" s="705" t="str">
        <f>VLOOKUP(WWWW[[#This Row],[Village  Name]],SiteDB6[[Site Name]:[Location Type 1]],9,FALSE)</f>
        <v>Village</v>
      </c>
      <c r="BV225" s="705" t="str">
        <f>VLOOKUP(WWWW[[#This Row],[Village  Name]],SiteDB6[[Site Name]:[Type of Accommodation]],10,FALSE)</f>
        <v>Village</v>
      </c>
      <c r="BW225" s="705">
        <f>VLOOKUP(WWWW[[#This Row],[Village  Name]],SiteDB6[[Site Name]:[Ethnic or GCA/NGCA]],11,FALSE)</f>
        <v>0</v>
      </c>
      <c r="BX225" s="705">
        <f>VLOOKUP(WWWW[[#This Row],[Village  Name]],SiteDB6[[Site Name]:[Lat]],12,FALSE)</f>
        <v>0</v>
      </c>
      <c r="BY225" s="705">
        <f>VLOOKUP(WWWW[[#This Row],[Village  Name]],SiteDB6[[Site Name]:[Long]],13,FALSE)</f>
        <v>0</v>
      </c>
      <c r="BZ225" s="705">
        <f>VLOOKUP(WWWW[[#This Row],[Village  Name]],SiteDB6[[Site Name]:[Pcode]],3,FALSE)</f>
        <v>0</v>
      </c>
      <c r="CA225" s="705" t="str">
        <f t="shared" si="13"/>
        <v>Covered</v>
      </c>
      <c r="CB225" s="715"/>
      <c r="CC225" s="765"/>
      <c r="CD225" s="766"/>
      <c r="CE225" s="766"/>
      <c r="CF225" s="763"/>
      <c r="CG225" s="766"/>
      <c r="CH225" s="767"/>
      <c r="CI225" s="767"/>
      <c r="CJ225" s="768"/>
      <c r="CK225" s="768"/>
      <c r="CL225" s="768"/>
      <c r="CM225" s="768"/>
      <c r="CN225" s="768"/>
      <c r="CO225" s="768"/>
      <c r="CP225" s="768"/>
      <c r="CQ225" s="768"/>
      <c r="CR225" s="768"/>
    </row>
    <row r="226" spans="1:96" s="764" customFormat="1">
      <c r="A226" s="774" t="s">
        <v>3199</v>
      </c>
      <c r="B226" s="703" t="s">
        <v>3232</v>
      </c>
      <c r="C226" s="704" t="s">
        <v>3232</v>
      </c>
      <c r="D226" s="704" t="s">
        <v>339</v>
      </c>
      <c r="E226" s="704" t="s">
        <v>36</v>
      </c>
      <c r="F226" s="704" t="s">
        <v>174</v>
      </c>
      <c r="G226" s="705" t="str">
        <f>VLOOKUP(WWWW[[#This Row],[Village  Name]],SiteDB6[[Site Name]:[Location Type]],8,FALSE)</f>
        <v>Village</v>
      </c>
      <c r="H226" s="704" t="s">
        <v>3257</v>
      </c>
      <c r="I226" s="706">
        <v>23</v>
      </c>
      <c r="J226" s="706">
        <v>205</v>
      </c>
      <c r="K226" s="707">
        <v>43831</v>
      </c>
      <c r="L226" s="708">
        <v>44926</v>
      </c>
      <c r="M226" s="706"/>
      <c r="N226" s="706"/>
      <c r="O226" s="773"/>
      <c r="P226" s="706"/>
      <c r="Q226" s="706"/>
      <c r="R226" s="706"/>
      <c r="S226" s="706"/>
      <c r="T226" s="706"/>
      <c r="U226" s="709"/>
      <c r="V226" s="706"/>
      <c r="W226" s="706"/>
      <c r="X226" s="706"/>
      <c r="Y226" s="706">
        <v>3</v>
      </c>
      <c r="Z226" s="706"/>
      <c r="AA226" s="706"/>
      <c r="AB226" s="706"/>
      <c r="AC226" s="709"/>
      <c r="AD226" s="706"/>
      <c r="AE226" s="706"/>
      <c r="AF226" s="706"/>
      <c r="AG226" s="706"/>
      <c r="AH226" s="706"/>
      <c r="AI226" s="706"/>
      <c r="AJ226" s="773"/>
      <c r="AK226" s="706"/>
      <c r="AL226" s="773"/>
      <c r="AM226" s="773"/>
      <c r="AN226" s="709"/>
      <c r="AO226" s="769"/>
      <c r="AP226" s="769"/>
      <c r="AQ226" s="773"/>
      <c r="AR226" s="773"/>
      <c r="AS226" s="773"/>
      <c r="AT226"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26" s="711">
        <f>WWWW[[#This Row],[%Equitable and continuous access to sufficient quantity of safe drinking water]]*WWWW[[#This Row],[Total PoP ]]</f>
        <v>0</v>
      </c>
      <c r="AV226"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26" s="711">
        <f>WWWW[[#This Row],[% Access to unimproved water points]]*WWWW[[#This Row],[Total PoP ]]</f>
        <v>0</v>
      </c>
      <c r="AX226"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26"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26" s="711">
        <f>WWWW[[#This Row],[HRP1]]/250</f>
        <v>0</v>
      </c>
      <c r="BA226" s="713">
        <f>1-WWWW[[#This Row],[% Equitable and continuous access to sufficient quantity of domestic water]]</f>
        <v>1</v>
      </c>
      <c r="BB226" s="711">
        <f>WWWW[[#This Row],[%equitable and continuous access to sufficient quantity of safe drinking and domestic water''s GAP]]*WWWW[[#This Row],[Total PoP ]]</f>
        <v>205</v>
      </c>
      <c r="BC226" s="714">
        <f>IF(WWWW[[#This Row],[Total required water points]]-WWWW[[#This Row],['#Water points coverage]]&lt;0,0,WWWW[[#This Row],[Total required water points]]-WWWW[[#This Row],['#Water points coverage]])</f>
        <v>1</v>
      </c>
      <c r="BD226" s="714">
        <f>ROUND(IF(WWWW[[#This Row],[Total PoP ]]&lt;250,1,WWWW[[#This Row],[Total PoP ]]/250),0)</f>
        <v>1</v>
      </c>
      <c r="BE22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26" s="711">
        <f>WWWW[[#This Row],[% people access to functioning Latrine]]*WWWW[[#This Row],[Total PoP ]]</f>
        <v>0</v>
      </c>
      <c r="BG226" s="714">
        <f>WWWW[[#This Row],['#_of_Functioning_latrines_in_school]]*50</f>
        <v>0</v>
      </c>
      <c r="BH226" s="714">
        <f>ROUND((WWWW[[#This Row],[Total PoP ]]/6),0)</f>
        <v>34</v>
      </c>
      <c r="BI226" s="714">
        <f>IF(WWWW[[#This Row],[Total required Latrines]]-(WWWW[[#This Row],['#_of_sanitary_fly-proof_HH_latrines]])&lt;0,0,WWWW[[#This Row],[Total required Latrines]]-(WWWW[[#This Row],['#_of_sanitary_fly-proof_HH_latrines]]))</f>
        <v>34</v>
      </c>
      <c r="BJ226" s="710">
        <f>1-WWWW[[#This Row],[% people access to functioning Latrine]]</f>
        <v>1</v>
      </c>
      <c r="BK226"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26" s="772">
        <f>IF(WWWW[[#This Row],['#_of_functional_handwashing_facilities_at_HH_level]]*6&gt;WWWW[[#This Row],[Total PoP ]],WWWW[[#This Row],[Total PoP ]],WWWW[[#This Row],['#_of_functional_handwashing_facilities_at_HH_level]]*6)</f>
        <v>0</v>
      </c>
      <c r="BM226" s="714">
        <f>IF(WWWW[[#This Row],['# people reached by regular dedicated hygiene promotion]]&gt;WWWW[[#This Row],['# People received regular supply of hygiene items]],WWWW[[#This Row],['# people reached by regular dedicated hygiene promotion]],WWWW[[#This Row],['# People received regular supply of hygiene items]])</f>
        <v>0</v>
      </c>
      <c r="BN226" s="713">
        <f>IF(WWWW[[#This Row],[HRP3]]/WWWW[[#This Row],[Total PoP ]]&gt;100%,100%,WWWW[[#This Row],[HRP3]]/WWWW[[#This Row],[Total PoP ]])</f>
        <v>0</v>
      </c>
      <c r="BO226" s="710">
        <f>1-WWWW[[#This Row],[Hygiene Coverage%]]</f>
        <v>1</v>
      </c>
      <c r="BP226" s="712">
        <f>WWWW[[#This Row],['# people reached by regular dedicated hygiene promotion]]/WWWW[[#This Row],[Total PoP ]]</f>
        <v>0</v>
      </c>
      <c r="BQ22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26" s="770">
        <f>WWWW[[#This Row],['#_of_affected_women_and_girls_receiving_a_sufficient_quantity_of_sanitary_pads]]</f>
        <v>0</v>
      </c>
      <c r="BS226" s="773">
        <f>IF(WWWW[[#This Row],['# People with access to soap]]&gt;WWWW[[#This Row],['# People with access to Sanity Pads]],WWWW[[#This Row],['# People with access to soap]],WWWW[[#This Row],['# People with access to Sanity Pads]])</f>
        <v>0</v>
      </c>
      <c r="BT226" s="772" t="str">
        <f>IF(OR(WWWW[[#This Row],['#of students in school]]="",WWWW[[#This Row],['#of students in school]]=0),"No","Yes")</f>
        <v>No</v>
      </c>
      <c r="BU226" s="705" t="str">
        <f>VLOOKUP(WWWW[[#This Row],[Village  Name]],SiteDB6[[Site Name]:[Location Type 1]],9,FALSE)</f>
        <v>Village</v>
      </c>
      <c r="BV226" s="705" t="str">
        <f>VLOOKUP(WWWW[[#This Row],[Village  Name]],SiteDB6[[Site Name]:[Type of Accommodation]],10,FALSE)</f>
        <v>Village</v>
      </c>
      <c r="BW226" s="705">
        <f>VLOOKUP(WWWW[[#This Row],[Village  Name]],SiteDB6[[Site Name]:[Ethnic or GCA/NGCA]],11,FALSE)</f>
        <v>0</v>
      </c>
      <c r="BX226" s="705">
        <f>VLOOKUP(WWWW[[#This Row],[Village  Name]],SiteDB6[[Site Name]:[Lat]],12,FALSE)</f>
        <v>0</v>
      </c>
      <c r="BY226" s="705">
        <f>VLOOKUP(WWWW[[#This Row],[Village  Name]],SiteDB6[[Site Name]:[Long]],13,FALSE)</f>
        <v>0</v>
      </c>
      <c r="BZ226" s="705">
        <f>VLOOKUP(WWWW[[#This Row],[Village  Name]],SiteDB6[[Site Name]:[Pcode]],3,FALSE)</f>
        <v>0</v>
      </c>
      <c r="CA226" s="705" t="str">
        <f t="shared" si="13"/>
        <v>Covered</v>
      </c>
      <c r="CB226" s="715"/>
      <c r="CC226" s="765"/>
      <c r="CD226" s="766"/>
      <c r="CE226" s="766"/>
      <c r="CF226" s="763"/>
      <c r="CG226" s="766"/>
      <c r="CH226" s="767"/>
      <c r="CI226" s="767"/>
      <c r="CJ226" s="768"/>
      <c r="CK226" s="768"/>
      <c r="CL226" s="768"/>
      <c r="CM226" s="768"/>
      <c r="CN226" s="768"/>
      <c r="CO226" s="768"/>
      <c r="CP226" s="768"/>
      <c r="CQ226" s="768"/>
      <c r="CR226" s="768"/>
    </row>
    <row r="227" spans="1:96" s="764" customFormat="1">
      <c r="A227" s="774" t="s">
        <v>3199</v>
      </c>
      <c r="B227" s="703" t="s">
        <v>3232</v>
      </c>
      <c r="C227" s="704" t="s">
        <v>3232</v>
      </c>
      <c r="D227" s="704" t="s">
        <v>339</v>
      </c>
      <c r="E227" s="704" t="s">
        <v>36</v>
      </c>
      <c r="F227" s="704" t="s">
        <v>174</v>
      </c>
      <c r="G227" s="705" t="str">
        <f>VLOOKUP(WWWW[[#This Row],[Village  Name]],SiteDB6[[Site Name]:[Location Type]],8,FALSE)</f>
        <v>Village</v>
      </c>
      <c r="H227" s="704" t="s">
        <v>3258</v>
      </c>
      <c r="I227" s="706">
        <v>28</v>
      </c>
      <c r="J227" s="706">
        <v>181</v>
      </c>
      <c r="K227" s="707">
        <v>43831</v>
      </c>
      <c r="L227" s="708">
        <v>44926</v>
      </c>
      <c r="M227" s="706"/>
      <c r="N227" s="706"/>
      <c r="O227" s="773"/>
      <c r="P227" s="706"/>
      <c r="Q227" s="706"/>
      <c r="R227" s="706"/>
      <c r="S227" s="706"/>
      <c r="T227" s="706"/>
      <c r="U227" s="709"/>
      <c r="V227" s="706"/>
      <c r="W227" s="706"/>
      <c r="X227" s="706"/>
      <c r="Y227" s="706">
        <v>1</v>
      </c>
      <c r="Z227" s="706"/>
      <c r="AA227" s="706"/>
      <c r="AB227" s="706"/>
      <c r="AC227" s="709"/>
      <c r="AD227" s="706"/>
      <c r="AE227" s="706"/>
      <c r="AF227" s="706"/>
      <c r="AG227" s="706"/>
      <c r="AH227" s="706"/>
      <c r="AI227" s="706"/>
      <c r="AJ227" s="773"/>
      <c r="AK227" s="706"/>
      <c r="AL227" s="773"/>
      <c r="AM227" s="773"/>
      <c r="AN227" s="709"/>
      <c r="AO227" s="769"/>
      <c r="AP227" s="769"/>
      <c r="AQ227" s="773"/>
      <c r="AR227" s="773"/>
      <c r="AS227" s="773"/>
      <c r="AT227"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27" s="711">
        <f>WWWW[[#This Row],[%Equitable and continuous access to sufficient quantity of safe drinking water]]*WWWW[[#This Row],[Total PoP ]]</f>
        <v>0</v>
      </c>
      <c r="AV227"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27" s="711">
        <f>WWWW[[#This Row],[% Access to unimproved water points]]*WWWW[[#This Row],[Total PoP ]]</f>
        <v>0</v>
      </c>
      <c r="AX227"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27"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27" s="711">
        <f>WWWW[[#This Row],[HRP1]]/250</f>
        <v>0</v>
      </c>
      <c r="BA227" s="713">
        <f>1-WWWW[[#This Row],[% Equitable and continuous access to sufficient quantity of domestic water]]</f>
        <v>1</v>
      </c>
      <c r="BB227" s="711">
        <f>WWWW[[#This Row],[%equitable and continuous access to sufficient quantity of safe drinking and domestic water''s GAP]]*WWWW[[#This Row],[Total PoP ]]</f>
        <v>181</v>
      </c>
      <c r="BC227" s="714">
        <f>IF(WWWW[[#This Row],[Total required water points]]-WWWW[[#This Row],['#Water points coverage]]&lt;0,0,WWWW[[#This Row],[Total required water points]]-WWWW[[#This Row],['#Water points coverage]])</f>
        <v>1</v>
      </c>
      <c r="BD227" s="714">
        <f>ROUND(IF(WWWW[[#This Row],[Total PoP ]]&lt;250,1,WWWW[[#This Row],[Total PoP ]]/250),0)</f>
        <v>1</v>
      </c>
      <c r="BE22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27" s="711">
        <f>WWWW[[#This Row],[% people access to functioning Latrine]]*WWWW[[#This Row],[Total PoP ]]</f>
        <v>0</v>
      </c>
      <c r="BG227" s="714">
        <f>WWWW[[#This Row],['#_of_Functioning_latrines_in_school]]*50</f>
        <v>0</v>
      </c>
      <c r="BH227" s="714">
        <f>ROUND((WWWW[[#This Row],[Total PoP ]]/6),0)</f>
        <v>30</v>
      </c>
      <c r="BI227" s="714">
        <f>IF(WWWW[[#This Row],[Total required Latrines]]-(WWWW[[#This Row],['#_of_sanitary_fly-proof_HH_latrines]])&lt;0,0,WWWW[[#This Row],[Total required Latrines]]-(WWWW[[#This Row],['#_of_sanitary_fly-proof_HH_latrines]]))</f>
        <v>30</v>
      </c>
      <c r="BJ227" s="710">
        <f>1-WWWW[[#This Row],[% people access to functioning Latrine]]</f>
        <v>1</v>
      </c>
      <c r="BK227"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27" s="772">
        <f>IF(WWWW[[#This Row],['#_of_functional_handwashing_facilities_at_HH_level]]*6&gt;WWWW[[#This Row],[Total PoP ]],WWWW[[#This Row],[Total PoP ]],WWWW[[#This Row],['#_of_functional_handwashing_facilities_at_HH_level]]*6)</f>
        <v>0</v>
      </c>
      <c r="BM227" s="714">
        <f>IF(WWWW[[#This Row],['# people reached by regular dedicated hygiene promotion]]&gt;WWWW[[#This Row],['# People received regular supply of hygiene items]],WWWW[[#This Row],['# people reached by regular dedicated hygiene promotion]],WWWW[[#This Row],['# People received regular supply of hygiene items]])</f>
        <v>0</v>
      </c>
      <c r="BN227" s="713">
        <f>IF(WWWW[[#This Row],[HRP3]]/WWWW[[#This Row],[Total PoP ]]&gt;100%,100%,WWWW[[#This Row],[HRP3]]/WWWW[[#This Row],[Total PoP ]])</f>
        <v>0</v>
      </c>
      <c r="BO227" s="710">
        <f>1-WWWW[[#This Row],[Hygiene Coverage%]]</f>
        <v>1</v>
      </c>
      <c r="BP227" s="712">
        <f>WWWW[[#This Row],['# people reached by regular dedicated hygiene promotion]]/WWWW[[#This Row],[Total PoP ]]</f>
        <v>0</v>
      </c>
      <c r="BQ22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27" s="770">
        <f>WWWW[[#This Row],['#_of_affected_women_and_girls_receiving_a_sufficient_quantity_of_sanitary_pads]]</f>
        <v>0</v>
      </c>
      <c r="BS227" s="773">
        <f>IF(WWWW[[#This Row],['# People with access to soap]]&gt;WWWW[[#This Row],['# People with access to Sanity Pads]],WWWW[[#This Row],['# People with access to soap]],WWWW[[#This Row],['# People with access to Sanity Pads]])</f>
        <v>0</v>
      </c>
      <c r="BT227" s="772" t="str">
        <f>IF(OR(WWWW[[#This Row],['#of students in school]]="",WWWW[[#This Row],['#of students in school]]=0),"No","Yes")</f>
        <v>No</v>
      </c>
      <c r="BU227" s="705" t="str">
        <f>VLOOKUP(WWWW[[#This Row],[Village  Name]],SiteDB6[[Site Name]:[Location Type 1]],9,FALSE)</f>
        <v>Village</v>
      </c>
      <c r="BV227" s="705" t="str">
        <f>VLOOKUP(WWWW[[#This Row],[Village  Name]],SiteDB6[[Site Name]:[Type of Accommodation]],10,FALSE)</f>
        <v>Village</v>
      </c>
      <c r="BW227" s="705">
        <f>VLOOKUP(WWWW[[#This Row],[Village  Name]],SiteDB6[[Site Name]:[Ethnic or GCA/NGCA]],11,FALSE)</f>
        <v>0</v>
      </c>
      <c r="BX227" s="705">
        <f>VLOOKUP(WWWW[[#This Row],[Village  Name]],SiteDB6[[Site Name]:[Lat]],12,FALSE)</f>
        <v>0</v>
      </c>
      <c r="BY227" s="705">
        <f>VLOOKUP(WWWW[[#This Row],[Village  Name]],SiteDB6[[Site Name]:[Long]],13,FALSE)</f>
        <v>0</v>
      </c>
      <c r="BZ227" s="705">
        <f>VLOOKUP(WWWW[[#This Row],[Village  Name]],SiteDB6[[Site Name]:[Pcode]],3,FALSE)</f>
        <v>0</v>
      </c>
      <c r="CA227" s="705" t="str">
        <f t="shared" si="13"/>
        <v>Covered</v>
      </c>
      <c r="CB227" s="715"/>
      <c r="CC227" s="765"/>
      <c r="CD227" s="766"/>
      <c r="CE227" s="766"/>
      <c r="CF227" s="763"/>
      <c r="CG227" s="766"/>
      <c r="CH227" s="767"/>
      <c r="CI227" s="767"/>
      <c r="CJ227" s="768"/>
      <c r="CK227" s="768"/>
      <c r="CL227" s="768"/>
      <c r="CM227" s="768"/>
      <c r="CN227" s="768"/>
      <c r="CO227" s="768"/>
      <c r="CP227" s="768"/>
      <c r="CQ227" s="768"/>
      <c r="CR227" s="768"/>
    </row>
    <row r="228" spans="1:96" s="764" customFormat="1">
      <c r="A228" s="774" t="s">
        <v>3199</v>
      </c>
      <c r="B228" s="703" t="s">
        <v>3232</v>
      </c>
      <c r="C228" s="704" t="s">
        <v>3232</v>
      </c>
      <c r="D228" s="704" t="s">
        <v>339</v>
      </c>
      <c r="E228" s="704" t="s">
        <v>36</v>
      </c>
      <c r="F228" s="704" t="s">
        <v>174</v>
      </c>
      <c r="G228" s="705" t="str">
        <f>VLOOKUP(WWWW[[#This Row],[Village  Name]],SiteDB6[[Site Name]:[Location Type]],8,FALSE)</f>
        <v>Village</v>
      </c>
      <c r="H228" s="704" t="s">
        <v>3259</v>
      </c>
      <c r="I228" s="706">
        <v>37</v>
      </c>
      <c r="J228" s="706">
        <v>227</v>
      </c>
      <c r="K228" s="707">
        <v>43831</v>
      </c>
      <c r="L228" s="708">
        <v>44926</v>
      </c>
      <c r="M228" s="706"/>
      <c r="N228" s="706"/>
      <c r="O228" s="773"/>
      <c r="P228" s="706"/>
      <c r="Q228" s="706"/>
      <c r="R228" s="706"/>
      <c r="S228" s="706"/>
      <c r="T228" s="706"/>
      <c r="U228" s="709"/>
      <c r="V228" s="706"/>
      <c r="W228" s="706"/>
      <c r="X228" s="706"/>
      <c r="Y228" s="706">
        <v>2</v>
      </c>
      <c r="Z228" s="706"/>
      <c r="AA228" s="706"/>
      <c r="AB228" s="706"/>
      <c r="AC228" s="709"/>
      <c r="AD228" s="706"/>
      <c r="AE228" s="706"/>
      <c r="AF228" s="706"/>
      <c r="AG228" s="706"/>
      <c r="AH228" s="706"/>
      <c r="AI228" s="706"/>
      <c r="AJ228" s="773"/>
      <c r="AK228" s="706"/>
      <c r="AL228" s="773"/>
      <c r="AM228" s="773"/>
      <c r="AN228" s="709"/>
      <c r="AO228" s="769"/>
      <c r="AP228" s="769"/>
      <c r="AQ228" s="773"/>
      <c r="AR228" s="773"/>
      <c r="AS228" s="773"/>
      <c r="AT228"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28" s="711">
        <f>WWWW[[#This Row],[%Equitable and continuous access to sufficient quantity of safe drinking water]]*WWWW[[#This Row],[Total PoP ]]</f>
        <v>0</v>
      </c>
      <c r="AV228"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28" s="711">
        <f>WWWW[[#This Row],[% Access to unimproved water points]]*WWWW[[#This Row],[Total PoP ]]</f>
        <v>0</v>
      </c>
      <c r="AX228"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28"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28" s="711">
        <f>WWWW[[#This Row],[HRP1]]/250</f>
        <v>0</v>
      </c>
      <c r="BA228" s="713">
        <f>1-WWWW[[#This Row],[% Equitable and continuous access to sufficient quantity of domestic water]]</f>
        <v>1</v>
      </c>
      <c r="BB228" s="711">
        <f>WWWW[[#This Row],[%equitable and continuous access to sufficient quantity of safe drinking and domestic water''s GAP]]*WWWW[[#This Row],[Total PoP ]]</f>
        <v>227</v>
      </c>
      <c r="BC228" s="714">
        <f>IF(WWWW[[#This Row],[Total required water points]]-WWWW[[#This Row],['#Water points coverage]]&lt;0,0,WWWW[[#This Row],[Total required water points]]-WWWW[[#This Row],['#Water points coverage]])</f>
        <v>1</v>
      </c>
      <c r="BD228" s="714">
        <f>ROUND(IF(WWWW[[#This Row],[Total PoP ]]&lt;250,1,WWWW[[#This Row],[Total PoP ]]/250),0)</f>
        <v>1</v>
      </c>
      <c r="BE22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28" s="711">
        <f>WWWW[[#This Row],[% people access to functioning Latrine]]*WWWW[[#This Row],[Total PoP ]]</f>
        <v>0</v>
      </c>
      <c r="BG228" s="714">
        <f>WWWW[[#This Row],['#_of_Functioning_latrines_in_school]]*50</f>
        <v>0</v>
      </c>
      <c r="BH228" s="714">
        <f>ROUND((WWWW[[#This Row],[Total PoP ]]/6),0)</f>
        <v>38</v>
      </c>
      <c r="BI228" s="714">
        <f>IF(WWWW[[#This Row],[Total required Latrines]]-(WWWW[[#This Row],['#_of_sanitary_fly-proof_HH_latrines]])&lt;0,0,WWWW[[#This Row],[Total required Latrines]]-(WWWW[[#This Row],['#_of_sanitary_fly-proof_HH_latrines]]))</f>
        <v>38</v>
      </c>
      <c r="BJ228" s="710">
        <f>1-WWWW[[#This Row],[% people access to functioning Latrine]]</f>
        <v>1</v>
      </c>
      <c r="BK228"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28" s="772">
        <f>IF(WWWW[[#This Row],['#_of_functional_handwashing_facilities_at_HH_level]]*6&gt;WWWW[[#This Row],[Total PoP ]],WWWW[[#This Row],[Total PoP ]],WWWW[[#This Row],['#_of_functional_handwashing_facilities_at_HH_level]]*6)</f>
        <v>0</v>
      </c>
      <c r="BM228" s="714">
        <f>IF(WWWW[[#This Row],['# people reached by regular dedicated hygiene promotion]]&gt;WWWW[[#This Row],['# People received regular supply of hygiene items]],WWWW[[#This Row],['# people reached by regular dedicated hygiene promotion]],WWWW[[#This Row],['# People received regular supply of hygiene items]])</f>
        <v>0</v>
      </c>
      <c r="BN228" s="713">
        <f>IF(WWWW[[#This Row],[HRP3]]/WWWW[[#This Row],[Total PoP ]]&gt;100%,100%,WWWW[[#This Row],[HRP3]]/WWWW[[#This Row],[Total PoP ]])</f>
        <v>0</v>
      </c>
      <c r="BO228" s="710">
        <f>1-WWWW[[#This Row],[Hygiene Coverage%]]</f>
        <v>1</v>
      </c>
      <c r="BP228" s="712">
        <f>WWWW[[#This Row],['# people reached by regular dedicated hygiene promotion]]/WWWW[[#This Row],[Total PoP ]]</f>
        <v>0</v>
      </c>
      <c r="BQ22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28" s="770">
        <f>WWWW[[#This Row],['#_of_affected_women_and_girls_receiving_a_sufficient_quantity_of_sanitary_pads]]</f>
        <v>0</v>
      </c>
      <c r="BS228" s="773">
        <f>IF(WWWW[[#This Row],['# People with access to soap]]&gt;WWWW[[#This Row],['# People with access to Sanity Pads]],WWWW[[#This Row],['# People with access to soap]],WWWW[[#This Row],['# People with access to Sanity Pads]])</f>
        <v>0</v>
      </c>
      <c r="BT228" s="772" t="str">
        <f>IF(OR(WWWW[[#This Row],['#of students in school]]="",WWWW[[#This Row],['#of students in school]]=0),"No","Yes")</f>
        <v>No</v>
      </c>
      <c r="BU228" s="705" t="str">
        <f>VLOOKUP(WWWW[[#This Row],[Village  Name]],SiteDB6[[Site Name]:[Location Type 1]],9,FALSE)</f>
        <v>Village</v>
      </c>
      <c r="BV228" s="705" t="str">
        <f>VLOOKUP(WWWW[[#This Row],[Village  Name]],SiteDB6[[Site Name]:[Type of Accommodation]],10,FALSE)</f>
        <v>Village</v>
      </c>
      <c r="BW228" s="705">
        <f>VLOOKUP(WWWW[[#This Row],[Village  Name]],SiteDB6[[Site Name]:[Ethnic or GCA/NGCA]],11,FALSE)</f>
        <v>0</v>
      </c>
      <c r="BX228" s="705">
        <f>VLOOKUP(WWWW[[#This Row],[Village  Name]],SiteDB6[[Site Name]:[Lat]],12,FALSE)</f>
        <v>0</v>
      </c>
      <c r="BY228" s="705">
        <f>VLOOKUP(WWWW[[#This Row],[Village  Name]],SiteDB6[[Site Name]:[Long]],13,FALSE)</f>
        <v>0</v>
      </c>
      <c r="BZ228" s="705">
        <f>VLOOKUP(WWWW[[#This Row],[Village  Name]],SiteDB6[[Site Name]:[Pcode]],3,FALSE)</f>
        <v>0</v>
      </c>
      <c r="CA228" s="705" t="str">
        <f t="shared" si="13"/>
        <v>Covered</v>
      </c>
      <c r="CB228" s="715"/>
      <c r="CC228" s="765"/>
      <c r="CD228" s="766"/>
      <c r="CE228" s="766"/>
      <c r="CF228" s="763"/>
      <c r="CG228" s="766"/>
      <c r="CH228" s="767"/>
      <c r="CI228" s="767"/>
      <c r="CJ228" s="768"/>
      <c r="CK228" s="768"/>
      <c r="CL228" s="768"/>
      <c r="CM228" s="768"/>
      <c r="CN228" s="768"/>
      <c r="CO228" s="768"/>
      <c r="CP228" s="768"/>
      <c r="CQ228" s="768"/>
      <c r="CR228" s="768"/>
    </row>
    <row r="229" spans="1:96" s="764" customFormat="1">
      <c r="A229" s="774" t="s">
        <v>3199</v>
      </c>
      <c r="B229" s="703" t="s">
        <v>3232</v>
      </c>
      <c r="C229" s="704" t="s">
        <v>3232</v>
      </c>
      <c r="D229" s="704" t="s">
        <v>339</v>
      </c>
      <c r="E229" s="704" t="s">
        <v>36</v>
      </c>
      <c r="F229" s="704" t="s">
        <v>174</v>
      </c>
      <c r="G229" s="705" t="str">
        <f>VLOOKUP(WWWW[[#This Row],[Village  Name]],SiteDB6[[Site Name]:[Location Type]],8,FALSE)</f>
        <v>Village</v>
      </c>
      <c r="H229" s="704" t="s">
        <v>3260</v>
      </c>
      <c r="I229" s="706">
        <v>14</v>
      </c>
      <c r="J229" s="706">
        <v>80</v>
      </c>
      <c r="K229" s="707">
        <v>43831</v>
      </c>
      <c r="L229" s="708">
        <v>44926</v>
      </c>
      <c r="M229" s="706"/>
      <c r="N229" s="706"/>
      <c r="O229" s="773"/>
      <c r="P229" s="706"/>
      <c r="Q229" s="706"/>
      <c r="R229" s="706"/>
      <c r="S229" s="706"/>
      <c r="T229" s="706"/>
      <c r="U229" s="709"/>
      <c r="V229" s="706"/>
      <c r="W229" s="706"/>
      <c r="X229" s="706"/>
      <c r="Y229" s="706">
        <v>1</v>
      </c>
      <c r="Z229" s="706"/>
      <c r="AA229" s="706"/>
      <c r="AB229" s="706"/>
      <c r="AC229" s="709"/>
      <c r="AD229" s="706"/>
      <c r="AE229" s="706"/>
      <c r="AF229" s="706"/>
      <c r="AG229" s="706"/>
      <c r="AH229" s="706"/>
      <c r="AI229" s="706"/>
      <c r="AJ229" s="773"/>
      <c r="AK229" s="706"/>
      <c r="AL229" s="773"/>
      <c r="AM229" s="773"/>
      <c r="AN229" s="709"/>
      <c r="AO229" s="769"/>
      <c r="AP229" s="769"/>
      <c r="AQ229" s="773"/>
      <c r="AR229" s="773"/>
      <c r="AS229" s="773"/>
      <c r="AT229"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29" s="711">
        <f>WWWW[[#This Row],[%Equitable and continuous access to sufficient quantity of safe drinking water]]*WWWW[[#This Row],[Total PoP ]]</f>
        <v>0</v>
      </c>
      <c r="AV229"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29" s="711">
        <f>WWWW[[#This Row],[% Access to unimproved water points]]*WWWW[[#This Row],[Total PoP ]]</f>
        <v>0</v>
      </c>
      <c r="AX229"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29"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29" s="711">
        <f>WWWW[[#This Row],[HRP1]]/250</f>
        <v>0</v>
      </c>
      <c r="BA229" s="713">
        <f>1-WWWW[[#This Row],[% Equitable and continuous access to sufficient quantity of domestic water]]</f>
        <v>1</v>
      </c>
      <c r="BB229" s="711">
        <f>WWWW[[#This Row],[%equitable and continuous access to sufficient quantity of safe drinking and domestic water''s GAP]]*WWWW[[#This Row],[Total PoP ]]</f>
        <v>80</v>
      </c>
      <c r="BC229" s="714">
        <f>IF(WWWW[[#This Row],[Total required water points]]-WWWW[[#This Row],['#Water points coverage]]&lt;0,0,WWWW[[#This Row],[Total required water points]]-WWWW[[#This Row],['#Water points coverage]])</f>
        <v>1</v>
      </c>
      <c r="BD229" s="714">
        <f>ROUND(IF(WWWW[[#This Row],[Total PoP ]]&lt;250,1,WWWW[[#This Row],[Total PoP ]]/250),0)</f>
        <v>1</v>
      </c>
      <c r="BE22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29" s="711">
        <f>WWWW[[#This Row],[% people access to functioning Latrine]]*WWWW[[#This Row],[Total PoP ]]</f>
        <v>0</v>
      </c>
      <c r="BG229" s="714">
        <f>WWWW[[#This Row],['#_of_Functioning_latrines_in_school]]*50</f>
        <v>0</v>
      </c>
      <c r="BH229" s="714">
        <f>ROUND((WWWW[[#This Row],[Total PoP ]]/6),0)</f>
        <v>13</v>
      </c>
      <c r="BI229" s="714">
        <f>IF(WWWW[[#This Row],[Total required Latrines]]-(WWWW[[#This Row],['#_of_sanitary_fly-proof_HH_latrines]])&lt;0,0,WWWW[[#This Row],[Total required Latrines]]-(WWWW[[#This Row],['#_of_sanitary_fly-proof_HH_latrines]]))</f>
        <v>13</v>
      </c>
      <c r="BJ229" s="710">
        <f>1-WWWW[[#This Row],[% people access to functioning Latrine]]</f>
        <v>1</v>
      </c>
      <c r="BK229"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29" s="772">
        <f>IF(WWWW[[#This Row],['#_of_functional_handwashing_facilities_at_HH_level]]*6&gt;WWWW[[#This Row],[Total PoP ]],WWWW[[#This Row],[Total PoP ]],WWWW[[#This Row],['#_of_functional_handwashing_facilities_at_HH_level]]*6)</f>
        <v>0</v>
      </c>
      <c r="BM229" s="714">
        <f>IF(WWWW[[#This Row],['# people reached by regular dedicated hygiene promotion]]&gt;WWWW[[#This Row],['# People received regular supply of hygiene items]],WWWW[[#This Row],['# people reached by regular dedicated hygiene promotion]],WWWW[[#This Row],['# People received regular supply of hygiene items]])</f>
        <v>0</v>
      </c>
      <c r="BN229" s="713">
        <f>IF(WWWW[[#This Row],[HRP3]]/WWWW[[#This Row],[Total PoP ]]&gt;100%,100%,WWWW[[#This Row],[HRP3]]/WWWW[[#This Row],[Total PoP ]])</f>
        <v>0</v>
      </c>
      <c r="BO229" s="710">
        <f>1-WWWW[[#This Row],[Hygiene Coverage%]]</f>
        <v>1</v>
      </c>
      <c r="BP229" s="712">
        <f>WWWW[[#This Row],['# people reached by regular dedicated hygiene promotion]]/WWWW[[#This Row],[Total PoP ]]</f>
        <v>0</v>
      </c>
      <c r="BQ22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29" s="770">
        <f>WWWW[[#This Row],['#_of_affected_women_and_girls_receiving_a_sufficient_quantity_of_sanitary_pads]]</f>
        <v>0</v>
      </c>
      <c r="BS229" s="773">
        <f>IF(WWWW[[#This Row],['# People with access to soap]]&gt;WWWW[[#This Row],['# People with access to Sanity Pads]],WWWW[[#This Row],['# People with access to soap]],WWWW[[#This Row],['# People with access to Sanity Pads]])</f>
        <v>0</v>
      </c>
      <c r="BT229" s="772" t="str">
        <f>IF(OR(WWWW[[#This Row],['#of students in school]]="",WWWW[[#This Row],['#of students in school]]=0),"No","Yes")</f>
        <v>No</v>
      </c>
      <c r="BU229" s="705" t="str">
        <f>VLOOKUP(WWWW[[#This Row],[Village  Name]],SiteDB6[[Site Name]:[Location Type 1]],9,FALSE)</f>
        <v>Village</v>
      </c>
      <c r="BV229" s="705" t="str">
        <f>VLOOKUP(WWWW[[#This Row],[Village  Name]],SiteDB6[[Site Name]:[Type of Accommodation]],10,FALSE)</f>
        <v>Village</v>
      </c>
      <c r="BW229" s="705">
        <f>VLOOKUP(WWWW[[#This Row],[Village  Name]],SiteDB6[[Site Name]:[Ethnic or GCA/NGCA]],11,FALSE)</f>
        <v>0</v>
      </c>
      <c r="BX229" s="705">
        <f>VLOOKUP(WWWW[[#This Row],[Village  Name]],SiteDB6[[Site Name]:[Lat]],12,FALSE)</f>
        <v>0</v>
      </c>
      <c r="BY229" s="705">
        <f>VLOOKUP(WWWW[[#This Row],[Village  Name]],SiteDB6[[Site Name]:[Long]],13,FALSE)</f>
        <v>0</v>
      </c>
      <c r="BZ229" s="705">
        <f>VLOOKUP(WWWW[[#This Row],[Village  Name]],SiteDB6[[Site Name]:[Pcode]],3,FALSE)</f>
        <v>0</v>
      </c>
      <c r="CA229" s="705" t="str">
        <f t="shared" si="13"/>
        <v>Covered</v>
      </c>
      <c r="CB229" s="715"/>
      <c r="CC229" s="765"/>
      <c r="CD229" s="766"/>
      <c r="CE229" s="766"/>
      <c r="CF229" s="763"/>
      <c r="CG229" s="766"/>
      <c r="CH229" s="767"/>
      <c r="CI229" s="767"/>
      <c r="CJ229" s="768"/>
      <c r="CK229" s="768"/>
      <c r="CL229" s="768"/>
      <c r="CM229" s="768"/>
      <c r="CN229" s="768"/>
      <c r="CO229" s="768"/>
      <c r="CP229" s="768"/>
      <c r="CQ229" s="768"/>
      <c r="CR229" s="768"/>
    </row>
    <row r="230" spans="1:96" s="764" customFormat="1">
      <c r="A230" s="774" t="s">
        <v>3199</v>
      </c>
      <c r="B230" s="703" t="s">
        <v>3232</v>
      </c>
      <c r="C230" s="704" t="s">
        <v>3232</v>
      </c>
      <c r="D230" s="704" t="s">
        <v>3261</v>
      </c>
      <c r="E230" s="704" t="s">
        <v>698</v>
      </c>
      <c r="F230" s="704" t="s">
        <v>717</v>
      </c>
      <c r="G230" s="705" t="s">
        <v>794</v>
      </c>
      <c r="H230" s="704" t="s">
        <v>3262</v>
      </c>
      <c r="I230" s="706">
        <v>22</v>
      </c>
      <c r="J230" s="706">
        <v>170</v>
      </c>
      <c r="K230" s="707">
        <v>43282</v>
      </c>
      <c r="L230" s="708">
        <v>44012</v>
      </c>
      <c r="M230" s="706">
        <v>0</v>
      </c>
      <c r="N230" s="706">
        <v>0</v>
      </c>
      <c r="O230" s="773">
        <v>1</v>
      </c>
      <c r="P230" s="706"/>
      <c r="Q230" s="706"/>
      <c r="R230" s="706"/>
      <c r="S230" s="706"/>
      <c r="T230" s="706"/>
      <c r="U230" s="709"/>
      <c r="V230" s="706">
        <v>15</v>
      </c>
      <c r="W230" s="706"/>
      <c r="X230" s="706"/>
      <c r="Y230" s="706">
        <v>0</v>
      </c>
      <c r="Z230" s="706">
        <v>0</v>
      </c>
      <c r="AA230" s="706"/>
      <c r="AB230" s="706"/>
      <c r="AC230" s="709"/>
      <c r="AD230" s="706">
        <v>0</v>
      </c>
      <c r="AE230" s="706">
        <v>0</v>
      </c>
      <c r="AF230" s="706">
        <v>0</v>
      </c>
      <c r="AG230" s="706">
        <v>0</v>
      </c>
      <c r="AH230" s="706"/>
      <c r="AI230" s="706"/>
      <c r="AJ230" s="773">
        <v>10</v>
      </c>
      <c r="AK230" s="706"/>
      <c r="AL230" s="773">
        <v>11</v>
      </c>
      <c r="AM230" s="773"/>
      <c r="AN230" s="709"/>
      <c r="AO230" s="769"/>
      <c r="AP230" s="769"/>
      <c r="AQ230" s="773"/>
      <c r="AR230" s="773"/>
      <c r="AS230" s="773"/>
      <c r="AT230"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30" s="711">
        <f>WWWW[[#This Row],[%Equitable and continuous access to sufficient quantity of safe drinking water]]*WWWW[[#This Row],[Total PoP ]]</f>
        <v>170</v>
      </c>
      <c r="AV230"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30" s="711">
        <f>WWWW[[#This Row],[% Access to unimproved water points]]*WWWW[[#This Row],[Total PoP ]]</f>
        <v>0</v>
      </c>
      <c r="AX230"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30"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170</v>
      </c>
      <c r="AZ230" s="711">
        <f>WWWW[[#This Row],[HRP1]]/250</f>
        <v>0.68</v>
      </c>
      <c r="BA230" s="713">
        <f>1-WWWW[[#This Row],[% Equitable and continuous access to sufficient quantity of domestic water]]</f>
        <v>0</v>
      </c>
      <c r="BB230" s="711">
        <f>WWWW[[#This Row],[%equitable and continuous access to sufficient quantity of safe drinking and domestic water''s GAP]]*WWWW[[#This Row],[Total PoP ]]</f>
        <v>0</v>
      </c>
      <c r="BC230" s="714">
        <f>IF(WWWW[[#This Row],[Total required water points]]-WWWW[[#This Row],['#Water points coverage]]&lt;0,0,WWWW[[#This Row],[Total required water points]]-WWWW[[#This Row],['#Water points coverage]])</f>
        <v>0.31999999999999995</v>
      </c>
      <c r="BD230" s="714">
        <f>ROUND(IF(WWWW[[#This Row],[Total PoP ]]&lt;250,1,WWWW[[#This Row],[Total PoP ]]/250),0)</f>
        <v>1</v>
      </c>
      <c r="BE23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0.52941176470588236</v>
      </c>
      <c r="BF230" s="711">
        <f>WWWW[[#This Row],[% people access to functioning Latrine]]*WWWW[[#This Row],[Total PoP ]]</f>
        <v>90</v>
      </c>
      <c r="BG230" s="714">
        <f>WWWW[[#This Row],['#_of_Functioning_latrines_in_school]]*50</f>
        <v>0</v>
      </c>
      <c r="BH230" s="714">
        <f>ROUND((WWWW[[#This Row],[Total PoP ]]/6),0)</f>
        <v>28</v>
      </c>
      <c r="BI230" s="714">
        <f>IF(WWWW[[#This Row],[Total required Latrines]]-(WWWW[[#This Row],['#_of_sanitary_fly-proof_HH_latrines]])&lt;0,0,WWWW[[#This Row],[Total required Latrines]]-(WWWW[[#This Row],['#_of_sanitary_fly-proof_HH_latrines]]))</f>
        <v>13</v>
      </c>
      <c r="BJ230" s="710">
        <f>1-WWWW[[#This Row],[% people access to functioning Latrine]]</f>
        <v>0.47058823529411764</v>
      </c>
      <c r="BK230"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30" s="772">
        <f>IF(WWWW[[#This Row],['#_of_functional_handwashing_facilities_at_HH_level]]*6&gt;WWWW[[#This Row],[Total PoP ]],WWWW[[#This Row],[Total PoP ]],WWWW[[#This Row],['#_of_functional_handwashing_facilities_at_HH_level]]*6)</f>
        <v>60</v>
      </c>
      <c r="BM230" s="714">
        <f>IF(WWWW[[#This Row],['# people reached by regular dedicated hygiene promotion]]&gt;WWWW[[#This Row],['# People received regular supply of hygiene items]],WWWW[[#This Row],['# people reached by regular dedicated hygiene promotion]],WWWW[[#This Row],['# People received regular supply of hygiene items]])</f>
        <v>66</v>
      </c>
      <c r="BN230" s="713">
        <f>IF(WWWW[[#This Row],[HRP3]]/WWWW[[#This Row],[Total PoP ]]&gt;100%,100%,WWWW[[#This Row],[HRP3]]/WWWW[[#This Row],[Total PoP ]])</f>
        <v>0.38823529411764707</v>
      </c>
      <c r="BO230" s="710">
        <f>1-WWWW[[#This Row],[Hygiene Coverage%]]</f>
        <v>0.61176470588235299</v>
      </c>
      <c r="BP230" s="712">
        <f>WWWW[[#This Row],['# people reached by regular dedicated hygiene promotion]]/WWWW[[#This Row],[Total PoP ]]</f>
        <v>0</v>
      </c>
      <c r="BQ23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66</v>
      </c>
      <c r="BR230" s="770">
        <f>WWWW[[#This Row],['#_of_affected_women_and_girls_receiving_a_sufficient_quantity_of_sanitary_pads]]</f>
        <v>0</v>
      </c>
      <c r="BS230" s="773">
        <f>IF(WWWW[[#This Row],['# People with access to soap]]&gt;WWWW[[#This Row],['# People with access to Sanity Pads]],WWWW[[#This Row],['# People with access to soap]],WWWW[[#This Row],['# People with access to Sanity Pads]])</f>
        <v>66</v>
      </c>
      <c r="BT230" s="772" t="str">
        <f>IF(OR(WWWW[[#This Row],['#of students in school]]="",WWWW[[#This Row],['#of students in school]]=0),"No","Yes")</f>
        <v>No</v>
      </c>
      <c r="BU230" s="705" t="str">
        <f>VLOOKUP(WWWW[[#This Row],[Village  Name]],SiteDB6[[Site Name]:[Location Type 1]],9,FALSE)</f>
        <v>Village</v>
      </c>
      <c r="BV230" s="705" t="str">
        <f>VLOOKUP(WWWW[[#This Row],[Village  Name]],SiteDB6[[Site Name]:[Type of Accommodation]],10,FALSE)</f>
        <v>Village</v>
      </c>
      <c r="BW230" s="705">
        <f>VLOOKUP(WWWW[[#This Row],[Village  Name]],SiteDB6[[Site Name]:[Ethnic or GCA/NGCA]],11,FALSE)</f>
        <v>0</v>
      </c>
      <c r="BX230" s="705">
        <f>VLOOKUP(WWWW[[#This Row],[Village  Name]],SiteDB6[[Site Name]:[Lat]],12,FALSE)</f>
        <v>0</v>
      </c>
      <c r="BY230" s="705">
        <f>VLOOKUP(WWWW[[#This Row],[Village  Name]],SiteDB6[[Site Name]:[Long]],13,FALSE)</f>
        <v>0</v>
      </c>
      <c r="BZ230" s="705">
        <f>VLOOKUP(WWWW[[#This Row],[Village  Name]],SiteDB6[[Site Name]:[Pcode]],3,FALSE)</f>
        <v>0</v>
      </c>
      <c r="CA230" s="705" t="str">
        <f t="shared" ref="CA230:CA234" si="14">IF(C230="none","Notcovered","Covered")</f>
        <v>Covered</v>
      </c>
      <c r="CB230" s="715"/>
      <c r="CC230" s="765"/>
      <c r="CD230" s="766"/>
      <c r="CE230" s="766"/>
      <c r="CF230" s="763"/>
      <c r="CG230" s="766"/>
      <c r="CH230" s="767"/>
      <c r="CI230" s="767"/>
      <c r="CJ230" s="768"/>
      <c r="CK230" s="768"/>
      <c r="CL230" s="768"/>
      <c r="CM230" s="768"/>
      <c r="CN230" s="768"/>
      <c r="CO230" s="768"/>
      <c r="CP230" s="768"/>
      <c r="CQ230" s="768"/>
      <c r="CR230" s="768"/>
    </row>
    <row r="231" spans="1:96" s="764" customFormat="1">
      <c r="A231" s="774" t="s">
        <v>3199</v>
      </c>
      <c r="B231" s="703" t="s">
        <v>3232</v>
      </c>
      <c r="C231" s="704" t="s">
        <v>3232</v>
      </c>
      <c r="D231" s="704" t="s">
        <v>3261</v>
      </c>
      <c r="E231" s="704" t="s">
        <v>698</v>
      </c>
      <c r="F231" s="704" t="s">
        <v>717</v>
      </c>
      <c r="G231" s="705" t="s">
        <v>794</v>
      </c>
      <c r="H231" s="704" t="s">
        <v>3263</v>
      </c>
      <c r="I231" s="706">
        <v>8</v>
      </c>
      <c r="J231" s="706">
        <v>31</v>
      </c>
      <c r="K231" s="707">
        <v>43282</v>
      </c>
      <c r="L231" s="708">
        <v>44012</v>
      </c>
      <c r="M231" s="706">
        <v>0</v>
      </c>
      <c r="N231" s="706">
        <v>0</v>
      </c>
      <c r="O231" s="773"/>
      <c r="P231" s="706"/>
      <c r="Q231" s="706"/>
      <c r="R231" s="706"/>
      <c r="S231" s="706"/>
      <c r="T231" s="706"/>
      <c r="U231" s="709"/>
      <c r="V231" s="706">
        <v>3</v>
      </c>
      <c r="W231" s="706"/>
      <c r="X231" s="706"/>
      <c r="Y231" s="706">
        <v>0</v>
      </c>
      <c r="Z231" s="706">
        <v>0</v>
      </c>
      <c r="AA231" s="706"/>
      <c r="AB231" s="706"/>
      <c r="AC231" s="709"/>
      <c r="AD231" s="706">
        <v>0</v>
      </c>
      <c r="AE231" s="706">
        <v>0</v>
      </c>
      <c r="AF231" s="706">
        <v>0</v>
      </c>
      <c r="AG231" s="706">
        <v>0</v>
      </c>
      <c r="AH231" s="706"/>
      <c r="AI231" s="706"/>
      <c r="AJ231" s="773">
        <v>2</v>
      </c>
      <c r="AK231" s="706"/>
      <c r="AL231" s="773">
        <v>3</v>
      </c>
      <c r="AM231" s="773"/>
      <c r="AN231" s="709"/>
      <c r="AO231" s="769"/>
      <c r="AP231" s="769"/>
      <c r="AQ231" s="773"/>
      <c r="AR231" s="773"/>
      <c r="AS231" s="773"/>
      <c r="AT231"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31" s="711">
        <f>WWWW[[#This Row],[%Equitable and continuous access to sufficient quantity of safe drinking water]]*WWWW[[#This Row],[Total PoP ]]</f>
        <v>0</v>
      </c>
      <c r="AV231"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31" s="711">
        <f>WWWW[[#This Row],[% Access to unimproved water points]]*WWWW[[#This Row],[Total PoP ]]</f>
        <v>0</v>
      </c>
      <c r="AX231"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31"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31" s="711">
        <f>WWWW[[#This Row],[HRP1]]/250</f>
        <v>0</v>
      </c>
      <c r="BA231" s="713">
        <f>1-WWWW[[#This Row],[% Equitable and continuous access to sufficient quantity of domestic water]]</f>
        <v>1</v>
      </c>
      <c r="BB231" s="711">
        <f>WWWW[[#This Row],[%equitable and continuous access to sufficient quantity of safe drinking and domestic water''s GAP]]*WWWW[[#This Row],[Total PoP ]]</f>
        <v>31</v>
      </c>
      <c r="BC231" s="714">
        <f>IF(WWWW[[#This Row],[Total required water points]]-WWWW[[#This Row],['#Water points coverage]]&lt;0,0,WWWW[[#This Row],[Total required water points]]-WWWW[[#This Row],['#Water points coverage]])</f>
        <v>1</v>
      </c>
      <c r="BD231" s="714">
        <f>ROUND(IF(WWWW[[#This Row],[Total PoP ]]&lt;250,1,WWWW[[#This Row],[Total PoP ]]/250),0)</f>
        <v>1</v>
      </c>
      <c r="BE23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0.58064516129032262</v>
      </c>
      <c r="BF231" s="711">
        <f>WWWW[[#This Row],[% people access to functioning Latrine]]*WWWW[[#This Row],[Total PoP ]]</f>
        <v>18</v>
      </c>
      <c r="BG231" s="714">
        <f>WWWW[[#This Row],['#_of_Functioning_latrines_in_school]]*50</f>
        <v>0</v>
      </c>
      <c r="BH231" s="714">
        <f>ROUND((WWWW[[#This Row],[Total PoP ]]/6),0)</f>
        <v>5</v>
      </c>
      <c r="BI231" s="714">
        <f>IF(WWWW[[#This Row],[Total required Latrines]]-(WWWW[[#This Row],['#_of_sanitary_fly-proof_HH_latrines]])&lt;0,0,WWWW[[#This Row],[Total required Latrines]]-(WWWW[[#This Row],['#_of_sanitary_fly-proof_HH_latrines]]))</f>
        <v>2</v>
      </c>
      <c r="BJ231" s="710">
        <f>1-WWWW[[#This Row],[% people access to functioning Latrine]]</f>
        <v>0.41935483870967738</v>
      </c>
      <c r="BK231"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31" s="772">
        <f>IF(WWWW[[#This Row],['#_of_functional_handwashing_facilities_at_HH_level]]*6&gt;WWWW[[#This Row],[Total PoP ]],WWWW[[#This Row],[Total PoP ]],WWWW[[#This Row],['#_of_functional_handwashing_facilities_at_HH_level]]*6)</f>
        <v>12</v>
      </c>
      <c r="BM231" s="714">
        <f>IF(WWWW[[#This Row],['# people reached by regular dedicated hygiene promotion]]&gt;WWWW[[#This Row],['# People received regular supply of hygiene items]],WWWW[[#This Row],['# people reached by regular dedicated hygiene promotion]],WWWW[[#This Row],['# People received regular supply of hygiene items]])</f>
        <v>18</v>
      </c>
      <c r="BN231" s="713">
        <f>IF(WWWW[[#This Row],[HRP3]]/WWWW[[#This Row],[Total PoP ]]&gt;100%,100%,WWWW[[#This Row],[HRP3]]/WWWW[[#This Row],[Total PoP ]])</f>
        <v>0.58064516129032262</v>
      </c>
      <c r="BO231" s="710">
        <f>1-WWWW[[#This Row],[Hygiene Coverage%]]</f>
        <v>0.41935483870967738</v>
      </c>
      <c r="BP231" s="712">
        <f>WWWW[[#This Row],['# people reached by regular dedicated hygiene promotion]]/WWWW[[#This Row],[Total PoP ]]</f>
        <v>0</v>
      </c>
      <c r="BQ23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18</v>
      </c>
      <c r="BR231" s="770">
        <f>WWWW[[#This Row],['#_of_affected_women_and_girls_receiving_a_sufficient_quantity_of_sanitary_pads]]</f>
        <v>0</v>
      </c>
      <c r="BS231" s="773">
        <f>IF(WWWW[[#This Row],['# People with access to soap]]&gt;WWWW[[#This Row],['# People with access to Sanity Pads]],WWWW[[#This Row],['# People with access to soap]],WWWW[[#This Row],['# People with access to Sanity Pads]])</f>
        <v>18</v>
      </c>
      <c r="BT231" s="772" t="str">
        <f>IF(OR(WWWW[[#This Row],['#of students in school]]="",WWWW[[#This Row],['#of students in school]]=0),"No","Yes")</f>
        <v>No</v>
      </c>
      <c r="BU231" s="705" t="str">
        <f>VLOOKUP(WWWW[[#This Row],[Village  Name]],SiteDB6[[Site Name]:[Location Type 1]],9,FALSE)</f>
        <v>Village</v>
      </c>
      <c r="BV231" s="705" t="str">
        <f>VLOOKUP(WWWW[[#This Row],[Village  Name]],SiteDB6[[Site Name]:[Type of Accommodation]],10,FALSE)</f>
        <v>Village</v>
      </c>
      <c r="BW231" s="705">
        <f>VLOOKUP(WWWW[[#This Row],[Village  Name]],SiteDB6[[Site Name]:[Ethnic or GCA/NGCA]],11,FALSE)</f>
        <v>0</v>
      </c>
      <c r="BX231" s="705">
        <f>VLOOKUP(WWWW[[#This Row],[Village  Name]],SiteDB6[[Site Name]:[Lat]],12,FALSE)</f>
        <v>0</v>
      </c>
      <c r="BY231" s="705">
        <f>VLOOKUP(WWWW[[#This Row],[Village  Name]],SiteDB6[[Site Name]:[Long]],13,FALSE)</f>
        <v>0</v>
      </c>
      <c r="BZ231" s="705">
        <f>VLOOKUP(WWWW[[#This Row],[Village  Name]],SiteDB6[[Site Name]:[Pcode]],3,FALSE)</f>
        <v>0</v>
      </c>
      <c r="CA231" s="705" t="str">
        <f t="shared" si="14"/>
        <v>Covered</v>
      </c>
      <c r="CB231" s="715"/>
      <c r="CC231" s="765"/>
      <c r="CD231" s="766"/>
      <c r="CE231" s="766"/>
      <c r="CF231" s="763"/>
      <c r="CG231" s="766"/>
      <c r="CH231" s="767"/>
      <c r="CI231" s="767"/>
      <c r="CJ231" s="768"/>
      <c r="CK231" s="768"/>
      <c r="CL231" s="768"/>
      <c r="CM231" s="768"/>
      <c r="CN231" s="768"/>
      <c r="CO231" s="768"/>
      <c r="CP231" s="768"/>
      <c r="CQ231" s="768"/>
      <c r="CR231" s="768"/>
    </row>
    <row r="232" spans="1:96" s="764" customFormat="1">
      <c r="A232" s="774" t="s">
        <v>3199</v>
      </c>
      <c r="B232" s="703" t="s">
        <v>3232</v>
      </c>
      <c r="C232" s="704" t="s">
        <v>3232</v>
      </c>
      <c r="D232" s="704" t="s">
        <v>3261</v>
      </c>
      <c r="E232" s="704" t="s">
        <v>698</v>
      </c>
      <c r="F232" s="704" t="s">
        <v>717</v>
      </c>
      <c r="G232" s="705" t="s">
        <v>794</v>
      </c>
      <c r="H232" s="704" t="s">
        <v>3264</v>
      </c>
      <c r="I232" s="706">
        <v>38</v>
      </c>
      <c r="J232" s="706">
        <v>212</v>
      </c>
      <c r="K232" s="707">
        <v>43282</v>
      </c>
      <c r="L232" s="708">
        <v>44012</v>
      </c>
      <c r="M232" s="706">
        <v>0</v>
      </c>
      <c r="N232" s="706">
        <v>0</v>
      </c>
      <c r="O232" s="773"/>
      <c r="P232" s="706"/>
      <c r="Q232" s="706"/>
      <c r="R232" s="706"/>
      <c r="S232" s="706"/>
      <c r="T232" s="706"/>
      <c r="U232" s="709"/>
      <c r="V232" s="706">
        <v>38</v>
      </c>
      <c r="W232" s="706"/>
      <c r="X232" s="706"/>
      <c r="Y232" s="706">
        <v>1</v>
      </c>
      <c r="Z232" s="706">
        <v>0</v>
      </c>
      <c r="AA232" s="706"/>
      <c r="AB232" s="706"/>
      <c r="AC232" s="709"/>
      <c r="AD232" s="706">
        <v>0</v>
      </c>
      <c r="AE232" s="706">
        <v>0</v>
      </c>
      <c r="AF232" s="706">
        <v>0</v>
      </c>
      <c r="AG232" s="706">
        <v>0</v>
      </c>
      <c r="AH232" s="706"/>
      <c r="AI232" s="706"/>
      <c r="AJ232" s="773">
        <v>20</v>
      </c>
      <c r="AK232" s="706"/>
      <c r="AL232" s="773">
        <v>24</v>
      </c>
      <c r="AM232" s="773"/>
      <c r="AN232" s="709"/>
      <c r="AO232" s="769"/>
      <c r="AP232" s="769"/>
      <c r="AQ232" s="773"/>
      <c r="AR232" s="773"/>
      <c r="AS232" s="773"/>
      <c r="AT232"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32" s="711">
        <f>WWWW[[#This Row],[%Equitable and continuous access to sufficient quantity of safe drinking water]]*WWWW[[#This Row],[Total PoP ]]</f>
        <v>0</v>
      </c>
      <c r="AV232"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32" s="711">
        <f>WWWW[[#This Row],[% Access to unimproved water points]]*WWWW[[#This Row],[Total PoP ]]</f>
        <v>0</v>
      </c>
      <c r="AX232"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32"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32" s="711">
        <f>WWWW[[#This Row],[HRP1]]/250</f>
        <v>0</v>
      </c>
      <c r="BA232" s="713">
        <f>1-WWWW[[#This Row],[% Equitable and continuous access to sufficient quantity of domestic water]]</f>
        <v>1</v>
      </c>
      <c r="BB232" s="711">
        <f>WWWW[[#This Row],[%equitable and continuous access to sufficient quantity of safe drinking and domestic water''s GAP]]*WWWW[[#This Row],[Total PoP ]]</f>
        <v>212</v>
      </c>
      <c r="BC232" s="714">
        <f>IF(WWWW[[#This Row],[Total required water points]]-WWWW[[#This Row],['#Water points coverage]]&lt;0,0,WWWW[[#This Row],[Total required water points]]-WWWW[[#This Row],['#Water points coverage]])</f>
        <v>1</v>
      </c>
      <c r="BD232" s="714">
        <f>ROUND(IF(WWWW[[#This Row],[Total PoP ]]&lt;250,1,WWWW[[#This Row],[Total PoP ]]/250),0)</f>
        <v>1</v>
      </c>
      <c r="BE23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32" s="711">
        <f>WWWW[[#This Row],[% people access to functioning Latrine]]*WWWW[[#This Row],[Total PoP ]]</f>
        <v>212</v>
      </c>
      <c r="BG232" s="714">
        <f>WWWW[[#This Row],['#_of_Functioning_latrines_in_school]]*50</f>
        <v>0</v>
      </c>
      <c r="BH232" s="714">
        <f>ROUND((WWWW[[#This Row],[Total PoP ]]/6),0)</f>
        <v>35</v>
      </c>
      <c r="BI232" s="714">
        <f>IF(WWWW[[#This Row],[Total required Latrines]]-(WWWW[[#This Row],['#_of_sanitary_fly-proof_HH_latrines]])&lt;0,0,WWWW[[#This Row],[Total required Latrines]]-(WWWW[[#This Row],['#_of_sanitary_fly-proof_HH_latrines]]))</f>
        <v>0</v>
      </c>
      <c r="BJ232" s="710">
        <f>1-WWWW[[#This Row],[% people access to functioning Latrine]]</f>
        <v>0</v>
      </c>
      <c r="BK232"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32" s="772">
        <f>IF(WWWW[[#This Row],['#_of_functional_handwashing_facilities_at_HH_level]]*6&gt;WWWW[[#This Row],[Total PoP ]],WWWW[[#This Row],[Total PoP ]],WWWW[[#This Row],['#_of_functional_handwashing_facilities_at_HH_level]]*6)</f>
        <v>120</v>
      </c>
      <c r="BM232" s="714">
        <f>IF(WWWW[[#This Row],['# people reached by regular dedicated hygiene promotion]]&gt;WWWW[[#This Row],['# People received regular supply of hygiene items]],WWWW[[#This Row],['# people reached by regular dedicated hygiene promotion]],WWWW[[#This Row],['# People received regular supply of hygiene items]])</f>
        <v>144</v>
      </c>
      <c r="BN232" s="713">
        <f>IF(WWWW[[#This Row],[HRP3]]/WWWW[[#This Row],[Total PoP ]]&gt;100%,100%,WWWW[[#This Row],[HRP3]]/WWWW[[#This Row],[Total PoP ]])</f>
        <v>0.67924528301886788</v>
      </c>
      <c r="BO232" s="710">
        <f>1-WWWW[[#This Row],[Hygiene Coverage%]]</f>
        <v>0.32075471698113212</v>
      </c>
      <c r="BP232" s="712">
        <f>WWWW[[#This Row],['# people reached by regular dedicated hygiene promotion]]/WWWW[[#This Row],[Total PoP ]]</f>
        <v>0</v>
      </c>
      <c r="BQ23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144</v>
      </c>
      <c r="BR232" s="770">
        <f>WWWW[[#This Row],['#_of_affected_women_and_girls_receiving_a_sufficient_quantity_of_sanitary_pads]]</f>
        <v>0</v>
      </c>
      <c r="BS232" s="773">
        <f>IF(WWWW[[#This Row],['# People with access to soap]]&gt;WWWW[[#This Row],['# People with access to Sanity Pads]],WWWW[[#This Row],['# People with access to soap]],WWWW[[#This Row],['# People with access to Sanity Pads]])</f>
        <v>144</v>
      </c>
      <c r="BT232" s="772" t="str">
        <f>IF(OR(WWWW[[#This Row],['#of students in school]]="",WWWW[[#This Row],['#of students in school]]=0),"No","Yes")</f>
        <v>No</v>
      </c>
      <c r="BU232" s="705" t="str">
        <f>VLOOKUP(WWWW[[#This Row],[Village  Name]],SiteDB6[[Site Name]:[Location Type 1]],9,FALSE)</f>
        <v>Village</v>
      </c>
      <c r="BV232" s="705" t="str">
        <f>VLOOKUP(WWWW[[#This Row],[Village  Name]],SiteDB6[[Site Name]:[Type of Accommodation]],10,FALSE)</f>
        <v>Village</v>
      </c>
      <c r="BW232" s="705">
        <f>VLOOKUP(WWWW[[#This Row],[Village  Name]],SiteDB6[[Site Name]:[Ethnic or GCA/NGCA]],11,FALSE)</f>
        <v>0</v>
      </c>
      <c r="BX232" s="705">
        <f>VLOOKUP(WWWW[[#This Row],[Village  Name]],SiteDB6[[Site Name]:[Lat]],12,FALSE)</f>
        <v>0</v>
      </c>
      <c r="BY232" s="705">
        <f>VLOOKUP(WWWW[[#This Row],[Village  Name]],SiteDB6[[Site Name]:[Long]],13,FALSE)</f>
        <v>0</v>
      </c>
      <c r="BZ232" s="705">
        <f>VLOOKUP(WWWW[[#This Row],[Village  Name]],SiteDB6[[Site Name]:[Pcode]],3,FALSE)</f>
        <v>0</v>
      </c>
      <c r="CA232" s="705" t="str">
        <f t="shared" si="14"/>
        <v>Covered</v>
      </c>
      <c r="CB232" s="715"/>
      <c r="CC232" s="765"/>
      <c r="CD232" s="766"/>
      <c r="CE232" s="766"/>
      <c r="CF232" s="763"/>
      <c r="CG232" s="766"/>
      <c r="CH232" s="767"/>
      <c r="CI232" s="767"/>
      <c r="CJ232" s="768"/>
      <c r="CK232" s="768"/>
      <c r="CL232" s="768"/>
      <c r="CM232" s="768"/>
      <c r="CN232" s="768"/>
      <c r="CO232" s="768"/>
      <c r="CP232" s="768"/>
      <c r="CQ232" s="768"/>
      <c r="CR232" s="768"/>
    </row>
    <row r="233" spans="1:96" s="764" customFormat="1">
      <c r="A233" s="774" t="s">
        <v>3199</v>
      </c>
      <c r="B233" s="703" t="s">
        <v>3232</v>
      </c>
      <c r="C233" s="704" t="s">
        <v>3232</v>
      </c>
      <c r="D233" s="704" t="s">
        <v>3261</v>
      </c>
      <c r="E233" s="704" t="s">
        <v>698</v>
      </c>
      <c r="F233" s="704" t="s">
        <v>1253</v>
      </c>
      <c r="G233" s="705" t="s">
        <v>794</v>
      </c>
      <c r="H233" s="704" t="s">
        <v>3265</v>
      </c>
      <c r="I233" s="706">
        <v>61</v>
      </c>
      <c r="J233" s="706">
        <v>311</v>
      </c>
      <c r="K233" s="707">
        <v>43282</v>
      </c>
      <c r="L233" s="708">
        <v>44012</v>
      </c>
      <c r="M233" s="706">
        <v>0</v>
      </c>
      <c r="N233" s="706">
        <v>0</v>
      </c>
      <c r="O233" s="773"/>
      <c r="P233" s="706"/>
      <c r="Q233" s="706"/>
      <c r="R233" s="706"/>
      <c r="S233" s="706"/>
      <c r="T233" s="706"/>
      <c r="U233" s="709"/>
      <c r="V233" s="706">
        <v>61</v>
      </c>
      <c r="W233" s="706"/>
      <c r="X233" s="706"/>
      <c r="Y233" s="706">
        <v>0</v>
      </c>
      <c r="Z233" s="706">
        <v>0</v>
      </c>
      <c r="AA233" s="706"/>
      <c r="AB233" s="706"/>
      <c r="AC233" s="709"/>
      <c r="AD233" s="706">
        <v>0</v>
      </c>
      <c r="AE233" s="706">
        <v>0</v>
      </c>
      <c r="AF233" s="706">
        <v>0</v>
      </c>
      <c r="AG233" s="706">
        <v>0</v>
      </c>
      <c r="AH233" s="706"/>
      <c r="AI233" s="706"/>
      <c r="AJ233" s="773">
        <v>35</v>
      </c>
      <c r="AK233" s="706"/>
      <c r="AL233" s="773">
        <v>31</v>
      </c>
      <c r="AM233" s="773"/>
      <c r="AN233" s="709"/>
      <c r="AO233" s="769"/>
      <c r="AP233" s="769"/>
      <c r="AQ233" s="773"/>
      <c r="AR233" s="773"/>
      <c r="AS233" s="773"/>
      <c r="AT233"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33" s="711">
        <f>WWWW[[#This Row],[%Equitable and continuous access to sufficient quantity of safe drinking water]]*WWWW[[#This Row],[Total PoP ]]</f>
        <v>0</v>
      </c>
      <c r="AV233"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33" s="711">
        <f>WWWW[[#This Row],[% Access to unimproved water points]]*WWWW[[#This Row],[Total PoP ]]</f>
        <v>0</v>
      </c>
      <c r="AX233"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33"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33" s="711">
        <f>WWWW[[#This Row],[HRP1]]/250</f>
        <v>0</v>
      </c>
      <c r="BA233" s="713">
        <f>1-WWWW[[#This Row],[% Equitable and continuous access to sufficient quantity of domestic water]]</f>
        <v>1</v>
      </c>
      <c r="BB233" s="711">
        <f>WWWW[[#This Row],[%equitable and continuous access to sufficient quantity of safe drinking and domestic water''s GAP]]*WWWW[[#This Row],[Total PoP ]]</f>
        <v>311</v>
      </c>
      <c r="BC233" s="714">
        <f>IF(WWWW[[#This Row],[Total required water points]]-WWWW[[#This Row],['#Water points coverage]]&lt;0,0,WWWW[[#This Row],[Total required water points]]-WWWW[[#This Row],['#Water points coverage]])</f>
        <v>1</v>
      </c>
      <c r="BD233" s="714">
        <f>ROUND(IF(WWWW[[#This Row],[Total PoP ]]&lt;250,1,WWWW[[#This Row],[Total PoP ]]/250),0)</f>
        <v>1</v>
      </c>
      <c r="BE23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33" s="711">
        <f>WWWW[[#This Row],[% people access to functioning Latrine]]*WWWW[[#This Row],[Total PoP ]]</f>
        <v>311</v>
      </c>
      <c r="BG233" s="714">
        <f>WWWW[[#This Row],['#_of_Functioning_latrines_in_school]]*50</f>
        <v>0</v>
      </c>
      <c r="BH233" s="714">
        <f>ROUND((WWWW[[#This Row],[Total PoP ]]/6),0)</f>
        <v>52</v>
      </c>
      <c r="BI233" s="714">
        <f>IF(WWWW[[#This Row],[Total required Latrines]]-(WWWW[[#This Row],['#_of_sanitary_fly-proof_HH_latrines]])&lt;0,0,WWWW[[#This Row],[Total required Latrines]]-(WWWW[[#This Row],['#_of_sanitary_fly-proof_HH_latrines]]))</f>
        <v>0</v>
      </c>
      <c r="BJ233" s="710">
        <f>1-WWWW[[#This Row],[% people access to functioning Latrine]]</f>
        <v>0</v>
      </c>
      <c r="BK233"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33" s="772">
        <f>IF(WWWW[[#This Row],['#_of_functional_handwashing_facilities_at_HH_level]]*6&gt;WWWW[[#This Row],[Total PoP ]],WWWW[[#This Row],[Total PoP ]],WWWW[[#This Row],['#_of_functional_handwashing_facilities_at_HH_level]]*6)</f>
        <v>210</v>
      </c>
      <c r="BM233" s="714">
        <f>IF(WWWW[[#This Row],['# people reached by regular dedicated hygiene promotion]]&gt;WWWW[[#This Row],['# People received regular supply of hygiene items]],WWWW[[#This Row],['# people reached by regular dedicated hygiene promotion]],WWWW[[#This Row],['# People received regular supply of hygiene items]])</f>
        <v>186</v>
      </c>
      <c r="BN233" s="713">
        <f>IF(WWWW[[#This Row],[HRP3]]/WWWW[[#This Row],[Total PoP ]]&gt;100%,100%,WWWW[[#This Row],[HRP3]]/WWWW[[#This Row],[Total PoP ]])</f>
        <v>0.59807073954983925</v>
      </c>
      <c r="BO233" s="710">
        <f>1-WWWW[[#This Row],[Hygiene Coverage%]]</f>
        <v>0.40192926045016075</v>
      </c>
      <c r="BP233" s="712">
        <f>WWWW[[#This Row],['# people reached by regular dedicated hygiene promotion]]/WWWW[[#This Row],[Total PoP ]]</f>
        <v>0</v>
      </c>
      <c r="BQ23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186</v>
      </c>
      <c r="BR233" s="770">
        <f>WWWW[[#This Row],['#_of_affected_women_and_girls_receiving_a_sufficient_quantity_of_sanitary_pads]]</f>
        <v>0</v>
      </c>
      <c r="BS233" s="773">
        <f>IF(WWWW[[#This Row],['# People with access to soap]]&gt;WWWW[[#This Row],['# People with access to Sanity Pads]],WWWW[[#This Row],['# People with access to soap]],WWWW[[#This Row],['# People with access to Sanity Pads]])</f>
        <v>186</v>
      </c>
      <c r="BT233" s="772" t="str">
        <f>IF(OR(WWWW[[#This Row],['#of students in school]]="",WWWW[[#This Row],['#of students in school]]=0),"No","Yes")</f>
        <v>No</v>
      </c>
      <c r="BU233" s="705" t="str">
        <f>VLOOKUP(WWWW[[#This Row],[Village  Name]],SiteDB6[[Site Name]:[Location Type 1]],9,FALSE)</f>
        <v>Village</v>
      </c>
      <c r="BV233" s="705" t="str">
        <f>VLOOKUP(WWWW[[#This Row],[Village  Name]],SiteDB6[[Site Name]:[Type of Accommodation]],10,FALSE)</f>
        <v>Village</v>
      </c>
      <c r="BW233" s="705">
        <f>VLOOKUP(WWWW[[#This Row],[Village  Name]],SiteDB6[[Site Name]:[Ethnic or GCA/NGCA]],11,FALSE)</f>
        <v>0</v>
      </c>
      <c r="BX233" s="705">
        <f>VLOOKUP(WWWW[[#This Row],[Village  Name]],SiteDB6[[Site Name]:[Lat]],12,FALSE)</f>
        <v>0</v>
      </c>
      <c r="BY233" s="705">
        <f>VLOOKUP(WWWW[[#This Row],[Village  Name]],SiteDB6[[Site Name]:[Long]],13,FALSE)</f>
        <v>0</v>
      </c>
      <c r="BZ233" s="705">
        <f>VLOOKUP(WWWW[[#This Row],[Village  Name]],SiteDB6[[Site Name]:[Pcode]],3,FALSE)</f>
        <v>0</v>
      </c>
      <c r="CA233" s="705" t="str">
        <f t="shared" si="14"/>
        <v>Covered</v>
      </c>
      <c r="CB233" s="715"/>
      <c r="CC233" s="765"/>
      <c r="CD233" s="766"/>
      <c r="CE233" s="766"/>
      <c r="CF233" s="763"/>
      <c r="CG233" s="766"/>
      <c r="CH233" s="767"/>
      <c r="CI233" s="767"/>
      <c r="CJ233" s="768"/>
      <c r="CK233" s="768"/>
      <c r="CL233" s="768"/>
      <c r="CM233" s="768"/>
      <c r="CN233" s="768"/>
      <c r="CO233" s="768"/>
      <c r="CP233" s="768"/>
      <c r="CQ233" s="768"/>
      <c r="CR233" s="768"/>
    </row>
    <row r="234" spans="1:96" s="764" customFormat="1">
      <c r="A234" s="774" t="s">
        <v>3199</v>
      </c>
      <c r="B234" s="703" t="s">
        <v>3232</v>
      </c>
      <c r="C234" s="704" t="s">
        <v>3232</v>
      </c>
      <c r="D234" s="704" t="s">
        <v>3261</v>
      </c>
      <c r="E234" s="704" t="s">
        <v>698</v>
      </c>
      <c r="F234" s="704" t="s">
        <v>1253</v>
      </c>
      <c r="G234" s="705" t="s">
        <v>794</v>
      </c>
      <c r="H234" s="704" t="s">
        <v>3266</v>
      </c>
      <c r="I234" s="706">
        <v>23</v>
      </c>
      <c r="J234" s="706">
        <v>115</v>
      </c>
      <c r="K234" s="707">
        <v>43282</v>
      </c>
      <c r="L234" s="708">
        <v>44012</v>
      </c>
      <c r="M234" s="706">
        <v>0</v>
      </c>
      <c r="N234" s="706">
        <v>0</v>
      </c>
      <c r="O234" s="773"/>
      <c r="P234" s="706"/>
      <c r="Q234" s="706"/>
      <c r="R234" s="706"/>
      <c r="S234" s="706"/>
      <c r="T234" s="706"/>
      <c r="U234" s="709"/>
      <c r="V234" s="706">
        <v>23</v>
      </c>
      <c r="W234" s="706"/>
      <c r="X234" s="706"/>
      <c r="Y234" s="706">
        <v>0</v>
      </c>
      <c r="Z234" s="706">
        <v>0</v>
      </c>
      <c r="AA234" s="706"/>
      <c r="AB234" s="706"/>
      <c r="AC234" s="709"/>
      <c r="AD234" s="706">
        <v>0</v>
      </c>
      <c r="AE234" s="706">
        <v>0</v>
      </c>
      <c r="AF234" s="706">
        <v>0</v>
      </c>
      <c r="AG234" s="706">
        <v>0</v>
      </c>
      <c r="AH234" s="706"/>
      <c r="AI234" s="706"/>
      <c r="AJ234" s="773">
        <v>15</v>
      </c>
      <c r="AK234" s="706"/>
      <c r="AL234" s="773">
        <v>17</v>
      </c>
      <c r="AM234" s="773"/>
      <c r="AN234" s="709"/>
      <c r="AO234" s="769"/>
      <c r="AP234" s="769"/>
      <c r="AQ234" s="773"/>
      <c r="AR234" s="773"/>
      <c r="AS234" s="773"/>
      <c r="AT234"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34" s="711">
        <f>WWWW[[#This Row],[%Equitable and continuous access to sufficient quantity of safe drinking water]]*WWWW[[#This Row],[Total PoP ]]</f>
        <v>0</v>
      </c>
      <c r="AV234"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34" s="711">
        <f>WWWW[[#This Row],[% Access to unimproved water points]]*WWWW[[#This Row],[Total PoP ]]</f>
        <v>0</v>
      </c>
      <c r="AX234"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34"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34" s="711">
        <f>WWWW[[#This Row],[HRP1]]/250</f>
        <v>0</v>
      </c>
      <c r="BA234" s="713">
        <f>1-WWWW[[#This Row],[% Equitable and continuous access to sufficient quantity of domestic water]]</f>
        <v>1</v>
      </c>
      <c r="BB234" s="711">
        <f>WWWW[[#This Row],[%equitable and continuous access to sufficient quantity of safe drinking and domestic water''s GAP]]*WWWW[[#This Row],[Total PoP ]]</f>
        <v>115</v>
      </c>
      <c r="BC234" s="714">
        <f>IF(WWWW[[#This Row],[Total required water points]]-WWWW[[#This Row],['#Water points coverage]]&lt;0,0,WWWW[[#This Row],[Total required water points]]-WWWW[[#This Row],['#Water points coverage]])</f>
        <v>1</v>
      </c>
      <c r="BD234" s="714">
        <f>ROUND(IF(WWWW[[#This Row],[Total PoP ]]&lt;250,1,WWWW[[#This Row],[Total PoP ]]/250),0)</f>
        <v>1</v>
      </c>
      <c r="BE23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34" s="711">
        <f>WWWW[[#This Row],[% people access to functioning Latrine]]*WWWW[[#This Row],[Total PoP ]]</f>
        <v>115</v>
      </c>
      <c r="BG234" s="714">
        <f>WWWW[[#This Row],['#_of_Functioning_latrines_in_school]]*50</f>
        <v>0</v>
      </c>
      <c r="BH234" s="714">
        <f>ROUND((WWWW[[#This Row],[Total PoP ]]/6),0)</f>
        <v>19</v>
      </c>
      <c r="BI234" s="714">
        <f>IF(WWWW[[#This Row],[Total required Latrines]]-(WWWW[[#This Row],['#_of_sanitary_fly-proof_HH_latrines]])&lt;0,0,WWWW[[#This Row],[Total required Latrines]]-(WWWW[[#This Row],['#_of_sanitary_fly-proof_HH_latrines]]))</f>
        <v>0</v>
      </c>
      <c r="BJ234" s="710">
        <f>1-WWWW[[#This Row],[% people access to functioning Latrine]]</f>
        <v>0</v>
      </c>
      <c r="BK234"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34" s="772">
        <f>IF(WWWW[[#This Row],['#_of_functional_handwashing_facilities_at_HH_level]]*6&gt;WWWW[[#This Row],[Total PoP ]],WWWW[[#This Row],[Total PoP ]],WWWW[[#This Row],['#_of_functional_handwashing_facilities_at_HH_level]]*6)</f>
        <v>90</v>
      </c>
      <c r="BM234" s="714">
        <f>IF(WWWW[[#This Row],['# people reached by regular dedicated hygiene promotion]]&gt;WWWW[[#This Row],['# People received regular supply of hygiene items]],WWWW[[#This Row],['# people reached by regular dedicated hygiene promotion]],WWWW[[#This Row],['# People received regular supply of hygiene items]])</f>
        <v>102</v>
      </c>
      <c r="BN234" s="713">
        <f>IF(WWWW[[#This Row],[HRP3]]/WWWW[[#This Row],[Total PoP ]]&gt;100%,100%,WWWW[[#This Row],[HRP3]]/WWWW[[#This Row],[Total PoP ]])</f>
        <v>0.88695652173913042</v>
      </c>
      <c r="BO234" s="710">
        <f>1-WWWW[[#This Row],[Hygiene Coverage%]]</f>
        <v>0.11304347826086958</v>
      </c>
      <c r="BP234" s="712">
        <f>WWWW[[#This Row],['# people reached by regular dedicated hygiene promotion]]/WWWW[[#This Row],[Total PoP ]]</f>
        <v>0</v>
      </c>
      <c r="BQ23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102</v>
      </c>
      <c r="BR234" s="770">
        <f>WWWW[[#This Row],['#_of_affected_women_and_girls_receiving_a_sufficient_quantity_of_sanitary_pads]]</f>
        <v>0</v>
      </c>
      <c r="BS234" s="773">
        <f>IF(WWWW[[#This Row],['# People with access to soap]]&gt;WWWW[[#This Row],['# People with access to Sanity Pads]],WWWW[[#This Row],['# People with access to soap]],WWWW[[#This Row],['# People with access to Sanity Pads]])</f>
        <v>102</v>
      </c>
      <c r="BT234" s="772" t="str">
        <f>IF(OR(WWWW[[#This Row],['#of students in school]]="",WWWW[[#This Row],['#of students in school]]=0),"No","Yes")</f>
        <v>No</v>
      </c>
      <c r="BU234" s="705" t="str">
        <f>VLOOKUP(WWWW[[#This Row],[Village  Name]],SiteDB6[[Site Name]:[Location Type 1]],9,FALSE)</f>
        <v>Village</v>
      </c>
      <c r="BV234" s="705" t="str">
        <f>VLOOKUP(WWWW[[#This Row],[Village  Name]],SiteDB6[[Site Name]:[Type of Accommodation]],10,FALSE)</f>
        <v>Village</v>
      </c>
      <c r="BW234" s="705">
        <f>VLOOKUP(WWWW[[#This Row],[Village  Name]],SiteDB6[[Site Name]:[Ethnic or GCA/NGCA]],11,FALSE)</f>
        <v>0</v>
      </c>
      <c r="BX234" s="705">
        <f>VLOOKUP(WWWW[[#This Row],[Village  Name]],SiteDB6[[Site Name]:[Lat]],12,FALSE)</f>
        <v>0</v>
      </c>
      <c r="BY234" s="705">
        <f>VLOOKUP(WWWW[[#This Row],[Village  Name]],SiteDB6[[Site Name]:[Long]],13,FALSE)</f>
        <v>0</v>
      </c>
      <c r="BZ234" s="705">
        <f>VLOOKUP(WWWW[[#This Row],[Village  Name]],SiteDB6[[Site Name]:[Pcode]],3,FALSE)</f>
        <v>0</v>
      </c>
      <c r="CA234" s="705" t="str">
        <f t="shared" si="14"/>
        <v>Covered</v>
      </c>
      <c r="CB234" s="715"/>
      <c r="CC234" s="765"/>
      <c r="CD234" s="766"/>
      <c r="CE234" s="766"/>
      <c r="CF234" s="763"/>
      <c r="CG234" s="766"/>
      <c r="CH234" s="767"/>
      <c r="CI234" s="767"/>
      <c r="CJ234" s="768"/>
      <c r="CK234" s="768"/>
      <c r="CL234" s="768"/>
      <c r="CM234" s="768"/>
      <c r="CN234" s="768"/>
      <c r="CO234" s="768"/>
      <c r="CP234" s="768"/>
      <c r="CQ234" s="768"/>
      <c r="CR234" s="768"/>
    </row>
    <row r="235" spans="1:96" s="764" customFormat="1">
      <c r="A235" s="774" t="s">
        <v>3199</v>
      </c>
      <c r="B235" s="703" t="s">
        <v>3232</v>
      </c>
      <c r="C235" s="704" t="s">
        <v>3232</v>
      </c>
      <c r="D235" s="704" t="s">
        <v>3261</v>
      </c>
      <c r="E235" s="704" t="s">
        <v>698</v>
      </c>
      <c r="F235" s="704" t="s">
        <v>1253</v>
      </c>
      <c r="G235" s="705" t="s">
        <v>794</v>
      </c>
      <c r="H235" s="704" t="s">
        <v>3267</v>
      </c>
      <c r="I235" s="706">
        <v>47</v>
      </c>
      <c r="J235" s="706">
        <v>260</v>
      </c>
      <c r="K235" s="707">
        <v>43282</v>
      </c>
      <c r="L235" s="708">
        <v>44012</v>
      </c>
      <c r="M235" s="706">
        <v>0</v>
      </c>
      <c r="N235" s="706">
        <v>0</v>
      </c>
      <c r="O235" s="773">
        <v>1</v>
      </c>
      <c r="P235" s="706"/>
      <c r="Q235" s="706"/>
      <c r="R235" s="706"/>
      <c r="S235" s="706"/>
      <c r="T235" s="706"/>
      <c r="U235" s="709"/>
      <c r="V235" s="706">
        <v>30</v>
      </c>
      <c r="W235" s="706"/>
      <c r="X235" s="706"/>
      <c r="Y235" s="706">
        <v>0</v>
      </c>
      <c r="Z235" s="706">
        <v>0</v>
      </c>
      <c r="AA235" s="706"/>
      <c r="AB235" s="706"/>
      <c r="AC235" s="709"/>
      <c r="AD235" s="706">
        <v>0</v>
      </c>
      <c r="AE235" s="706">
        <v>0</v>
      </c>
      <c r="AF235" s="706">
        <v>0</v>
      </c>
      <c r="AG235" s="706">
        <v>0</v>
      </c>
      <c r="AH235" s="706"/>
      <c r="AI235" s="706"/>
      <c r="AJ235" s="773">
        <v>20</v>
      </c>
      <c r="AK235" s="706"/>
      <c r="AL235" s="773">
        <v>19</v>
      </c>
      <c r="AM235" s="773"/>
      <c r="AN235" s="709"/>
      <c r="AO235" s="769"/>
      <c r="AP235" s="769"/>
      <c r="AQ235" s="773"/>
      <c r="AR235" s="773"/>
      <c r="AS235" s="773"/>
      <c r="AT235"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35" s="711">
        <f>WWWW[[#This Row],[%Equitable and continuous access to sufficient quantity of safe drinking water]]*WWWW[[#This Row],[Total PoP ]]</f>
        <v>260</v>
      </c>
      <c r="AV235"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35" s="711">
        <f>WWWW[[#This Row],[% Access to unimproved water points]]*WWWW[[#This Row],[Total PoP ]]</f>
        <v>0</v>
      </c>
      <c r="AX235"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35"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260</v>
      </c>
      <c r="AZ235" s="711">
        <f>WWWW[[#This Row],[HRP1]]/250</f>
        <v>1.04</v>
      </c>
      <c r="BA235" s="713">
        <f>1-WWWW[[#This Row],[% Equitable and continuous access to sufficient quantity of domestic water]]</f>
        <v>0</v>
      </c>
      <c r="BB235" s="711">
        <f>WWWW[[#This Row],[%equitable and continuous access to sufficient quantity of safe drinking and domestic water''s GAP]]*WWWW[[#This Row],[Total PoP ]]</f>
        <v>0</v>
      </c>
      <c r="BC235" s="714">
        <f>IF(WWWW[[#This Row],[Total required water points]]-WWWW[[#This Row],['#Water points coverage]]&lt;0,0,WWWW[[#This Row],[Total required water points]]-WWWW[[#This Row],['#Water points coverage]])</f>
        <v>0</v>
      </c>
      <c r="BD235" s="714">
        <f>ROUND(IF(WWWW[[#This Row],[Total PoP ]]&lt;250,1,WWWW[[#This Row],[Total PoP ]]/250),0)</f>
        <v>1</v>
      </c>
      <c r="BE23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0.69230769230769229</v>
      </c>
      <c r="BF235" s="711">
        <f>WWWW[[#This Row],[% people access to functioning Latrine]]*WWWW[[#This Row],[Total PoP ]]</f>
        <v>180</v>
      </c>
      <c r="BG235" s="714">
        <f>WWWW[[#This Row],['#_of_Functioning_latrines_in_school]]*50</f>
        <v>0</v>
      </c>
      <c r="BH235" s="714">
        <f>ROUND((WWWW[[#This Row],[Total PoP ]]/6),0)</f>
        <v>43</v>
      </c>
      <c r="BI235" s="714">
        <f>IF(WWWW[[#This Row],[Total required Latrines]]-(WWWW[[#This Row],['#_of_sanitary_fly-proof_HH_latrines]])&lt;0,0,WWWW[[#This Row],[Total required Latrines]]-(WWWW[[#This Row],['#_of_sanitary_fly-proof_HH_latrines]]))</f>
        <v>13</v>
      </c>
      <c r="BJ235" s="710">
        <f>1-WWWW[[#This Row],[% people access to functioning Latrine]]</f>
        <v>0.30769230769230771</v>
      </c>
      <c r="BK235"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35" s="772">
        <f>IF(WWWW[[#This Row],['#_of_functional_handwashing_facilities_at_HH_level]]*6&gt;WWWW[[#This Row],[Total PoP ]],WWWW[[#This Row],[Total PoP ]],WWWW[[#This Row],['#_of_functional_handwashing_facilities_at_HH_level]]*6)</f>
        <v>120</v>
      </c>
      <c r="BM235" s="714">
        <f>IF(WWWW[[#This Row],['# people reached by regular dedicated hygiene promotion]]&gt;WWWW[[#This Row],['# People received regular supply of hygiene items]],WWWW[[#This Row],['# people reached by regular dedicated hygiene promotion]],WWWW[[#This Row],['# People received regular supply of hygiene items]])</f>
        <v>114</v>
      </c>
      <c r="BN235" s="713">
        <f>IF(WWWW[[#This Row],[HRP3]]/WWWW[[#This Row],[Total PoP ]]&gt;100%,100%,WWWW[[#This Row],[HRP3]]/WWWW[[#This Row],[Total PoP ]])</f>
        <v>0.43846153846153846</v>
      </c>
      <c r="BO235" s="710">
        <f>1-WWWW[[#This Row],[Hygiene Coverage%]]</f>
        <v>0.56153846153846154</v>
      </c>
      <c r="BP235" s="712">
        <f>WWWW[[#This Row],['# people reached by regular dedicated hygiene promotion]]/WWWW[[#This Row],[Total PoP ]]</f>
        <v>0</v>
      </c>
      <c r="BQ23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114</v>
      </c>
      <c r="BR235" s="770">
        <f>WWWW[[#This Row],['#_of_affected_women_and_girls_receiving_a_sufficient_quantity_of_sanitary_pads]]</f>
        <v>0</v>
      </c>
      <c r="BS235" s="773">
        <f>IF(WWWW[[#This Row],['# People with access to soap]]&gt;WWWW[[#This Row],['# People with access to Sanity Pads]],WWWW[[#This Row],['# People with access to soap]],WWWW[[#This Row],['# People with access to Sanity Pads]])</f>
        <v>114</v>
      </c>
      <c r="BT235" s="772" t="str">
        <f>IF(OR(WWWW[[#This Row],['#of students in school]]="",WWWW[[#This Row],['#of students in school]]=0),"No","Yes")</f>
        <v>No</v>
      </c>
      <c r="BU235" s="705" t="str">
        <f>VLOOKUP(WWWW[[#This Row],[Village  Name]],SiteDB6[[Site Name]:[Location Type 1]],9,FALSE)</f>
        <v>Village</v>
      </c>
      <c r="BV235" s="705" t="str">
        <f>VLOOKUP(WWWW[[#This Row],[Village  Name]],SiteDB6[[Site Name]:[Type of Accommodation]],10,FALSE)</f>
        <v>Village</v>
      </c>
      <c r="BW235" s="705">
        <f>VLOOKUP(WWWW[[#This Row],[Village  Name]],SiteDB6[[Site Name]:[Ethnic or GCA/NGCA]],11,FALSE)</f>
        <v>0</v>
      </c>
      <c r="BX235" s="705">
        <f>VLOOKUP(WWWW[[#This Row],[Village  Name]],SiteDB6[[Site Name]:[Lat]],12,FALSE)</f>
        <v>0</v>
      </c>
      <c r="BY235" s="705">
        <f>VLOOKUP(WWWW[[#This Row],[Village  Name]],SiteDB6[[Site Name]:[Long]],13,FALSE)</f>
        <v>0</v>
      </c>
      <c r="BZ235" s="705">
        <f>VLOOKUP(WWWW[[#This Row],[Village  Name]],SiteDB6[[Site Name]:[Pcode]],3,FALSE)</f>
        <v>0</v>
      </c>
      <c r="CA235" s="705" t="str">
        <f t="shared" ref="CA235:CA238" si="15">IF(C235="none","Notcovered","Covered")</f>
        <v>Covered</v>
      </c>
      <c r="CB235" s="715"/>
      <c r="CC235" s="765"/>
      <c r="CD235" s="766"/>
      <c r="CE235" s="766"/>
      <c r="CF235" s="763"/>
      <c r="CG235" s="766"/>
      <c r="CH235" s="767"/>
      <c r="CI235" s="767"/>
      <c r="CJ235" s="768"/>
      <c r="CK235" s="768"/>
      <c r="CL235" s="768"/>
      <c r="CM235" s="768"/>
      <c r="CN235" s="768"/>
      <c r="CO235" s="768"/>
      <c r="CP235" s="768"/>
      <c r="CQ235" s="768"/>
      <c r="CR235" s="768"/>
    </row>
    <row r="236" spans="1:96" s="764" customFormat="1">
      <c r="A236" s="774" t="s">
        <v>3199</v>
      </c>
      <c r="B236" s="703" t="s">
        <v>3232</v>
      </c>
      <c r="C236" s="704" t="s">
        <v>3232</v>
      </c>
      <c r="D236" s="704" t="s">
        <v>3261</v>
      </c>
      <c r="E236" s="704" t="s">
        <v>698</v>
      </c>
      <c r="F236" s="704" t="s">
        <v>1253</v>
      </c>
      <c r="G236" s="705" t="s">
        <v>794</v>
      </c>
      <c r="H236" s="704" t="s">
        <v>3268</v>
      </c>
      <c r="I236" s="706">
        <v>60</v>
      </c>
      <c r="J236" s="706">
        <v>330</v>
      </c>
      <c r="K236" s="707">
        <v>43282</v>
      </c>
      <c r="L236" s="708">
        <v>44012</v>
      </c>
      <c r="M236" s="706">
        <v>0</v>
      </c>
      <c r="N236" s="706">
        <v>0</v>
      </c>
      <c r="O236" s="773"/>
      <c r="P236" s="706"/>
      <c r="Q236" s="706"/>
      <c r="R236" s="706"/>
      <c r="S236" s="706"/>
      <c r="T236" s="706"/>
      <c r="U236" s="709"/>
      <c r="V236" s="706">
        <v>60</v>
      </c>
      <c r="W236" s="706"/>
      <c r="X236" s="706"/>
      <c r="Y236" s="706">
        <v>0</v>
      </c>
      <c r="Z236" s="706">
        <v>0</v>
      </c>
      <c r="AA236" s="706"/>
      <c r="AB236" s="706"/>
      <c r="AC236" s="709"/>
      <c r="AD236" s="706">
        <v>0</v>
      </c>
      <c r="AE236" s="706">
        <v>0</v>
      </c>
      <c r="AF236" s="706">
        <v>0</v>
      </c>
      <c r="AG236" s="706">
        <v>0</v>
      </c>
      <c r="AH236" s="706"/>
      <c r="AI236" s="706"/>
      <c r="AJ236" s="773">
        <v>32</v>
      </c>
      <c r="AK236" s="706"/>
      <c r="AL236" s="773">
        <v>31</v>
      </c>
      <c r="AM236" s="773"/>
      <c r="AN236" s="709"/>
      <c r="AO236" s="769"/>
      <c r="AP236" s="769"/>
      <c r="AQ236" s="773"/>
      <c r="AR236" s="773"/>
      <c r="AS236" s="773"/>
      <c r="AT236"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36" s="711">
        <f>WWWW[[#This Row],[%Equitable and continuous access to sufficient quantity of safe drinking water]]*WWWW[[#This Row],[Total PoP ]]</f>
        <v>0</v>
      </c>
      <c r="AV236"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36" s="711">
        <f>WWWW[[#This Row],[% Access to unimproved water points]]*WWWW[[#This Row],[Total PoP ]]</f>
        <v>0</v>
      </c>
      <c r="AX236"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36"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36" s="711">
        <f>WWWW[[#This Row],[HRP1]]/250</f>
        <v>0</v>
      </c>
      <c r="BA236" s="713">
        <f>1-WWWW[[#This Row],[% Equitable and continuous access to sufficient quantity of domestic water]]</f>
        <v>1</v>
      </c>
      <c r="BB236" s="711">
        <f>WWWW[[#This Row],[%equitable and continuous access to sufficient quantity of safe drinking and domestic water''s GAP]]*WWWW[[#This Row],[Total PoP ]]</f>
        <v>330</v>
      </c>
      <c r="BC236" s="714">
        <f>IF(WWWW[[#This Row],[Total required water points]]-WWWW[[#This Row],['#Water points coverage]]&lt;0,0,WWWW[[#This Row],[Total required water points]]-WWWW[[#This Row],['#Water points coverage]])</f>
        <v>1</v>
      </c>
      <c r="BD236" s="714">
        <f>ROUND(IF(WWWW[[#This Row],[Total PoP ]]&lt;250,1,WWWW[[#This Row],[Total PoP ]]/250),0)</f>
        <v>1</v>
      </c>
      <c r="BE23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36" s="711">
        <f>WWWW[[#This Row],[% people access to functioning Latrine]]*WWWW[[#This Row],[Total PoP ]]</f>
        <v>330</v>
      </c>
      <c r="BG236" s="714">
        <f>WWWW[[#This Row],['#_of_Functioning_latrines_in_school]]*50</f>
        <v>0</v>
      </c>
      <c r="BH236" s="714">
        <f>ROUND((WWWW[[#This Row],[Total PoP ]]/6),0)</f>
        <v>55</v>
      </c>
      <c r="BI236" s="714">
        <f>IF(WWWW[[#This Row],[Total required Latrines]]-(WWWW[[#This Row],['#_of_sanitary_fly-proof_HH_latrines]])&lt;0,0,WWWW[[#This Row],[Total required Latrines]]-(WWWW[[#This Row],['#_of_sanitary_fly-proof_HH_latrines]]))</f>
        <v>0</v>
      </c>
      <c r="BJ236" s="710">
        <f>1-WWWW[[#This Row],[% people access to functioning Latrine]]</f>
        <v>0</v>
      </c>
      <c r="BK236"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36" s="772">
        <f>IF(WWWW[[#This Row],['#_of_functional_handwashing_facilities_at_HH_level]]*6&gt;WWWW[[#This Row],[Total PoP ]],WWWW[[#This Row],[Total PoP ]],WWWW[[#This Row],['#_of_functional_handwashing_facilities_at_HH_level]]*6)</f>
        <v>192</v>
      </c>
      <c r="BM236" s="714">
        <f>IF(WWWW[[#This Row],['# people reached by regular dedicated hygiene promotion]]&gt;WWWW[[#This Row],['# People received regular supply of hygiene items]],WWWW[[#This Row],['# people reached by regular dedicated hygiene promotion]],WWWW[[#This Row],['# People received regular supply of hygiene items]])</f>
        <v>186</v>
      </c>
      <c r="BN236" s="713">
        <f>IF(WWWW[[#This Row],[HRP3]]/WWWW[[#This Row],[Total PoP ]]&gt;100%,100%,WWWW[[#This Row],[HRP3]]/WWWW[[#This Row],[Total PoP ]])</f>
        <v>0.5636363636363636</v>
      </c>
      <c r="BO236" s="710">
        <f>1-WWWW[[#This Row],[Hygiene Coverage%]]</f>
        <v>0.4363636363636364</v>
      </c>
      <c r="BP236" s="712">
        <f>WWWW[[#This Row],['# people reached by regular dedicated hygiene promotion]]/WWWW[[#This Row],[Total PoP ]]</f>
        <v>0</v>
      </c>
      <c r="BQ23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186</v>
      </c>
      <c r="BR236" s="770">
        <f>WWWW[[#This Row],['#_of_affected_women_and_girls_receiving_a_sufficient_quantity_of_sanitary_pads]]</f>
        <v>0</v>
      </c>
      <c r="BS236" s="773">
        <f>IF(WWWW[[#This Row],['# People with access to soap]]&gt;WWWW[[#This Row],['# People with access to Sanity Pads]],WWWW[[#This Row],['# People with access to soap]],WWWW[[#This Row],['# People with access to Sanity Pads]])</f>
        <v>186</v>
      </c>
      <c r="BT236" s="772" t="str">
        <f>IF(OR(WWWW[[#This Row],['#of students in school]]="",WWWW[[#This Row],['#of students in school]]=0),"No","Yes")</f>
        <v>No</v>
      </c>
      <c r="BU236" s="705" t="str">
        <f>VLOOKUP(WWWW[[#This Row],[Village  Name]],SiteDB6[[Site Name]:[Location Type 1]],9,FALSE)</f>
        <v>Village</v>
      </c>
      <c r="BV236" s="705" t="str">
        <f>VLOOKUP(WWWW[[#This Row],[Village  Name]],SiteDB6[[Site Name]:[Type of Accommodation]],10,FALSE)</f>
        <v>Village</v>
      </c>
      <c r="BW236" s="705">
        <f>VLOOKUP(WWWW[[#This Row],[Village  Name]],SiteDB6[[Site Name]:[Ethnic or GCA/NGCA]],11,FALSE)</f>
        <v>0</v>
      </c>
      <c r="BX236" s="705">
        <f>VLOOKUP(WWWW[[#This Row],[Village  Name]],SiteDB6[[Site Name]:[Lat]],12,FALSE)</f>
        <v>0</v>
      </c>
      <c r="BY236" s="705">
        <f>VLOOKUP(WWWW[[#This Row],[Village  Name]],SiteDB6[[Site Name]:[Long]],13,FALSE)</f>
        <v>0</v>
      </c>
      <c r="BZ236" s="705">
        <f>VLOOKUP(WWWW[[#This Row],[Village  Name]],SiteDB6[[Site Name]:[Pcode]],3,FALSE)</f>
        <v>0</v>
      </c>
      <c r="CA236" s="705" t="str">
        <f t="shared" si="15"/>
        <v>Covered</v>
      </c>
      <c r="CB236" s="715"/>
      <c r="CC236" s="765"/>
      <c r="CD236" s="766"/>
      <c r="CE236" s="766"/>
      <c r="CF236" s="763"/>
      <c r="CG236" s="766"/>
      <c r="CH236" s="767"/>
      <c r="CI236" s="767"/>
      <c r="CJ236" s="768"/>
      <c r="CK236" s="768"/>
      <c r="CL236" s="768"/>
      <c r="CM236" s="768"/>
      <c r="CN236" s="768"/>
      <c r="CO236" s="768"/>
      <c r="CP236" s="768"/>
      <c r="CQ236" s="768"/>
      <c r="CR236" s="768"/>
    </row>
    <row r="237" spans="1:96" s="764" customFormat="1">
      <c r="A237" s="774" t="s">
        <v>3199</v>
      </c>
      <c r="B237" s="703" t="s">
        <v>3232</v>
      </c>
      <c r="C237" s="704" t="s">
        <v>3232</v>
      </c>
      <c r="D237" s="704" t="s">
        <v>3261</v>
      </c>
      <c r="E237" s="704" t="s">
        <v>698</v>
      </c>
      <c r="F237" s="704" t="s">
        <v>1253</v>
      </c>
      <c r="G237" s="705" t="s">
        <v>794</v>
      </c>
      <c r="H237" s="704" t="s">
        <v>3269</v>
      </c>
      <c r="I237" s="706">
        <v>40</v>
      </c>
      <c r="J237" s="706">
        <v>170</v>
      </c>
      <c r="K237" s="707">
        <v>43282</v>
      </c>
      <c r="L237" s="708">
        <v>44012</v>
      </c>
      <c r="M237" s="706">
        <v>0</v>
      </c>
      <c r="N237" s="706">
        <v>0</v>
      </c>
      <c r="O237" s="773"/>
      <c r="P237" s="706"/>
      <c r="Q237" s="706"/>
      <c r="R237" s="706"/>
      <c r="S237" s="706"/>
      <c r="T237" s="706"/>
      <c r="U237" s="709"/>
      <c r="V237" s="706">
        <v>40</v>
      </c>
      <c r="W237" s="706"/>
      <c r="X237" s="706"/>
      <c r="Y237" s="706">
        <v>2</v>
      </c>
      <c r="Z237" s="706">
        <v>0</v>
      </c>
      <c r="AA237" s="706"/>
      <c r="AB237" s="706"/>
      <c r="AC237" s="709"/>
      <c r="AD237" s="706">
        <v>0</v>
      </c>
      <c r="AE237" s="706">
        <v>0</v>
      </c>
      <c r="AF237" s="706">
        <v>0</v>
      </c>
      <c r="AG237" s="706">
        <v>0</v>
      </c>
      <c r="AH237" s="706"/>
      <c r="AI237" s="706"/>
      <c r="AJ237" s="773">
        <v>21</v>
      </c>
      <c r="AK237" s="706"/>
      <c r="AL237" s="773">
        <v>23</v>
      </c>
      <c r="AM237" s="773"/>
      <c r="AN237" s="709"/>
      <c r="AO237" s="769"/>
      <c r="AP237" s="769"/>
      <c r="AQ237" s="773"/>
      <c r="AR237" s="773"/>
      <c r="AS237" s="773"/>
      <c r="AT237"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37" s="711">
        <f>WWWW[[#This Row],[%Equitable and continuous access to sufficient quantity of safe drinking water]]*WWWW[[#This Row],[Total PoP ]]</f>
        <v>0</v>
      </c>
      <c r="AV237"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37" s="711">
        <f>WWWW[[#This Row],[% Access to unimproved water points]]*WWWW[[#This Row],[Total PoP ]]</f>
        <v>0</v>
      </c>
      <c r="AX237"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37"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37" s="711">
        <f>WWWW[[#This Row],[HRP1]]/250</f>
        <v>0</v>
      </c>
      <c r="BA237" s="713">
        <f>1-WWWW[[#This Row],[% Equitable and continuous access to sufficient quantity of domestic water]]</f>
        <v>1</v>
      </c>
      <c r="BB237" s="711">
        <f>WWWW[[#This Row],[%equitable and continuous access to sufficient quantity of safe drinking and domestic water''s GAP]]*WWWW[[#This Row],[Total PoP ]]</f>
        <v>170</v>
      </c>
      <c r="BC237" s="714">
        <f>IF(WWWW[[#This Row],[Total required water points]]-WWWW[[#This Row],['#Water points coverage]]&lt;0,0,WWWW[[#This Row],[Total required water points]]-WWWW[[#This Row],['#Water points coverage]])</f>
        <v>1</v>
      </c>
      <c r="BD237" s="714">
        <f>ROUND(IF(WWWW[[#This Row],[Total PoP ]]&lt;250,1,WWWW[[#This Row],[Total PoP ]]/250),0)</f>
        <v>1</v>
      </c>
      <c r="BE23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37" s="711">
        <f>WWWW[[#This Row],[% people access to functioning Latrine]]*WWWW[[#This Row],[Total PoP ]]</f>
        <v>170</v>
      </c>
      <c r="BG237" s="714">
        <f>WWWW[[#This Row],['#_of_Functioning_latrines_in_school]]*50</f>
        <v>0</v>
      </c>
      <c r="BH237" s="714">
        <f>ROUND((WWWW[[#This Row],[Total PoP ]]/6),0)</f>
        <v>28</v>
      </c>
      <c r="BI237" s="714">
        <f>IF(WWWW[[#This Row],[Total required Latrines]]-(WWWW[[#This Row],['#_of_sanitary_fly-proof_HH_latrines]])&lt;0,0,WWWW[[#This Row],[Total required Latrines]]-(WWWW[[#This Row],['#_of_sanitary_fly-proof_HH_latrines]]))</f>
        <v>0</v>
      </c>
      <c r="BJ237" s="710">
        <f>1-WWWW[[#This Row],[% people access to functioning Latrine]]</f>
        <v>0</v>
      </c>
      <c r="BK237"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37" s="772">
        <f>IF(WWWW[[#This Row],['#_of_functional_handwashing_facilities_at_HH_level]]*6&gt;WWWW[[#This Row],[Total PoP ]],WWWW[[#This Row],[Total PoP ]],WWWW[[#This Row],['#_of_functional_handwashing_facilities_at_HH_level]]*6)</f>
        <v>126</v>
      </c>
      <c r="BM237" s="714">
        <f>IF(WWWW[[#This Row],['# people reached by regular dedicated hygiene promotion]]&gt;WWWW[[#This Row],['# People received regular supply of hygiene items]],WWWW[[#This Row],['# people reached by regular dedicated hygiene promotion]],WWWW[[#This Row],['# People received regular supply of hygiene items]])</f>
        <v>138</v>
      </c>
      <c r="BN237" s="713">
        <f>IF(WWWW[[#This Row],[HRP3]]/WWWW[[#This Row],[Total PoP ]]&gt;100%,100%,WWWW[[#This Row],[HRP3]]/WWWW[[#This Row],[Total PoP ]])</f>
        <v>0.81176470588235294</v>
      </c>
      <c r="BO237" s="710">
        <f>1-WWWW[[#This Row],[Hygiene Coverage%]]</f>
        <v>0.18823529411764706</v>
      </c>
      <c r="BP237" s="712">
        <f>WWWW[[#This Row],['# people reached by regular dedicated hygiene promotion]]/WWWW[[#This Row],[Total PoP ]]</f>
        <v>0</v>
      </c>
      <c r="BQ23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138</v>
      </c>
      <c r="BR237" s="770">
        <f>WWWW[[#This Row],['#_of_affected_women_and_girls_receiving_a_sufficient_quantity_of_sanitary_pads]]</f>
        <v>0</v>
      </c>
      <c r="BS237" s="773">
        <f>IF(WWWW[[#This Row],['# People with access to soap]]&gt;WWWW[[#This Row],['# People with access to Sanity Pads]],WWWW[[#This Row],['# People with access to soap]],WWWW[[#This Row],['# People with access to Sanity Pads]])</f>
        <v>138</v>
      </c>
      <c r="BT237" s="772" t="str">
        <f>IF(OR(WWWW[[#This Row],['#of students in school]]="",WWWW[[#This Row],['#of students in school]]=0),"No","Yes")</f>
        <v>No</v>
      </c>
      <c r="BU237" s="705" t="str">
        <f>VLOOKUP(WWWW[[#This Row],[Village  Name]],SiteDB6[[Site Name]:[Location Type 1]],9,FALSE)</f>
        <v>Village</v>
      </c>
      <c r="BV237" s="705" t="str">
        <f>VLOOKUP(WWWW[[#This Row],[Village  Name]],SiteDB6[[Site Name]:[Type of Accommodation]],10,FALSE)</f>
        <v>Village</v>
      </c>
      <c r="BW237" s="705">
        <f>VLOOKUP(WWWW[[#This Row],[Village  Name]],SiteDB6[[Site Name]:[Ethnic or GCA/NGCA]],11,FALSE)</f>
        <v>0</v>
      </c>
      <c r="BX237" s="705">
        <f>VLOOKUP(WWWW[[#This Row],[Village  Name]],SiteDB6[[Site Name]:[Lat]],12,FALSE)</f>
        <v>0</v>
      </c>
      <c r="BY237" s="705">
        <f>VLOOKUP(WWWW[[#This Row],[Village  Name]],SiteDB6[[Site Name]:[Long]],13,FALSE)</f>
        <v>0</v>
      </c>
      <c r="BZ237" s="705">
        <f>VLOOKUP(WWWW[[#This Row],[Village  Name]],SiteDB6[[Site Name]:[Pcode]],3,FALSE)</f>
        <v>0</v>
      </c>
      <c r="CA237" s="705" t="str">
        <f t="shared" si="15"/>
        <v>Covered</v>
      </c>
      <c r="CB237" s="715"/>
      <c r="CC237" s="765"/>
      <c r="CD237" s="766"/>
      <c r="CE237" s="766"/>
      <c r="CF237" s="763"/>
      <c r="CG237" s="766"/>
      <c r="CH237" s="767"/>
      <c r="CI237" s="767"/>
      <c r="CJ237" s="768"/>
      <c r="CK237" s="768"/>
      <c r="CL237" s="768"/>
      <c r="CM237" s="768"/>
      <c r="CN237" s="768"/>
      <c r="CO237" s="768"/>
      <c r="CP237" s="768"/>
      <c r="CQ237" s="768"/>
      <c r="CR237" s="768"/>
    </row>
    <row r="238" spans="1:96" s="764" customFormat="1">
      <c r="A238" s="774" t="s">
        <v>3199</v>
      </c>
      <c r="B238" s="703" t="s">
        <v>3232</v>
      </c>
      <c r="C238" s="704" t="s">
        <v>3232</v>
      </c>
      <c r="D238" s="704" t="s">
        <v>3261</v>
      </c>
      <c r="E238" s="704" t="s">
        <v>698</v>
      </c>
      <c r="F238" s="704" t="s">
        <v>1253</v>
      </c>
      <c r="G238" s="705" t="s">
        <v>794</v>
      </c>
      <c r="H238" s="704" t="s">
        <v>3270</v>
      </c>
      <c r="I238" s="706">
        <v>31</v>
      </c>
      <c r="J238" s="706">
        <v>156</v>
      </c>
      <c r="K238" s="707">
        <v>43282</v>
      </c>
      <c r="L238" s="708">
        <v>44012</v>
      </c>
      <c r="M238" s="706">
        <v>0</v>
      </c>
      <c r="N238" s="706">
        <v>0</v>
      </c>
      <c r="O238" s="773"/>
      <c r="P238" s="706"/>
      <c r="Q238" s="706"/>
      <c r="R238" s="706"/>
      <c r="S238" s="706"/>
      <c r="T238" s="706"/>
      <c r="U238" s="709"/>
      <c r="V238" s="706">
        <v>31</v>
      </c>
      <c r="W238" s="706"/>
      <c r="X238" s="706"/>
      <c r="Y238" s="706">
        <v>0</v>
      </c>
      <c r="Z238" s="706">
        <v>0</v>
      </c>
      <c r="AA238" s="706"/>
      <c r="AB238" s="706"/>
      <c r="AC238" s="709"/>
      <c r="AD238" s="706">
        <v>0</v>
      </c>
      <c r="AE238" s="706">
        <v>0</v>
      </c>
      <c r="AF238" s="706">
        <v>0</v>
      </c>
      <c r="AG238" s="706">
        <v>0</v>
      </c>
      <c r="AH238" s="706"/>
      <c r="AI238" s="706"/>
      <c r="AJ238" s="773">
        <v>14</v>
      </c>
      <c r="AK238" s="706"/>
      <c r="AL238" s="773">
        <v>15</v>
      </c>
      <c r="AM238" s="773"/>
      <c r="AN238" s="709"/>
      <c r="AO238" s="769"/>
      <c r="AP238" s="769"/>
      <c r="AQ238" s="773"/>
      <c r="AR238" s="773"/>
      <c r="AS238" s="773"/>
      <c r="AT238" s="710">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38" s="711">
        <f>WWWW[[#This Row],[%Equitable and continuous access to sufficient quantity of safe drinking water]]*WWWW[[#This Row],[Total PoP ]]</f>
        <v>0</v>
      </c>
      <c r="AV238" s="710">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38" s="711">
        <f>WWWW[[#This Row],[% Access to unimproved water points]]*WWWW[[#This Row],[Total PoP ]]</f>
        <v>0</v>
      </c>
      <c r="AX238" s="71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38" s="71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38" s="711">
        <f>WWWW[[#This Row],[HRP1]]/250</f>
        <v>0</v>
      </c>
      <c r="BA238" s="713">
        <f>1-WWWW[[#This Row],[% Equitable and continuous access to sufficient quantity of domestic water]]</f>
        <v>1</v>
      </c>
      <c r="BB238" s="711">
        <f>WWWW[[#This Row],[%equitable and continuous access to sufficient quantity of safe drinking and domestic water''s GAP]]*WWWW[[#This Row],[Total PoP ]]</f>
        <v>156</v>
      </c>
      <c r="BC238" s="714">
        <f>IF(WWWW[[#This Row],[Total required water points]]-WWWW[[#This Row],['#Water points coverage]]&lt;0,0,WWWW[[#This Row],[Total required water points]]-WWWW[[#This Row],['#Water points coverage]])</f>
        <v>1</v>
      </c>
      <c r="BD238" s="714">
        <f>ROUND(IF(WWWW[[#This Row],[Total PoP ]]&lt;250,1,WWWW[[#This Row],[Total PoP ]]/250),0)</f>
        <v>1</v>
      </c>
      <c r="BE23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38" s="711">
        <f>WWWW[[#This Row],[% people access to functioning Latrine]]*WWWW[[#This Row],[Total PoP ]]</f>
        <v>156</v>
      </c>
      <c r="BG238" s="714">
        <f>WWWW[[#This Row],['#_of_Functioning_latrines_in_school]]*50</f>
        <v>0</v>
      </c>
      <c r="BH238" s="714">
        <f>ROUND((WWWW[[#This Row],[Total PoP ]]/6),0)</f>
        <v>26</v>
      </c>
      <c r="BI238" s="714">
        <f>IF(WWWW[[#This Row],[Total required Latrines]]-(WWWW[[#This Row],['#_of_sanitary_fly-proof_HH_latrines]])&lt;0,0,WWWW[[#This Row],[Total required Latrines]]-(WWWW[[#This Row],['#_of_sanitary_fly-proof_HH_latrines]]))</f>
        <v>0</v>
      </c>
      <c r="BJ238" s="710">
        <f>1-WWWW[[#This Row],[% people access to functioning Latrine]]</f>
        <v>0</v>
      </c>
      <c r="BK238" s="711">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38" s="772">
        <f>IF(WWWW[[#This Row],['#_of_functional_handwashing_facilities_at_HH_level]]*6&gt;WWWW[[#This Row],[Total PoP ]],WWWW[[#This Row],[Total PoP ]],WWWW[[#This Row],['#_of_functional_handwashing_facilities_at_HH_level]]*6)</f>
        <v>84</v>
      </c>
      <c r="BM238" s="714">
        <f>IF(WWWW[[#This Row],['# people reached by regular dedicated hygiene promotion]]&gt;WWWW[[#This Row],['# People received regular supply of hygiene items]],WWWW[[#This Row],['# people reached by regular dedicated hygiene promotion]],WWWW[[#This Row],['# People received regular supply of hygiene items]])</f>
        <v>90</v>
      </c>
      <c r="BN238" s="713">
        <f>IF(WWWW[[#This Row],[HRP3]]/WWWW[[#This Row],[Total PoP ]]&gt;100%,100%,WWWW[[#This Row],[HRP3]]/WWWW[[#This Row],[Total PoP ]])</f>
        <v>0.57692307692307687</v>
      </c>
      <c r="BO238" s="710">
        <f>1-WWWW[[#This Row],[Hygiene Coverage%]]</f>
        <v>0.42307692307692313</v>
      </c>
      <c r="BP238" s="712">
        <f>WWWW[[#This Row],['# people reached by regular dedicated hygiene promotion]]/WWWW[[#This Row],[Total PoP ]]</f>
        <v>0</v>
      </c>
      <c r="BQ23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90</v>
      </c>
      <c r="BR238" s="770">
        <f>WWWW[[#This Row],['#_of_affected_women_and_girls_receiving_a_sufficient_quantity_of_sanitary_pads]]</f>
        <v>0</v>
      </c>
      <c r="BS238" s="773">
        <f>IF(WWWW[[#This Row],['# People with access to soap]]&gt;WWWW[[#This Row],['# People with access to Sanity Pads]],WWWW[[#This Row],['# People with access to soap]],WWWW[[#This Row],['# People with access to Sanity Pads]])</f>
        <v>90</v>
      </c>
      <c r="BT238" s="772" t="str">
        <f>IF(OR(WWWW[[#This Row],['#of students in school]]="",WWWW[[#This Row],['#of students in school]]=0),"No","Yes")</f>
        <v>No</v>
      </c>
      <c r="BU238" s="705" t="str">
        <f>VLOOKUP(WWWW[[#This Row],[Village  Name]],SiteDB6[[Site Name]:[Location Type 1]],9,FALSE)</f>
        <v>Village</v>
      </c>
      <c r="BV238" s="705" t="str">
        <f>VLOOKUP(WWWW[[#This Row],[Village  Name]],SiteDB6[[Site Name]:[Type of Accommodation]],10,FALSE)</f>
        <v>Village</v>
      </c>
      <c r="BW238" s="705">
        <f>VLOOKUP(WWWW[[#This Row],[Village  Name]],SiteDB6[[Site Name]:[Ethnic or GCA/NGCA]],11,FALSE)</f>
        <v>0</v>
      </c>
      <c r="BX238" s="705">
        <f>VLOOKUP(WWWW[[#This Row],[Village  Name]],SiteDB6[[Site Name]:[Lat]],12,FALSE)</f>
        <v>0</v>
      </c>
      <c r="BY238" s="705">
        <f>VLOOKUP(WWWW[[#This Row],[Village  Name]],SiteDB6[[Site Name]:[Long]],13,FALSE)</f>
        <v>0</v>
      </c>
      <c r="BZ238" s="705">
        <f>VLOOKUP(WWWW[[#This Row],[Village  Name]],SiteDB6[[Site Name]:[Pcode]],3,FALSE)</f>
        <v>0</v>
      </c>
      <c r="CA238" s="705" t="str">
        <f t="shared" si="15"/>
        <v>Covered</v>
      </c>
      <c r="CB238" s="715"/>
      <c r="CC238" s="765"/>
      <c r="CD238" s="766"/>
      <c r="CE238" s="766"/>
      <c r="CF238" s="763"/>
      <c r="CG238" s="766"/>
      <c r="CH238" s="767"/>
      <c r="CI238" s="767"/>
      <c r="CJ238" s="768"/>
      <c r="CK238" s="768"/>
      <c r="CL238" s="768"/>
      <c r="CM238" s="768"/>
      <c r="CN238" s="768"/>
      <c r="CO238" s="768"/>
      <c r="CP238" s="768"/>
      <c r="CQ238" s="768"/>
      <c r="CR238" s="768"/>
    </row>
    <row r="239" spans="1:96">
      <c r="A239" s="727" t="s">
        <v>3199</v>
      </c>
      <c r="B239" s="727" t="s">
        <v>2994</v>
      </c>
      <c r="C239" s="727" t="s">
        <v>2994</v>
      </c>
      <c r="D239" s="728" t="s">
        <v>704</v>
      </c>
      <c r="E239" s="643" t="s">
        <v>698</v>
      </c>
      <c r="F239" s="728" t="s">
        <v>1255</v>
      </c>
      <c r="G239" s="782" t="str">
        <f>VLOOKUP(WWWW[[#This Row],[Village  Name]],SiteDB6[[Site Name]:[Location Type]],8,FALSE)</f>
        <v>Village</v>
      </c>
      <c r="H239" s="728" t="s">
        <v>3104</v>
      </c>
      <c r="I239" s="775">
        <v>472</v>
      </c>
      <c r="J239" s="775">
        <v>2624</v>
      </c>
      <c r="K239" s="784" t="s">
        <v>3272</v>
      </c>
      <c r="L239" s="785" t="s">
        <v>3273</v>
      </c>
      <c r="M239" s="775">
        <v>327</v>
      </c>
      <c r="N239" s="775"/>
      <c r="O239" s="773"/>
      <c r="P239" s="775">
        <v>50</v>
      </c>
      <c r="Q239" s="775"/>
      <c r="R239" s="775"/>
      <c r="S239" s="775"/>
      <c r="T239" s="775"/>
      <c r="U239" s="776"/>
      <c r="V239" s="775">
        <v>93</v>
      </c>
      <c r="W239" s="775"/>
      <c r="X239" s="775"/>
      <c r="Y239" s="775"/>
      <c r="Z239" s="775">
        <v>93</v>
      </c>
      <c r="AA239" s="775"/>
      <c r="AB239" s="775"/>
      <c r="AC239" s="776"/>
      <c r="AD239" s="775"/>
      <c r="AE239" s="775"/>
      <c r="AF239" s="775"/>
      <c r="AG239" s="775"/>
      <c r="AH239" s="775"/>
      <c r="AI239" s="775"/>
      <c r="AJ239" s="773"/>
      <c r="AK239" s="775"/>
      <c r="AL239" s="773"/>
      <c r="AM239" s="773"/>
      <c r="AN239" s="776"/>
      <c r="AO239" s="769"/>
      <c r="AP239" s="769"/>
      <c r="AQ239" s="773"/>
      <c r="AR239" s="773"/>
      <c r="AS239" s="773"/>
      <c r="AT23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39" s="779">
        <f>WWWW[[#This Row],[%Equitable and continuous access to sufficient quantity of safe drinking water]]*WWWW[[#This Row],[Total PoP ]]</f>
        <v>2624</v>
      </c>
      <c r="AV23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39" s="779">
        <f>WWWW[[#This Row],[% Access to unimproved water points]]*WWWW[[#This Row],[Total PoP ]]</f>
        <v>0</v>
      </c>
      <c r="AX23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3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2624</v>
      </c>
      <c r="AZ239" s="779">
        <f>WWWW[[#This Row],[HRP1]]/250</f>
        <v>10.496</v>
      </c>
      <c r="BA239" s="780">
        <f>1-WWWW[[#This Row],[% Equitable and continuous access to sufficient quantity of domestic water]]</f>
        <v>0</v>
      </c>
      <c r="BB239" s="779">
        <f>WWWW[[#This Row],[%equitable and continuous access to sufficient quantity of safe drinking and domestic water''s GAP]]*WWWW[[#This Row],[Total PoP ]]</f>
        <v>0</v>
      </c>
      <c r="BC239" s="781">
        <f>IF(WWWW[[#This Row],[Total required water points]]-WWWW[[#This Row],['#Water points coverage]]&lt;0,0,WWWW[[#This Row],[Total required water points]]-WWWW[[#This Row],['#Water points coverage]])</f>
        <v>0</v>
      </c>
      <c r="BD239" s="781">
        <f>ROUND(IF(WWWW[[#This Row],[Total PoP ]]&lt;250,1,WWWW[[#This Row],[Total PoP ]]/250),0)</f>
        <v>10</v>
      </c>
      <c r="BE23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0.24809451219512196</v>
      </c>
      <c r="BF239" s="779">
        <f>WWWW[[#This Row],[% people access to functioning Latrine]]*WWWW[[#This Row],[Total PoP ]]</f>
        <v>651</v>
      </c>
      <c r="BG239" s="781">
        <f>WWWW[[#This Row],['#_of_Functioning_latrines_in_school]]*50</f>
        <v>0</v>
      </c>
      <c r="BH239" s="781">
        <f>ROUND((WWWW[[#This Row],[Total PoP ]]/6),0)</f>
        <v>437</v>
      </c>
      <c r="BI239" s="781">
        <f>IF(WWWW[[#This Row],[Total required Latrines]]-(WWWW[[#This Row],['#_of_sanitary_fly-proof_HH_latrines]])&lt;0,0,WWWW[[#This Row],[Total required Latrines]]-(WWWW[[#This Row],['#_of_sanitary_fly-proof_HH_latrines]]))</f>
        <v>344</v>
      </c>
      <c r="BJ239" s="778">
        <f>1-WWWW[[#This Row],[% people access to functioning Latrine]]</f>
        <v>0.75190548780487809</v>
      </c>
      <c r="BK23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39" s="772">
        <f>IF(WWWW[[#This Row],['#_of_functional_handwashing_facilities_at_HH_level]]*6&gt;WWWW[[#This Row],[Total PoP ]],WWWW[[#This Row],[Total PoP ]],WWWW[[#This Row],['#_of_functional_handwashing_facilities_at_HH_level]]*6)</f>
        <v>0</v>
      </c>
      <c r="BM239" s="781">
        <f>IF(WWWW[[#This Row],['# people reached by regular dedicated hygiene promotion]]&gt;WWWW[[#This Row],['# People received regular supply of hygiene items]],WWWW[[#This Row],['# people reached by regular dedicated hygiene promotion]],WWWW[[#This Row],['# People received regular supply of hygiene items]])</f>
        <v>0</v>
      </c>
      <c r="BN239" s="780">
        <f>IF(WWWW[[#This Row],[HRP3]]/WWWW[[#This Row],[Total PoP ]]&gt;100%,100%,WWWW[[#This Row],[HRP3]]/WWWW[[#This Row],[Total PoP ]])</f>
        <v>0</v>
      </c>
      <c r="BO239" s="778">
        <f>1-WWWW[[#This Row],[Hygiene Coverage%]]</f>
        <v>1</v>
      </c>
      <c r="BP239" s="777">
        <f>WWWW[[#This Row],['# people reached by regular dedicated hygiene promotion]]/WWWW[[#This Row],[Total PoP ]]</f>
        <v>0</v>
      </c>
      <c r="BQ23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39" s="770">
        <f>WWWW[[#This Row],['#_of_affected_women_and_girls_receiving_a_sufficient_quantity_of_sanitary_pads]]</f>
        <v>0</v>
      </c>
      <c r="BS239" s="773">
        <f>IF(WWWW[[#This Row],['# People with access to soap]]&gt;WWWW[[#This Row],['# People with access to Sanity Pads]],WWWW[[#This Row],['# People with access to soap]],WWWW[[#This Row],['# People with access to Sanity Pads]])</f>
        <v>0</v>
      </c>
      <c r="BT239" s="772" t="str">
        <f>IF(OR(WWWW[[#This Row],['#of students in school]]="",WWWW[[#This Row],['#of students in school]]=0),"No","Yes")</f>
        <v>Yes</v>
      </c>
      <c r="BU239" s="782" t="str">
        <f>VLOOKUP(WWWW[[#This Row],[Village  Name]],SiteDB6[[Site Name]:[Location Type 1]],9,FALSE)</f>
        <v>Village</v>
      </c>
      <c r="BV239" s="782" t="str">
        <f>VLOOKUP(WWWW[[#This Row],[Village  Name]],SiteDB6[[Site Name]:[Type of Accommodation]],10,FALSE)</f>
        <v>Village</v>
      </c>
      <c r="BW239" s="782">
        <f>VLOOKUP(WWWW[[#This Row],[Village  Name]],SiteDB6[[Site Name]:[Ethnic or GCA/NGCA]],11,FALSE)</f>
        <v>0</v>
      </c>
      <c r="BX239" s="782">
        <f>VLOOKUP(WWWW[[#This Row],[Village  Name]],SiteDB6[[Site Name]:[Lat]],12,FALSE)</f>
        <v>0</v>
      </c>
      <c r="BY239" s="782">
        <f>VLOOKUP(WWWW[[#This Row],[Village  Name]],SiteDB6[[Site Name]:[Long]],13,FALSE)</f>
        <v>0</v>
      </c>
      <c r="BZ239" s="782">
        <f>VLOOKUP(WWWW[[#This Row],[Village  Name]],SiteDB6[[Site Name]:[Pcode]],3,FALSE)</f>
        <v>0</v>
      </c>
      <c r="CA239" s="782" t="str">
        <f t="shared" ref="CA239:CA242" si="16">IF(C239="none","Notcovered","Covered")</f>
        <v>Covered</v>
      </c>
      <c r="CB239" s="783"/>
    </row>
    <row r="240" spans="1:96">
      <c r="A240" s="727" t="s">
        <v>3199</v>
      </c>
      <c r="B240" s="727" t="s">
        <v>2994</v>
      </c>
      <c r="C240" s="727" t="s">
        <v>2994</v>
      </c>
      <c r="D240" s="728" t="s">
        <v>704</v>
      </c>
      <c r="E240" s="643" t="s">
        <v>698</v>
      </c>
      <c r="F240" s="728" t="s">
        <v>1255</v>
      </c>
      <c r="G240" s="782" t="str">
        <f>VLOOKUP(WWWW[[#This Row],[Village  Name]],SiteDB6[[Site Name]:[Location Type]],8,FALSE)</f>
        <v>Village</v>
      </c>
      <c r="H240" s="728" t="s">
        <v>3105</v>
      </c>
      <c r="I240" s="775">
        <v>147</v>
      </c>
      <c r="J240" s="775">
        <v>719</v>
      </c>
      <c r="K240" s="784" t="s">
        <v>3272</v>
      </c>
      <c r="L240" s="785" t="s">
        <v>3273</v>
      </c>
      <c r="M240" s="775">
        <v>98</v>
      </c>
      <c r="N240" s="775"/>
      <c r="O240" s="773"/>
      <c r="P240" s="775"/>
      <c r="Q240" s="775"/>
      <c r="R240" s="775"/>
      <c r="S240" s="775"/>
      <c r="T240" s="775"/>
      <c r="U240" s="776"/>
      <c r="V240" s="775"/>
      <c r="W240" s="775"/>
      <c r="X240" s="775"/>
      <c r="Y240" s="775"/>
      <c r="Z240" s="775"/>
      <c r="AA240" s="775"/>
      <c r="AB240" s="775"/>
      <c r="AC240" s="776"/>
      <c r="AD240" s="775"/>
      <c r="AE240" s="775"/>
      <c r="AF240" s="775"/>
      <c r="AG240" s="775"/>
      <c r="AH240" s="775"/>
      <c r="AI240" s="775"/>
      <c r="AJ240" s="773"/>
      <c r="AK240" s="775"/>
      <c r="AL240" s="773"/>
      <c r="AM240" s="773"/>
      <c r="AN240" s="776"/>
      <c r="AO240" s="769"/>
      <c r="AP240" s="769"/>
      <c r="AQ240" s="773"/>
      <c r="AR240" s="773"/>
      <c r="AS240" s="773"/>
      <c r="AT24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40" s="779">
        <f>WWWW[[#This Row],[%Equitable and continuous access to sufficient quantity of safe drinking water]]*WWWW[[#This Row],[Total PoP ]]</f>
        <v>0</v>
      </c>
      <c r="AV24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40" s="779">
        <f>WWWW[[#This Row],[% Access to unimproved water points]]*WWWW[[#This Row],[Total PoP ]]</f>
        <v>0</v>
      </c>
      <c r="AX24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4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40" s="779">
        <f>WWWW[[#This Row],[HRP1]]/250</f>
        <v>0</v>
      </c>
      <c r="BA240" s="780">
        <f>1-WWWW[[#This Row],[% Equitable and continuous access to sufficient quantity of domestic water]]</f>
        <v>1</v>
      </c>
      <c r="BB240" s="779">
        <f>WWWW[[#This Row],[%equitable and continuous access to sufficient quantity of safe drinking and domestic water''s GAP]]*WWWW[[#This Row],[Total PoP ]]</f>
        <v>719</v>
      </c>
      <c r="BC240" s="781">
        <f>IF(WWWW[[#This Row],[Total required water points]]-WWWW[[#This Row],['#Water points coverage]]&lt;0,0,WWWW[[#This Row],[Total required water points]]-WWWW[[#This Row],['#Water points coverage]])</f>
        <v>3</v>
      </c>
      <c r="BD240" s="781">
        <f>ROUND(IF(WWWW[[#This Row],[Total PoP ]]&lt;250,1,WWWW[[#This Row],[Total PoP ]]/250),0)</f>
        <v>3</v>
      </c>
      <c r="BE24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40" s="779">
        <f>WWWW[[#This Row],[% people access to functioning Latrine]]*WWWW[[#This Row],[Total PoP ]]</f>
        <v>0</v>
      </c>
      <c r="BG240" s="781">
        <f>WWWW[[#This Row],['#_of_Functioning_latrines_in_school]]*50</f>
        <v>0</v>
      </c>
      <c r="BH240" s="781">
        <f>ROUND((WWWW[[#This Row],[Total PoP ]]/6),0)</f>
        <v>120</v>
      </c>
      <c r="BI240" s="781">
        <f>IF(WWWW[[#This Row],[Total required Latrines]]-(WWWW[[#This Row],['#_of_sanitary_fly-proof_HH_latrines]])&lt;0,0,WWWW[[#This Row],[Total required Latrines]]-(WWWW[[#This Row],['#_of_sanitary_fly-proof_HH_latrines]]))</f>
        <v>120</v>
      </c>
      <c r="BJ240" s="778">
        <f>1-WWWW[[#This Row],[% people access to functioning Latrine]]</f>
        <v>1</v>
      </c>
      <c r="BK24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40" s="772">
        <f>IF(WWWW[[#This Row],['#_of_functional_handwashing_facilities_at_HH_level]]*6&gt;WWWW[[#This Row],[Total PoP ]],WWWW[[#This Row],[Total PoP ]],WWWW[[#This Row],['#_of_functional_handwashing_facilities_at_HH_level]]*6)</f>
        <v>0</v>
      </c>
      <c r="BM240" s="781">
        <f>IF(WWWW[[#This Row],['# people reached by regular dedicated hygiene promotion]]&gt;WWWW[[#This Row],['# People received regular supply of hygiene items]],WWWW[[#This Row],['# people reached by regular dedicated hygiene promotion]],WWWW[[#This Row],['# People received regular supply of hygiene items]])</f>
        <v>0</v>
      </c>
      <c r="BN240" s="780">
        <f>IF(WWWW[[#This Row],[HRP3]]/WWWW[[#This Row],[Total PoP ]]&gt;100%,100%,WWWW[[#This Row],[HRP3]]/WWWW[[#This Row],[Total PoP ]])</f>
        <v>0</v>
      </c>
      <c r="BO240" s="778">
        <f>1-WWWW[[#This Row],[Hygiene Coverage%]]</f>
        <v>1</v>
      </c>
      <c r="BP240" s="777">
        <f>WWWW[[#This Row],['# people reached by regular dedicated hygiene promotion]]/WWWW[[#This Row],[Total PoP ]]</f>
        <v>0</v>
      </c>
      <c r="BQ24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40" s="770">
        <f>WWWW[[#This Row],['#_of_affected_women_and_girls_receiving_a_sufficient_quantity_of_sanitary_pads]]</f>
        <v>0</v>
      </c>
      <c r="BS240" s="773">
        <f>IF(WWWW[[#This Row],['# People with access to soap]]&gt;WWWW[[#This Row],['# People with access to Sanity Pads]],WWWW[[#This Row],['# People with access to soap]],WWWW[[#This Row],['# People with access to Sanity Pads]])</f>
        <v>0</v>
      </c>
      <c r="BT240" s="772" t="str">
        <f>IF(OR(WWWW[[#This Row],['#of students in school]]="",WWWW[[#This Row],['#of students in school]]=0),"No","Yes")</f>
        <v>Yes</v>
      </c>
      <c r="BU240" s="782" t="str">
        <f>VLOOKUP(WWWW[[#This Row],[Village  Name]],SiteDB6[[Site Name]:[Location Type 1]],9,FALSE)</f>
        <v>Village</v>
      </c>
      <c r="BV240" s="782" t="str">
        <f>VLOOKUP(WWWW[[#This Row],[Village  Name]],SiteDB6[[Site Name]:[Type of Accommodation]],10,FALSE)</f>
        <v>Village</v>
      </c>
      <c r="BW240" s="782">
        <f>VLOOKUP(WWWW[[#This Row],[Village  Name]],SiteDB6[[Site Name]:[Ethnic or GCA/NGCA]],11,FALSE)</f>
        <v>0</v>
      </c>
      <c r="BX240" s="782">
        <f>VLOOKUP(WWWW[[#This Row],[Village  Name]],SiteDB6[[Site Name]:[Lat]],12,FALSE)</f>
        <v>0</v>
      </c>
      <c r="BY240" s="782">
        <f>VLOOKUP(WWWW[[#This Row],[Village  Name]],SiteDB6[[Site Name]:[Long]],13,FALSE)</f>
        <v>0</v>
      </c>
      <c r="BZ240" s="782">
        <f>VLOOKUP(WWWW[[#This Row],[Village  Name]],SiteDB6[[Site Name]:[Pcode]],3,FALSE)</f>
        <v>0</v>
      </c>
      <c r="CA240" s="782" t="str">
        <f t="shared" si="16"/>
        <v>Covered</v>
      </c>
      <c r="CB240" s="783"/>
    </row>
    <row r="241" spans="1:80">
      <c r="A241" s="727" t="s">
        <v>3199</v>
      </c>
      <c r="B241" s="727" t="s">
        <v>2994</v>
      </c>
      <c r="C241" s="727" t="s">
        <v>2994</v>
      </c>
      <c r="D241" s="728" t="s">
        <v>704</v>
      </c>
      <c r="E241" s="643" t="s">
        <v>698</v>
      </c>
      <c r="F241" s="728" t="s">
        <v>1255</v>
      </c>
      <c r="G241" s="782" t="str">
        <f>VLOOKUP(WWWW[[#This Row],[Village  Name]],SiteDB6[[Site Name]:[Location Type]],8,FALSE)</f>
        <v>Village</v>
      </c>
      <c r="H241" s="728" t="s">
        <v>3103</v>
      </c>
      <c r="I241" s="775">
        <v>104</v>
      </c>
      <c r="J241" s="775">
        <v>569</v>
      </c>
      <c r="K241" s="784" t="s">
        <v>3272</v>
      </c>
      <c r="L241" s="785" t="s">
        <v>3273</v>
      </c>
      <c r="M241" s="775">
        <v>64</v>
      </c>
      <c r="N241" s="775"/>
      <c r="O241" s="773"/>
      <c r="P241" s="775"/>
      <c r="Q241" s="775"/>
      <c r="R241" s="775"/>
      <c r="S241" s="775"/>
      <c r="T241" s="775"/>
      <c r="U241" s="776"/>
      <c r="V241" s="775">
        <v>23</v>
      </c>
      <c r="W241" s="775"/>
      <c r="X241" s="775"/>
      <c r="Y241" s="775"/>
      <c r="Z241" s="775">
        <v>23</v>
      </c>
      <c r="AA241" s="775"/>
      <c r="AB241" s="775"/>
      <c r="AC241" s="776"/>
      <c r="AD241" s="775"/>
      <c r="AE241" s="775"/>
      <c r="AF241" s="775"/>
      <c r="AG241" s="775"/>
      <c r="AH241" s="775"/>
      <c r="AI241" s="775"/>
      <c r="AJ241" s="773"/>
      <c r="AK241" s="775"/>
      <c r="AL241" s="773"/>
      <c r="AM241" s="773"/>
      <c r="AN241" s="776"/>
      <c r="AO241" s="769"/>
      <c r="AP241" s="769"/>
      <c r="AQ241" s="773"/>
      <c r="AR241" s="773"/>
      <c r="AS241" s="773"/>
      <c r="AT24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41" s="779">
        <f>WWWW[[#This Row],[%Equitable and continuous access to sufficient quantity of safe drinking water]]*WWWW[[#This Row],[Total PoP ]]</f>
        <v>0</v>
      </c>
      <c r="AV24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41" s="779">
        <f>WWWW[[#This Row],[% Access to unimproved water points]]*WWWW[[#This Row],[Total PoP ]]</f>
        <v>0</v>
      </c>
      <c r="AX24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4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41" s="779">
        <f>WWWW[[#This Row],[HRP1]]/250</f>
        <v>0</v>
      </c>
      <c r="BA241" s="780">
        <f>1-WWWW[[#This Row],[% Equitable and continuous access to sufficient quantity of domestic water]]</f>
        <v>1</v>
      </c>
      <c r="BB241" s="779">
        <f>WWWW[[#This Row],[%equitable and continuous access to sufficient quantity of safe drinking and domestic water''s GAP]]*WWWW[[#This Row],[Total PoP ]]</f>
        <v>569</v>
      </c>
      <c r="BC241" s="781">
        <f>IF(WWWW[[#This Row],[Total required water points]]-WWWW[[#This Row],['#Water points coverage]]&lt;0,0,WWWW[[#This Row],[Total required water points]]-WWWW[[#This Row],['#Water points coverage]])</f>
        <v>2</v>
      </c>
      <c r="BD241" s="781">
        <f>ROUND(IF(WWWW[[#This Row],[Total PoP ]]&lt;250,1,WWWW[[#This Row],[Total PoP ]]/250),0)</f>
        <v>2</v>
      </c>
      <c r="BE24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0.28295254833040423</v>
      </c>
      <c r="BF241" s="779">
        <f>WWWW[[#This Row],[% people access to functioning Latrine]]*WWWW[[#This Row],[Total PoP ]]</f>
        <v>161</v>
      </c>
      <c r="BG241" s="781">
        <f>WWWW[[#This Row],['#_of_Functioning_latrines_in_school]]*50</f>
        <v>0</v>
      </c>
      <c r="BH241" s="781">
        <f>ROUND((WWWW[[#This Row],[Total PoP ]]/6),0)</f>
        <v>95</v>
      </c>
      <c r="BI241" s="781">
        <f>IF(WWWW[[#This Row],[Total required Latrines]]-(WWWW[[#This Row],['#_of_sanitary_fly-proof_HH_latrines]])&lt;0,0,WWWW[[#This Row],[Total required Latrines]]-(WWWW[[#This Row],['#_of_sanitary_fly-proof_HH_latrines]]))</f>
        <v>72</v>
      </c>
      <c r="BJ241" s="778">
        <f>1-WWWW[[#This Row],[% people access to functioning Latrine]]</f>
        <v>0.71704745166959571</v>
      </c>
      <c r="BK24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41" s="772">
        <f>IF(WWWW[[#This Row],['#_of_functional_handwashing_facilities_at_HH_level]]*6&gt;WWWW[[#This Row],[Total PoP ]],WWWW[[#This Row],[Total PoP ]],WWWW[[#This Row],['#_of_functional_handwashing_facilities_at_HH_level]]*6)</f>
        <v>0</v>
      </c>
      <c r="BM241" s="781">
        <f>IF(WWWW[[#This Row],['# people reached by regular dedicated hygiene promotion]]&gt;WWWW[[#This Row],['# People received regular supply of hygiene items]],WWWW[[#This Row],['# people reached by regular dedicated hygiene promotion]],WWWW[[#This Row],['# People received regular supply of hygiene items]])</f>
        <v>0</v>
      </c>
      <c r="BN241" s="780">
        <f>IF(WWWW[[#This Row],[HRP3]]/WWWW[[#This Row],[Total PoP ]]&gt;100%,100%,WWWW[[#This Row],[HRP3]]/WWWW[[#This Row],[Total PoP ]])</f>
        <v>0</v>
      </c>
      <c r="BO241" s="778">
        <f>1-WWWW[[#This Row],[Hygiene Coverage%]]</f>
        <v>1</v>
      </c>
      <c r="BP241" s="777">
        <f>WWWW[[#This Row],['# people reached by regular dedicated hygiene promotion]]/WWWW[[#This Row],[Total PoP ]]</f>
        <v>0</v>
      </c>
      <c r="BQ24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41" s="770">
        <f>WWWW[[#This Row],['#_of_affected_women_and_girls_receiving_a_sufficient_quantity_of_sanitary_pads]]</f>
        <v>0</v>
      </c>
      <c r="BS241" s="773">
        <f>IF(WWWW[[#This Row],['# People with access to soap]]&gt;WWWW[[#This Row],['# People with access to Sanity Pads]],WWWW[[#This Row],['# People with access to soap]],WWWW[[#This Row],['# People with access to Sanity Pads]])</f>
        <v>0</v>
      </c>
      <c r="BT241" s="772" t="str">
        <f>IF(OR(WWWW[[#This Row],['#of students in school]]="",WWWW[[#This Row],['#of students in school]]=0),"No","Yes")</f>
        <v>Yes</v>
      </c>
      <c r="BU241" s="782" t="str">
        <f>VLOOKUP(WWWW[[#This Row],[Village  Name]],SiteDB6[[Site Name]:[Location Type 1]],9,FALSE)</f>
        <v>Village</v>
      </c>
      <c r="BV241" s="782" t="str">
        <f>VLOOKUP(WWWW[[#This Row],[Village  Name]],SiteDB6[[Site Name]:[Type of Accommodation]],10,FALSE)</f>
        <v>Village</v>
      </c>
      <c r="BW241" s="782">
        <f>VLOOKUP(WWWW[[#This Row],[Village  Name]],SiteDB6[[Site Name]:[Ethnic or GCA/NGCA]],11,FALSE)</f>
        <v>0</v>
      </c>
      <c r="BX241" s="782">
        <f>VLOOKUP(WWWW[[#This Row],[Village  Name]],SiteDB6[[Site Name]:[Lat]],12,FALSE)</f>
        <v>0</v>
      </c>
      <c r="BY241" s="782">
        <f>VLOOKUP(WWWW[[#This Row],[Village  Name]],SiteDB6[[Site Name]:[Long]],13,FALSE)</f>
        <v>0</v>
      </c>
      <c r="BZ241" s="782">
        <f>VLOOKUP(WWWW[[#This Row],[Village  Name]],SiteDB6[[Site Name]:[Pcode]],3,FALSE)</f>
        <v>0</v>
      </c>
      <c r="CA241" s="782" t="str">
        <f t="shared" si="16"/>
        <v>Covered</v>
      </c>
      <c r="CB241" s="783"/>
    </row>
    <row r="242" spans="1:80">
      <c r="A242" s="727" t="s">
        <v>3199</v>
      </c>
      <c r="B242" s="727" t="s">
        <v>2994</v>
      </c>
      <c r="C242" s="727" t="s">
        <v>2994</v>
      </c>
      <c r="D242" s="728" t="s">
        <v>704</v>
      </c>
      <c r="E242" s="643" t="s">
        <v>698</v>
      </c>
      <c r="F242" s="728" t="s">
        <v>1255</v>
      </c>
      <c r="G242" s="782" t="str">
        <f>VLOOKUP(WWWW[[#This Row],[Village  Name]],SiteDB6[[Site Name]:[Location Type]],8,FALSE)</f>
        <v>Village</v>
      </c>
      <c r="H242" s="728" t="s">
        <v>3106</v>
      </c>
      <c r="I242" s="775">
        <v>54</v>
      </c>
      <c r="J242" s="775">
        <v>259</v>
      </c>
      <c r="K242" s="784" t="s">
        <v>3272</v>
      </c>
      <c r="L242" s="785" t="s">
        <v>3273</v>
      </c>
      <c r="M242" s="775">
        <v>23</v>
      </c>
      <c r="N242" s="775">
        <v>0</v>
      </c>
      <c r="O242" s="773">
        <v>0</v>
      </c>
      <c r="P242" s="775"/>
      <c r="Q242" s="775"/>
      <c r="R242" s="775"/>
      <c r="S242" s="775"/>
      <c r="T242" s="775"/>
      <c r="U242" s="776"/>
      <c r="V242" s="775"/>
      <c r="W242" s="775">
        <v>0</v>
      </c>
      <c r="X242" s="775"/>
      <c r="Y242" s="775"/>
      <c r="Z242" s="775"/>
      <c r="AA242" s="775"/>
      <c r="AB242" s="775"/>
      <c r="AC242" s="776"/>
      <c r="AD242" s="775"/>
      <c r="AE242" s="775"/>
      <c r="AF242" s="775"/>
      <c r="AG242" s="775"/>
      <c r="AH242" s="775"/>
      <c r="AI242" s="775"/>
      <c r="AJ242" s="773"/>
      <c r="AK242" s="775"/>
      <c r="AL242" s="773"/>
      <c r="AM242" s="773"/>
      <c r="AN242" s="776"/>
      <c r="AO242" s="769"/>
      <c r="AP242" s="769"/>
      <c r="AQ242" s="773"/>
      <c r="AR242" s="773"/>
      <c r="AS242" s="773"/>
      <c r="AT24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42" s="779">
        <f>WWWW[[#This Row],[%Equitable and continuous access to sufficient quantity of safe drinking water]]*WWWW[[#This Row],[Total PoP ]]</f>
        <v>0</v>
      </c>
      <c r="AV24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42" s="779">
        <f>WWWW[[#This Row],[% Access to unimproved water points]]*WWWW[[#This Row],[Total PoP ]]</f>
        <v>0</v>
      </c>
      <c r="AX24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4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42" s="779">
        <f>WWWW[[#This Row],[HRP1]]/250</f>
        <v>0</v>
      </c>
      <c r="BA242" s="780">
        <f>1-WWWW[[#This Row],[% Equitable and continuous access to sufficient quantity of domestic water]]</f>
        <v>1</v>
      </c>
      <c r="BB242" s="779">
        <f>WWWW[[#This Row],[%equitable and continuous access to sufficient quantity of safe drinking and domestic water''s GAP]]*WWWW[[#This Row],[Total PoP ]]</f>
        <v>259</v>
      </c>
      <c r="BC242" s="781">
        <f>IF(WWWW[[#This Row],[Total required water points]]-WWWW[[#This Row],['#Water points coverage]]&lt;0,0,WWWW[[#This Row],[Total required water points]]-WWWW[[#This Row],['#Water points coverage]])</f>
        <v>1</v>
      </c>
      <c r="BD242" s="781">
        <f>ROUND(IF(WWWW[[#This Row],[Total PoP ]]&lt;250,1,WWWW[[#This Row],[Total PoP ]]/250),0)</f>
        <v>1</v>
      </c>
      <c r="BE24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42" s="779">
        <f>WWWW[[#This Row],[% people access to functioning Latrine]]*WWWW[[#This Row],[Total PoP ]]</f>
        <v>0</v>
      </c>
      <c r="BG242" s="781">
        <f>WWWW[[#This Row],['#_of_Functioning_latrines_in_school]]*50</f>
        <v>0</v>
      </c>
      <c r="BH242" s="781">
        <f>ROUND((WWWW[[#This Row],[Total PoP ]]/6),0)</f>
        <v>43</v>
      </c>
      <c r="BI242" s="781">
        <f>IF(WWWW[[#This Row],[Total required Latrines]]-(WWWW[[#This Row],['#_of_sanitary_fly-proof_HH_latrines]])&lt;0,0,WWWW[[#This Row],[Total required Latrines]]-(WWWW[[#This Row],['#_of_sanitary_fly-proof_HH_latrines]]))</f>
        <v>43</v>
      </c>
      <c r="BJ242" s="778">
        <f>1-WWWW[[#This Row],[% people access to functioning Latrine]]</f>
        <v>1</v>
      </c>
      <c r="BK24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42" s="772">
        <f>IF(WWWW[[#This Row],['#_of_functional_handwashing_facilities_at_HH_level]]*6&gt;WWWW[[#This Row],[Total PoP ]],WWWW[[#This Row],[Total PoP ]],WWWW[[#This Row],['#_of_functional_handwashing_facilities_at_HH_level]]*6)</f>
        <v>0</v>
      </c>
      <c r="BM242" s="781">
        <f>IF(WWWW[[#This Row],['# people reached by regular dedicated hygiene promotion]]&gt;WWWW[[#This Row],['# People received regular supply of hygiene items]],WWWW[[#This Row],['# people reached by regular dedicated hygiene promotion]],WWWW[[#This Row],['# People received regular supply of hygiene items]])</f>
        <v>0</v>
      </c>
      <c r="BN242" s="780">
        <f>IF(WWWW[[#This Row],[HRP3]]/WWWW[[#This Row],[Total PoP ]]&gt;100%,100%,WWWW[[#This Row],[HRP3]]/WWWW[[#This Row],[Total PoP ]])</f>
        <v>0</v>
      </c>
      <c r="BO242" s="778">
        <f>1-WWWW[[#This Row],[Hygiene Coverage%]]</f>
        <v>1</v>
      </c>
      <c r="BP242" s="777">
        <f>WWWW[[#This Row],['# people reached by regular dedicated hygiene promotion]]/WWWW[[#This Row],[Total PoP ]]</f>
        <v>0</v>
      </c>
      <c r="BQ24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42" s="770">
        <f>WWWW[[#This Row],['#_of_affected_women_and_girls_receiving_a_sufficient_quantity_of_sanitary_pads]]</f>
        <v>0</v>
      </c>
      <c r="BS242" s="773">
        <f>IF(WWWW[[#This Row],['# People with access to soap]]&gt;WWWW[[#This Row],['# People with access to Sanity Pads]],WWWW[[#This Row],['# People with access to soap]],WWWW[[#This Row],['# People with access to Sanity Pads]])</f>
        <v>0</v>
      </c>
      <c r="BT242" s="772" t="str">
        <f>IF(OR(WWWW[[#This Row],['#of students in school]]="",WWWW[[#This Row],['#of students in school]]=0),"No","Yes")</f>
        <v>Yes</v>
      </c>
      <c r="BU242" s="782" t="str">
        <f>VLOOKUP(WWWW[[#This Row],[Village  Name]],SiteDB6[[Site Name]:[Location Type 1]],9,FALSE)</f>
        <v>Village</v>
      </c>
      <c r="BV242" s="782" t="str">
        <f>VLOOKUP(WWWW[[#This Row],[Village  Name]],SiteDB6[[Site Name]:[Type of Accommodation]],10,FALSE)</f>
        <v>Village</v>
      </c>
      <c r="BW242" s="782">
        <f>VLOOKUP(WWWW[[#This Row],[Village  Name]],SiteDB6[[Site Name]:[Ethnic or GCA/NGCA]],11,FALSE)</f>
        <v>0</v>
      </c>
      <c r="BX242" s="782">
        <f>VLOOKUP(WWWW[[#This Row],[Village  Name]],SiteDB6[[Site Name]:[Lat]],12,FALSE)</f>
        <v>0</v>
      </c>
      <c r="BY242" s="782">
        <f>VLOOKUP(WWWW[[#This Row],[Village  Name]],SiteDB6[[Site Name]:[Long]],13,FALSE)</f>
        <v>0</v>
      </c>
      <c r="BZ242" s="782">
        <f>VLOOKUP(WWWW[[#This Row],[Village  Name]],SiteDB6[[Site Name]:[Pcode]],3,FALSE)</f>
        <v>0</v>
      </c>
      <c r="CA242" s="782" t="str">
        <f t="shared" si="16"/>
        <v>Covered</v>
      </c>
      <c r="CB242" s="783"/>
    </row>
    <row r="243" spans="1:80">
      <c r="A243" s="774" t="s">
        <v>3199</v>
      </c>
      <c r="B243" s="727" t="s">
        <v>287</v>
      </c>
      <c r="C243" s="728" t="s">
        <v>287</v>
      </c>
      <c r="D243" s="728" t="s">
        <v>234</v>
      </c>
      <c r="E243" s="728" t="s">
        <v>2648</v>
      </c>
      <c r="F243" s="728" t="s">
        <v>402</v>
      </c>
      <c r="G243" s="644" t="str">
        <f>VLOOKUP(WWWW[[#This Row],[Village  Name]],SiteDB6[[Site Name]:[Location Type]],8,FALSE)</f>
        <v>Village</v>
      </c>
      <c r="H243" s="728" t="s">
        <v>408</v>
      </c>
      <c r="I243" s="775">
        <v>204</v>
      </c>
      <c r="J243" s="775">
        <v>1055</v>
      </c>
      <c r="K243" s="784">
        <v>43556</v>
      </c>
      <c r="L243" s="785">
        <v>44012</v>
      </c>
      <c r="M243" s="775">
        <v>241</v>
      </c>
      <c r="N243" s="775"/>
      <c r="O243" s="773">
        <v>1</v>
      </c>
      <c r="P243" s="775">
        <v>1</v>
      </c>
      <c r="Q243" s="775">
        <v>3</v>
      </c>
      <c r="R243" s="775"/>
      <c r="S243" s="775">
        <v>527</v>
      </c>
      <c r="T243" s="775"/>
      <c r="U243" s="776"/>
      <c r="V243" s="775">
        <v>35</v>
      </c>
      <c r="W243" s="775" t="s">
        <v>40</v>
      </c>
      <c r="X243" s="775">
        <v>2</v>
      </c>
      <c r="Y243" s="775"/>
      <c r="Z243" s="775"/>
      <c r="AA243" s="775"/>
      <c r="AB243" s="775"/>
      <c r="AC243" s="776"/>
      <c r="AD243" s="775">
        <v>87</v>
      </c>
      <c r="AE243" s="775">
        <v>102</v>
      </c>
      <c r="AF243" s="775">
        <v>46</v>
      </c>
      <c r="AG243" s="775">
        <v>56</v>
      </c>
      <c r="AH243" s="775"/>
      <c r="AI243" s="775"/>
      <c r="AJ243" s="773"/>
      <c r="AK243" s="775">
        <v>1</v>
      </c>
      <c r="AL243" s="773"/>
      <c r="AM243" s="773"/>
      <c r="AN243" s="776"/>
      <c r="AO243" s="769"/>
      <c r="AP243" s="769"/>
      <c r="AQ243" s="773"/>
      <c r="AR243" s="773"/>
      <c r="AS243" s="773"/>
      <c r="AT24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43" s="779">
        <f>WWWW[[#This Row],[%Equitable and continuous access to sufficient quantity of safe drinking water]]*WWWW[[#This Row],[Total PoP ]]</f>
        <v>1055</v>
      </c>
      <c r="AV24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43" s="779">
        <f>WWWW[[#This Row],[% Access to unimproved water points]]*WWWW[[#This Row],[Total PoP ]]</f>
        <v>1055</v>
      </c>
      <c r="AX24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4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1055</v>
      </c>
      <c r="AZ243" s="779">
        <f>WWWW[[#This Row],[HRP1]]/250</f>
        <v>4.22</v>
      </c>
      <c r="BA243" s="780">
        <f>1-WWWW[[#This Row],[% Equitable and continuous access to sufficient quantity of domestic water]]</f>
        <v>0</v>
      </c>
      <c r="BB243" s="779">
        <f>WWWW[[#This Row],[%equitable and continuous access to sufficient quantity of safe drinking and domestic water''s GAP]]*WWWW[[#This Row],[Total PoP ]]</f>
        <v>0</v>
      </c>
      <c r="BC243" s="781">
        <f>IF(WWWW[[#This Row],[Total required water points]]-WWWW[[#This Row],['#Water points coverage]]&lt;0,0,WWWW[[#This Row],[Total required water points]]-WWWW[[#This Row],['#Water points coverage]])</f>
        <v>0</v>
      </c>
      <c r="BD243" s="781">
        <f>ROUND(IF(WWWW[[#This Row],[Total PoP ]]&lt;250,1,WWWW[[#This Row],[Total PoP ]]/250),0)</f>
        <v>4</v>
      </c>
      <c r="BE24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0.1990521327014218</v>
      </c>
      <c r="BF243" s="779">
        <f>WWWW[[#This Row],[% people access to functioning Latrine]]*WWWW[[#This Row],[Total PoP ]]</f>
        <v>210</v>
      </c>
      <c r="BG243" s="781">
        <f>WWWW[[#This Row],['#_of_Functioning_latrines_in_school]]*50</f>
        <v>100</v>
      </c>
      <c r="BH243" s="781">
        <f>ROUND((WWWW[[#This Row],[Total PoP ]]/6),0)</f>
        <v>176</v>
      </c>
      <c r="BI243" s="781">
        <f>IF(WWWW[[#This Row],[Total required Latrines]]-(WWWW[[#This Row],['#_of_sanitary_fly-proof_HH_latrines]])&lt;0,0,WWWW[[#This Row],[Total required Latrines]]-(WWWW[[#This Row],['#_of_sanitary_fly-proof_HH_latrines]]))</f>
        <v>141</v>
      </c>
      <c r="BJ243" s="778">
        <f>1-WWWW[[#This Row],[% people access to functioning Latrine]]</f>
        <v>0.80094786729857814</v>
      </c>
      <c r="BK24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291</v>
      </c>
      <c r="BL243" s="772">
        <f>IF(WWWW[[#This Row],['#_of_functional_handwashing_facilities_at_HH_level]]*6&gt;WWWW[[#This Row],[Total PoP ]],WWWW[[#This Row],[Total PoP ]],WWWW[[#This Row],['#_of_functional_handwashing_facilities_at_HH_level]]*6)</f>
        <v>0</v>
      </c>
      <c r="BM243" s="781">
        <f>IF(WWWW[[#This Row],['# people reached by regular dedicated hygiene promotion]]&gt;WWWW[[#This Row],['# People received regular supply of hygiene items]],WWWW[[#This Row],['# people reached by regular dedicated hygiene promotion]],WWWW[[#This Row],['# People received regular supply of hygiene items]])</f>
        <v>291</v>
      </c>
      <c r="BN243" s="780">
        <f>IF(WWWW[[#This Row],[HRP3]]/WWWW[[#This Row],[Total PoP ]]&gt;100%,100%,WWWW[[#This Row],[HRP3]]/WWWW[[#This Row],[Total PoP ]])</f>
        <v>0.27582938388625594</v>
      </c>
      <c r="BO243" s="778">
        <f>1-WWWW[[#This Row],[Hygiene Coverage%]]</f>
        <v>0.724170616113744</v>
      </c>
      <c r="BP243" s="777">
        <f>WWWW[[#This Row],['# people reached by regular dedicated hygiene promotion]]/WWWW[[#This Row],[Total PoP ]]</f>
        <v>0.27582938388625594</v>
      </c>
      <c r="BQ24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43" s="770">
        <f>WWWW[[#This Row],['#_of_affected_women_and_girls_receiving_a_sufficient_quantity_of_sanitary_pads]]</f>
        <v>0</v>
      </c>
      <c r="BS243" s="773">
        <f>IF(WWWW[[#This Row],['# People with access to soap]]&gt;WWWW[[#This Row],['# People with access to Sanity Pads]],WWWW[[#This Row],['# People with access to soap]],WWWW[[#This Row],['# People with access to Sanity Pads]])</f>
        <v>0</v>
      </c>
      <c r="BT243" s="772" t="str">
        <f>IF(OR(WWWW[[#This Row],['#of students in school]]="",WWWW[[#This Row],['#of students in school]]=0),"No","Yes")</f>
        <v>Yes</v>
      </c>
      <c r="BU243" s="782" t="str">
        <f>VLOOKUP(WWWW[[#This Row],[Village  Name]],SiteDB6[[Site Name]:[Location Type 1]],9,FALSE)</f>
        <v>Village</v>
      </c>
      <c r="BV243" s="782" t="str">
        <f>VLOOKUP(WWWW[[#This Row],[Village  Name]],SiteDB6[[Site Name]:[Type of Accommodation]],10,FALSE)</f>
        <v>Village</v>
      </c>
      <c r="BW243" s="782" t="str">
        <f>VLOOKUP(WWWW[[#This Row],[Village  Name]],SiteDB6[[Site Name]:[Ethnic or GCA/NGCA]],11,FALSE)</f>
        <v>Rakhine</v>
      </c>
      <c r="BX243" s="782">
        <f>VLOOKUP(WWWW[[#This Row],[Village  Name]],SiteDB6[[Site Name]:[Lat]],12,FALSE)</f>
        <v>20.0839</v>
      </c>
      <c r="BY243" s="782">
        <f>VLOOKUP(WWWW[[#This Row],[Village  Name]],SiteDB6[[Site Name]:[Long]],13,FALSE)</f>
        <v>92.993799999999993</v>
      </c>
      <c r="BZ243" s="782">
        <f>VLOOKUP(WWWW[[#This Row],[Village  Name]],SiteDB6[[Site Name]:[Pcode]],3,FALSE)</f>
        <v>197557</v>
      </c>
      <c r="CA243" s="782" t="str">
        <f t="shared" ref="CA243:CA269" si="17">IF(C243="none","Notcovered","Covered")</f>
        <v>Covered</v>
      </c>
      <c r="CB243" s="783"/>
    </row>
    <row r="244" spans="1:80">
      <c r="A244" s="774" t="s">
        <v>3199</v>
      </c>
      <c r="B244" s="727" t="s">
        <v>287</v>
      </c>
      <c r="C244" s="728" t="s">
        <v>287</v>
      </c>
      <c r="D244" s="728" t="s">
        <v>234</v>
      </c>
      <c r="E244" s="728" t="s">
        <v>2648</v>
      </c>
      <c r="F244" s="728" t="s">
        <v>402</v>
      </c>
      <c r="G244" s="644" t="str">
        <f>VLOOKUP(WWWW[[#This Row],[Village  Name]],SiteDB6[[Site Name]:[Location Type]],8,FALSE)</f>
        <v>Village</v>
      </c>
      <c r="H244" s="728" t="s">
        <v>404</v>
      </c>
      <c r="I244" s="775">
        <v>948</v>
      </c>
      <c r="J244" s="775">
        <v>3946</v>
      </c>
      <c r="K244" s="784">
        <v>43556</v>
      </c>
      <c r="L244" s="785">
        <v>44012</v>
      </c>
      <c r="M244" s="775">
        <v>342</v>
      </c>
      <c r="N244" s="775"/>
      <c r="O244" s="773">
        <v>65</v>
      </c>
      <c r="P244" s="775">
        <v>110</v>
      </c>
      <c r="Q244" s="775">
        <v>3</v>
      </c>
      <c r="R244" s="775"/>
      <c r="S244" s="775">
        <v>1973</v>
      </c>
      <c r="T244" s="775">
        <v>2</v>
      </c>
      <c r="U244" s="776"/>
      <c r="V244" s="775">
        <v>85</v>
      </c>
      <c r="W244" s="775" t="s">
        <v>40</v>
      </c>
      <c r="X244" s="775">
        <v>4</v>
      </c>
      <c r="Y244" s="775"/>
      <c r="Z244" s="775"/>
      <c r="AA244" s="775"/>
      <c r="AB244" s="775"/>
      <c r="AC244" s="776"/>
      <c r="AD244" s="775">
        <v>532</v>
      </c>
      <c r="AE244" s="775">
        <v>538</v>
      </c>
      <c r="AF244" s="775">
        <v>192</v>
      </c>
      <c r="AG244" s="775">
        <v>193</v>
      </c>
      <c r="AH244" s="775"/>
      <c r="AI244" s="775"/>
      <c r="AJ244" s="773"/>
      <c r="AK244" s="775">
        <v>2</v>
      </c>
      <c r="AL244" s="773"/>
      <c r="AM244" s="773"/>
      <c r="AN244" s="776"/>
      <c r="AO244" s="769"/>
      <c r="AP244" s="769"/>
      <c r="AQ244" s="773"/>
      <c r="AR244" s="773"/>
      <c r="AS244" s="773"/>
      <c r="AT24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44" s="779">
        <f>WWWW[[#This Row],[%Equitable and continuous access to sufficient quantity of safe drinking water]]*WWWW[[#This Row],[Total PoP ]]</f>
        <v>3946</v>
      </c>
      <c r="AV24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44" s="779">
        <f>WWWW[[#This Row],[% Access to unimproved water points]]*WWWW[[#This Row],[Total PoP ]]</f>
        <v>3946</v>
      </c>
      <c r="AX24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4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3946</v>
      </c>
      <c r="AZ244" s="779">
        <f>WWWW[[#This Row],[HRP1]]/250</f>
        <v>15.784000000000001</v>
      </c>
      <c r="BA244" s="780">
        <f>1-WWWW[[#This Row],[% Equitable and continuous access to sufficient quantity of domestic water]]</f>
        <v>0</v>
      </c>
      <c r="BB244" s="779">
        <f>WWWW[[#This Row],[%equitable and continuous access to sufficient quantity of safe drinking and domestic water''s GAP]]*WWWW[[#This Row],[Total PoP ]]</f>
        <v>0</v>
      </c>
      <c r="BC244" s="781">
        <f>IF(WWWW[[#This Row],[Total required water points]]-WWWW[[#This Row],['#Water points coverage]]&lt;0,0,WWWW[[#This Row],[Total required water points]]-WWWW[[#This Row],['#Water points coverage]])</f>
        <v>0.2159999999999993</v>
      </c>
      <c r="BD244" s="781">
        <f>ROUND(IF(WWWW[[#This Row],[Total PoP ]]&lt;250,1,WWWW[[#This Row],[Total PoP ]]/250),0)</f>
        <v>16</v>
      </c>
      <c r="BE24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0.12924480486568676</v>
      </c>
      <c r="BF244" s="779">
        <f>WWWW[[#This Row],[% people access to functioning Latrine]]*WWWW[[#This Row],[Total PoP ]]</f>
        <v>509.99999999999994</v>
      </c>
      <c r="BG244" s="781">
        <f>WWWW[[#This Row],['#_of_Functioning_latrines_in_school]]*50</f>
        <v>200</v>
      </c>
      <c r="BH244" s="781">
        <f>ROUND((WWWW[[#This Row],[Total PoP ]]/6),0)</f>
        <v>658</v>
      </c>
      <c r="BI244" s="781">
        <f>IF(WWWW[[#This Row],[Total required Latrines]]-(WWWW[[#This Row],['#_of_sanitary_fly-proof_HH_latrines]])&lt;0,0,WWWW[[#This Row],[Total required Latrines]]-(WWWW[[#This Row],['#_of_sanitary_fly-proof_HH_latrines]]))</f>
        <v>573</v>
      </c>
      <c r="BJ244" s="778">
        <f>1-WWWW[[#This Row],[% people access to functioning Latrine]]</f>
        <v>0.87075519513431321</v>
      </c>
      <c r="BK24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1455</v>
      </c>
      <c r="BL244" s="772">
        <f>IF(WWWW[[#This Row],['#_of_functional_handwashing_facilities_at_HH_level]]*6&gt;WWWW[[#This Row],[Total PoP ]],WWWW[[#This Row],[Total PoP ]],WWWW[[#This Row],['#_of_functional_handwashing_facilities_at_HH_level]]*6)</f>
        <v>0</v>
      </c>
      <c r="BM244" s="781">
        <f>IF(WWWW[[#This Row],['# people reached by regular dedicated hygiene promotion]]&gt;WWWW[[#This Row],['# People received regular supply of hygiene items]],WWWW[[#This Row],['# people reached by regular dedicated hygiene promotion]],WWWW[[#This Row],['# People received regular supply of hygiene items]])</f>
        <v>1455</v>
      </c>
      <c r="BN244" s="780">
        <f>IF(WWWW[[#This Row],[HRP3]]/WWWW[[#This Row],[Total PoP ]]&gt;100%,100%,WWWW[[#This Row],[HRP3]]/WWWW[[#This Row],[Total PoP ]])</f>
        <v>0.36872782564622403</v>
      </c>
      <c r="BO244" s="778">
        <f>1-WWWW[[#This Row],[Hygiene Coverage%]]</f>
        <v>0.63127217435377592</v>
      </c>
      <c r="BP244" s="777">
        <f>WWWW[[#This Row],['# people reached by regular dedicated hygiene promotion]]/WWWW[[#This Row],[Total PoP ]]</f>
        <v>0.36872782564622403</v>
      </c>
      <c r="BQ24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44" s="770">
        <f>WWWW[[#This Row],['#_of_affected_women_and_girls_receiving_a_sufficient_quantity_of_sanitary_pads]]</f>
        <v>0</v>
      </c>
      <c r="BS244" s="773">
        <f>IF(WWWW[[#This Row],['# People with access to soap]]&gt;WWWW[[#This Row],['# People with access to Sanity Pads]],WWWW[[#This Row],['# People with access to soap]],WWWW[[#This Row],['# People with access to Sanity Pads]])</f>
        <v>0</v>
      </c>
      <c r="BT244" s="772" t="str">
        <f>IF(OR(WWWW[[#This Row],['#of students in school]]="",WWWW[[#This Row],['#of students in school]]=0),"No","Yes")</f>
        <v>Yes</v>
      </c>
      <c r="BU244" s="782" t="str">
        <f>VLOOKUP(WWWW[[#This Row],[Village  Name]],SiteDB6[[Site Name]:[Location Type 1]],9,FALSE)</f>
        <v>Village</v>
      </c>
      <c r="BV244" s="782" t="str">
        <f>VLOOKUP(WWWW[[#This Row],[Village  Name]],SiteDB6[[Site Name]:[Type of Accommodation]],10,FALSE)</f>
        <v>Village</v>
      </c>
      <c r="BW244" s="782" t="str">
        <f>VLOOKUP(WWWW[[#This Row],[Village  Name]],SiteDB6[[Site Name]:[Ethnic or GCA/NGCA]],11,FALSE)</f>
        <v>Muslim</v>
      </c>
      <c r="BX244" s="782">
        <f>VLOOKUP(WWWW[[#This Row],[Village  Name]],SiteDB6[[Site Name]:[Lat]],12,FALSE)</f>
        <v>20.0641</v>
      </c>
      <c r="BY244" s="782">
        <f>VLOOKUP(WWWW[[#This Row],[Village  Name]],SiteDB6[[Site Name]:[Long]],13,FALSE)</f>
        <v>92.994600000000005</v>
      </c>
      <c r="BZ244" s="782">
        <f>VLOOKUP(WWWW[[#This Row],[Village  Name]],SiteDB6[[Site Name]:[Pcode]],3,FALSE)</f>
        <v>197548</v>
      </c>
      <c r="CA244" s="782" t="str">
        <f t="shared" si="17"/>
        <v>Covered</v>
      </c>
      <c r="CB244" s="783"/>
    </row>
    <row r="245" spans="1:80">
      <c r="A245" s="774" t="s">
        <v>3199</v>
      </c>
      <c r="B245" s="727" t="s">
        <v>287</v>
      </c>
      <c r="C245" s="728" t="s">
        <v>287</v>
      </c>
      <c r="D245" s="728" t="s">
        <v>234</v>
      </c>
      <c r="E245" s="728" t="s">
        <v>2648</v>
      </c>
      <c r="F245" s="728" t="s">
        <v>402</v>
      </c>
      <c r="G245" s="644" t="str">
        <f>VLOOKUP(WWWW[[#This Row],[Village  Name]],SiteDB6[[Site Name]:[Location Type]],8,FALSE)</f>
        <v>Village</v>
      </c>
      <c r="H245" s="415" t="s">
        <v>403</v>
      </c>
      <c r="I245" s="775">
        <v>477</v>
      </c>
      <c r="J245" s="775">
        <v>2034</v>
      </c>
      <c r="K245" s="784">
        <v>43556</v>
      </c>
      <c r="L245" s="785">
        <v>44012</v>
      </c>
      <c r="M245" s="775">
        <v>462</v>
      </c>
      <c r="N245" s="775"/>
      <c r="O245" s="773">
        <v>35</v>
      </c>
      <c r="P245" s="775">
        <v>50</v>
      </c>
      <c r="Q245" s="775">
        <v>1</v>
      </c>
      <c r="R245" s="775"/>
      <c r="S245" s="775">
        <v>1017</v>
      </c>
      <c r="T245" s="775">
        <v>2</v>
      </c>
      <c r="U245" s="776"/>
      <c r="V245" s="775">
        <v>90</v>
      </c>
      <c r="W245" s="775" t="s">
        <v>40</v>
      </c>
      <c r="X245" s="775">
        <v>8</v>
      </c>
      <c r="Y245" s="775"/>
      <c r="Z245" s="775"/>
      <c r="AA245" s="775"/>
      <c r="AB245" s="775"/>
      <c r="AC245" s="776"/>
      <c r="AD245" s="775">
        <v>31</v>
      </c>
      <c r="AE245" s="775">
        <v>220</v>
      </c>
      <c r="AF245" s="775">
        <v>36</v>
      </c>
      <c r="AG245" s="775">
        <v>35</v>
      </c>
      <c r="AH245" s="775"/>
      <c r="AI245" s="775"/>
      <c r="AJ245" s="773"/>
      <c r="AK245" s="775">
        <v>4</v>
      </c>
      <c r="AL245" s="773"/>
      <c r="AM245" s="773"/>
      <c r="AN245" s="776"/>
      <c r="AO245" s="769"/>
      <c r="AP245" s="769"/>
      <c r="AQ245" s="773"/>
      <c r="AR245" s="773"/>
      <c r="AS245" s="773"/>
      <c r="AT24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45" s="779">
        <f>WWWW[[#This Row],[%Equitable and continuous access to sufficient quantity of safe drinking water]]*WWWW[[#This Row],[Total PoP ]]</f>
        <v>2034</v>
      </c>
      <c r="AV24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45" s="779">
        <f>WWWW[[#This Row],[% Access to unimproved water points]]*WWWW[[#This Row],[Total PoP ]]</f>
        <v>2034</v>
      </c>
      <c r="AX24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4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2034</v>
      </c>
      <c r="AZ245" s="779">
        <f>WWWW[[#This Row],[HRP1]]/250</f>
        <v>8.1359999999999992</v>
      </c>
      <c r="BA245" s="780">
        <f>1-WWWW[[#This Row],[% Equitable and continuous access to sufficient quantity of domestic water]]</f>
        <v>0</v>
      </c>
      <c r="BB245" s="779">
        <f>WWWW[[#This Row],[%equitable and continuous access to sufficient quantity of safe drinking and domestic water''s GAP]]*WWWW[[#This Row],[Total PoP ]]</f>
        <v>0</v>
      </c>
      <c r="BC245" s="781">
        <f>IF(WWWW[[#This Row],[Total required water points]]-WWWW[[#This Row],['#Water points coverage]]&lt;0,0,WWWW[[#This Row],[Total required water points]]-WWWW[[#This Row],['#Water points coverage]])</f>
        <v>0</v>
      </c>
      <c r="BD245" s="781">
        <f>ROUND(IF(WWWW[[#This Row],[Total PoP ]]&lt;250,1,WWWW[[#This Row],[Total PoP ]]/250),0)</f>
        <v>8</v>
      </c>
      <c r="BE24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0.26548672566371684</v>
      </c>
      <c r="BF245" s="779">
        <f>WWWW[[#This Row],[% people access to functioning Latrine]]*WWWW[[#This Row],[Total PoP ]]</f>
        <v>540</v>
      </c>
      <c r="BG245" s="781">
        <f>WWWW[[#This Row],['#_of_Functioning_latrines_in_school]]*50</f>
        <v>400</v>
      </c>
      <c r="BH245" s="781">
        <f>ROUND((WWWW[[#This Row],[Total PoP ]]/6),0)</f>
        <v>339</v>
      </c>
      <c r="BI245" s="781">
        <f>IF(WWWW[[#This Row],[Total required Latrines]]-(WWWW[[#This Row],['#_of_sanitary_fly-proof_HH_latrines]])&lt;0,0,WWWW[[#This Row],[Total required Latrines]]-(WWWW[[#This Row],['#_of_sanitary_fly-proof_HH_latrines]]))</f>
        <v>249</v>
      </c>
      <c r="BJ245" s="778">
        <f>1-WWWW[[#This Row],[% people access to functioning Latrine]]</f>
        <v>0.73451327433628322</v>
      </c>
      <c r="BK24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322</v>
      </c>
      <c r="BL245" s="772">
        <f>IF(WWWW[[#This Row],['#_of_functional_handwashing_facilities_at_HH_level]]*6&gt;WWWW[[#This Row],[Total PoP ]],WWWW[[#This Row],[Total PoP ]],WWWW[[#This Row],['#_of_functional_handwashing_facilities_at_HH_level]]*6)</f>
        <v>0</v>
      </c>
      <c r="BM245" s="781">
        <f>IF(WWWW[[#This Row],['# people reached by regular dedicated hygiene promotion]]&gt;WWWW[[#This Row],['# People received regular supply of hygiene items]],WWWW[[#This Row],['# people reached by regular dedicated hygiene promotion]],WWWW[[#This Row],['# People received regular supply of hygiene items]])</f>
        <v>322</v>
      </c>
      <c r="BN245" s="780">
        <f>IF(WWWW[[#This Row],[HRP3]]/WWWW[[#This Row],[Total PoP ]]&gt;100%,100%,WWWW[[#This Row],[HRP3]]/WWWW[[#This Row],[Total PoP ]])</f>
        <v>0.1583087512291052</v>
      </c>
      <c r="BO245" s="778">
        <f>1-WWWW[[#This Row],[Hygiene Coverage%]]</f>
        <v>0.84169124877089474</v>
      </c>
      <c r="BP245" s="777">
        <f>WWWW[[#This Row],['# people reached by regular dedicated hygiene promotion]]/WWWW[[#This Row],[Total PoP ]]</f>
        <v>0.1583087512291052</v>
      </c>
      <c r="BQ24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45" s="770">
        <f>WWWW[[#This Row],['#_of_affected_women_and_girls_receiving_a_sufficient_quantity_of_sanitary_pads]]</f>
        <v>0</v>
      </c>
      <c r="BS245" s="773">
        <f>IF(WWWW[[#This Row],['# People with access to soap]]&gt;WWWW[[#This Row],['# People with access to Sanity Pads]],WWWW[[#This Row],['# People with access to soap]],WWWW[[#This Row],['# People with access to Sanity Pads]])</f>
        <v>0</v>
      </c>
      <c r="BT245" s="772" t="str">
        <f>IF(OR(WWWW[[#This Row],['#of students in school]]="",WWWW[[#This Row],['#of students in school]]=0),"No","Yes")</f>
        <v>Yes</v>
      </c>
      <c r="BU245" s="782" t="str">
        <f>VLOOKUP(WWWW[[#This Row],[Village  Name]],SiteDB6[[Site Name]:[Location Type 1]],9,FALSE)</f>
        <v>Village</v>
      </c>
      <c r="BV245" s="782" t="str">
        <f>VLOOKUP(WWWW[[#This Row],[Village  Name]],SiteDB6[[Site Name]:[Type of Accommodation]],10,FALSE)</f>
        <v>Village</v>
      </c>
      <c r="BW245" s="782" t="str">
        <f>VLOOKUP(WWWW[[#This Row],[Village  Name]],SiteDB6[[Site Name]:[Ethnic or GCA/NGCA]],11,FALSE)</f>
        <v>Rakhine</v>
      </c>
      <c r="BX245" s="782">
        <f>VLOOKUP(WWWW[[#This Row],[Village  Name]],SiteDB6[[Site Name]:[Lat]],12,FALSE)</f>
        <v>20.057860999999999</v>
      </c>
      <c r="BY245" s="782">
        <f>VLOOKUP(WWWW[[#This Row],[Village  Name]],SiteDB6[[Site Name]:[Long]],13,FALSE)</f>
        <v>92.995181000000002</v>
      </c>
      <c r="BZ245" s="782">
        <f>VLOOKUP(WWWW[[#This Row],[Village  Name]],SiteDB6[[Site Name]:[Pcode]],3,FALSE)</f>
        <v>197550</v>
      </c>
      <c r="CA245" s="782" t="str">
        <f t="shared" si="17"/>
        <v>Covered</v>
      </c>
      <c r="CB245" s="783"/>
    </row>
    <row r="246" spans="1:80">
      <c r="A246" s="774" t="s">
        <v>3199</v>
      </c>
      <c r="B246" s="727" t="s">
        <v>287</v>
      </c>
      <c r="C246" s="728" t="s">
        <v>287</v>
      </c>
      <c r="D246" s="728" t="s">
        <v>327</v>
      </c>
      <c r="E246" s="728" t="s">
        <v>2648</v>
      </c>
      <c r="F246" s="728" t="s">
        <v>402</v>
      </c>
      <c r="G246" s="644" t="str">
        <f>VLOOKUP(WWWW[[#This Row],[Village  Name]],SiteDB6[[Site Name]:[Location Type]],8,FALSE)</f>
        <v>Village</v>
      </c>
      <c r="H246" s="728" t="s">
        <v>3154</v>
      </c>
      <c r="I246" s="775">
        <v>79</v>
      </c>
      <c r="J246" s="775">
        <v>341</v>
      </c>
      <c r="K246" s="784">
        <v>43359</v>
      </c>
      <c r="L246" s="785">
        <v>44196</v>
      </c>
      <c r="M246" s="775">
        <v>40</v>
      </c>
      <c r="N246" s="775"/>
      <c r="O246" s="773"/>
      <c r="P246" s="775"/>
      <c r="Q246" s="775">
        <v>1</v>
      </c>
      <c r="R246" s="775"/>
      <c r="S246" s="775">
        <v>341</v>
      </c>
      <c r="T246" s="775">
        <v>1</v>
      </c>
      <c r="U246" s="776"/>
      <c r="V246" s="775">
        <v>5</v>
      </c>
      <c r="W246" s="775" t="s">
        <v>126</v>
      </c>
      <c r="X246" s="775">
        <v>3</v>
      </c>
      <c r="Y246" s="775">
        <v>14</v>
      </c>
      <c r="Z246" s="775"/>
      <c r="AA246" s="775"/>
      <c r="AB246" s="775"/>
      <c r="AC246" s="776"/>
      <c r="AD246" s="775"/>
      <c r="AE246" s="775"/>
      <c r="AF246" s="775"/>
      <c r="AG246" s="775"/>
      <c r="AH246" s="775"/>
      <c r="AI246" s="775"/>
      <c r="AJ246" s="773"/>
      <c r="AK246" s="775"/>
      <c r="AL246" s="773"/>
      <c r="AM246" s="773"/>
      <c r="AN246" s="776"/>
      <c r="AO246" s="769"/>
      <c r="AP246" s="769"/>
      <c r="AQ246" s="773"/>
      <c r="AR246" s="773"/>
      <c r="AS246" s="773"/>
      <c r="AT24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0.73313782991202348</v>
      </c>
      <c r="AU246" s="779">
        <f>WWWW[[#This Row],[%Equitable and continuous access to sufficient quantity of safe drinking water]]*WWWW[[#This Row],[Total PoP ]]</f>
        <v>250</v>
      </c>
      <c r="AV24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46" s="779">
        <f>WWWW[[#This Row],[% Access to unimproved water points]]*WWWW[[#This Row],[Total PoP ]]</f>
        <v>341</v>
      </c>
      <c r="AX24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4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341</v>
      </c>
      <c r="AZ246" s="779">
        <f>WWWW[[#This Row],[HRP1]]/250</f>
        <v>1.3640000000000001</v>
      </c>
      <c r="BA246" s="780">
        <f>1-WWWW[[#This Row],[% Equitable and continuous access to sufficient quantity of domestic water]]</f>
        <v>0</v>
      </c>
      <c r="BB246" s="779">
        <f>WWWW[[#This Row],[%equitable and continuous access to sufficient quantity of safe drinking and domestic water''s GAP]]*WWWW[[#This Row],[Total PoP ]]</f>
        <v>0</v>
      </c>
      <c r="BC246" s="781">
        <f>IF(WWWW[[#This Row],[Total required water points]]-WWWW[[#This Row],['#Water points coverage]]&lt;0,0,WWWW[[#This Row],[Total required water points]]-WWWW[[#This Row],['#Water points coverage]])</f>
        <v>0</v>
      </c>
      <c r="BD246" s="781">
        <f>ROUND(IF(WWWW[[#This Row],[Total PoP ]]&lt;250,1,WWWW[[#This Row],[Total PoP ]]/250),0)</f>
        <v>1</v>
      </c>
      <c r="BE24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8.797653958944282E-2</v>
      </c>
      <c r="BF246" s="779">
        <f>WWWW[[#This Row],[% people access to functioning Latrine]]*WWWW[[#This Row],[Total PoP ]]</f>
        <v>30</v>
      </c>
      <c r="BG246" s="781">
        <f>WWWW[[#This Row],['#_of_Functioning_latrines_in_school]]*50</f>
        <v>150</v>
      </c>
      <c r="BH246" s="781">
        <f>ROUND((WWWW[[#This Row],[Total PoP ]]/6),0)</f>
        <v>57</v>
      </c>
      <c r="BI246" s="781">
        <f>IF(WWWW[[#This Row],[Total required Latrines]]-(WWWW[[#This Row],['#_of_sanitary_fly-proof_HH_latrines]])&lt;0,0,WWWW[[#This Row],[Total required Latrines]]-(WWWW[[#This Row],['#_of_sanitary_fly-proof_HH_latrines]]))</f>
        <v>52</v>
      </c>
      <c r="BJ246" s="778">
        <f>1-WWWW[[#This Row],[% people access to functioning Latrine]]</f>
        <v>0.91202346041055715</v>
      </c>
      <c r="BK24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46" s="772">
        <f>IF(WWWW[[#This Row],['#_of_functional_handwashing_facilities_at_HH_level]]*6&gt;WWWW[[#This Row],[Total PoP ]],WWWW[[#This Row],[Total PoP ]],WWWW[[#This Row],['#_of_functional_handwashing_facilities_at_HH_level]]*6)</f>
        <v>0</v>
      </c>
      <c r="BM246" s="781">
        <f>IF(WWWW[[#This Row],['# people reached by regular dedicated hygiene promotion]]&gt;WWWW[[#This Row],['# People received regular supply of hygiene items]],WWWW[[#This Row],['# people reached by regular dedicated hygiene promotion]],WWWW[[#This Row],['# People received regular supply of hygiene items]])</f>
        <v>0</v>
      </c>
      <c r="BN246" s="780">
        <f>IF(WWWW[[#This Row],[HRP3]]/WWWW[[#This Row],[Total PoP ]]&gt;100%,100%,WWWW[[#This Row],[HRP3]]/WWWW[[#This Row],[Total PoP ]])</f>
        <v>0</v>
      </c>
      <c r="BO246" s="778">
        <f>1-WWWW[[#This Row],[Hygiene Coverage%]]</f>
        <v>1</v>
      </c>
      <c r="BP246" s="777">
        <f>WWWW[[#This Row],['# people reached by regular dedicated hygiene promotion]]/WWWW[[#This Row],[Total PoP ]]</f>
        <v>0</v>
      </c>
      <c r="BQ24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46" s="770">
        <f>WWWW[[#This Row],['#_of_affected_women_and_girls_receiving_a_sufficient_quantity_of_sanitary_pads]]</f>
        <v>0</v>
      </c>
      <c r="BS246" s="773">
        <f>IF(WWWW[[#This Row],['# People with access to soap]]&gt;WWWW[[#This Row],['# People with access to Sanity Pads]],WWWW[[#This Row],['# People with access to soap]],WWWW[[#This Row],['# People with access to Sanity Pads]])</f>
        <v>0</v>
      </c>
      <c r="BT246" s="772" t="str">
        <f>IF(OR(WWWW[[#This Row],['#of students in school]]="",WWWW[[#This Row],['#of students in school]]=0),"No","Yes")</f>
        <v>Yes</v>
      </c>
      <c r="BU246" s="782" t="str">
        <f>VLOOKUP(WWWW[[#This Row],[Village  Name]],SiteDB6[[Site Name]:[Location Type 1]],9,FALSE)</f>
        <v>Village</v>
      </c>
      <c r="BV246" s="782" t="str">
        <f>VLOOKUP(WWWW[[#This Row],[Village  Name]],SiteDB6[[Site Name]:[Type of Accommodation]],10,FALSE)</f>
        <v>Village</v>
      </c>
      <c r="BW246" s="782">
        <f>VLOOKUP(WWWW[[#This Row],[Village  Name]],SiteDB6[[Site Name]:[Ethnic or GCA/NGCA]],11,FALSE)</f>
        <v>0</v>
      </c>
      <c r="BX246" s="782">
        <f>VLOOKUP(WWWW[[#This Row],[Village  Name]],SiteDB6[[Site Name]:[Lat]],12,FALSE)</f>
        <v>92.969009399414105</v>
      </c>
      <c r="BY246" s="782">
        <f>VLOOKUP(WWWW[[#This Row],[Village  Name]],SiteDB6[[Site Name]:[Long]],13,FALSE)</f>
        <v>20.014240264892599</v>
      </c>
      <c r="BZ246" s="782">
        <f>VLOOKUP(WWWW[[#This Row],[Village  Name]],SiteDB6[[Site Name]:[Pcode]],3,FALSE)</f>
        <v>197542</v>
      </c>
      <c r="CA246" s="782" t="str">
        <f t="shared" si="17"/>
        <v>Covered</v>
      </c>
      <c r="CB246" s="783"/>
    </row>
    <row r="247" spans="1:80">
      <c r="A247" s="774" t="s">
        <v>3199</v>
      </c>
      <c r="B247" s="727" t="s">
        <v>287</v>
      </c>
      <c r="C247" s="728" t="s">
        <v>287</v>
      </c>
      <c r="D247" s="728" t="s">
        <v>327</v>
      </c>
      <c r="E247" s="728" t="s">
        <v>2648</v>
      </c>
      <c r="F247" s="728" t="s">
        <v>402</v>
      </c>
      <c r="G247" s="644" t="str">
        <f>VLOOKUP(WWWW[[#This Row],[Village  Name]],SiteDB6[[Site Name]:[Location Type]],8,FALSE)</f>
        <v>Village</v>
      </c>
      <c r="H247" s="728" t="s">
        <v>3155</v>
      </c>
      <c r="I247" s="775">
        <v>84</v>
      </c>
      <c r="J247" s="775">
        <v>359</v>
      </c>
      <c r="K247" s="784">
        <v>43359</v>
      </c>
      <c r="L247" s="785">
        <v>44196</v>
      </c>
      <c r="M247" s="775">
        <v>78</v>
      </c>
      <c r="N247" s="775"/>
      <c r="O247" s="773"/>
      <c r="P247" s="775"/>
      <c r="Q247" s="775">
        <v>0</v>
      </c>
      <c r="R247" s="775"/>
      <c r="S247" s="775">
        <v>359</v>
      </c>
      <c r="T247" s="775">
        <v>0</v>
      </c>
      <c r="U247" s="776"/>
      <c r="V247" s="775">
        <v>2</v>
      </c>
      <c r="W247" s="775" t="s">
        <v>126</v>
      </c>
      <c r="X247" s="775">
        <v>1</v>
      </c>
      <c r="Y247" s="775">
        <v>8</v>
      </c>
      <c r="Z247" s="775"/>
      <c r="AA247" s="775"/>
      <c r="AB247" s="775"/>
      <c r="AC247" s="776"/>
      <c r="AD247" s="775"/>
      <c r="AE247" s="775"/>
      <c r="AF247" s="775"/>
      <c r="AG247" s="775"/>
      <c r="AH247" s="775"/>
      <c r="AI247" s="775"/>
      <c r="AJ247" s="773"/>
      <c r="AK247" s="775"/>
      <c r="AL247" s="773"/>
      <c r="AM247" s="773"/>
      <c r="AN247" s="776"/>
      <c r="AO247" s="769"/>
      <c r="AP247" s="769"/>
      <c r="AQ247" s="773"/>
      <c r="AR247" s="773"/>
      <c r="AS247" s="773"/>
      <c r="AT24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47" s="779">
        <f>WWWW[[#This Row],[%Equitable and continuous access to sufficient quantity of safe drinking water]]*WWWW[[#This Row],[Total PoP ]]</f>
        <v>0</v>
      </c>
      <c r="AV24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47" s="779">
        <f>WWWW[[#This Row],[% Access to unimproved water points]]*WWWW[[#This Row],[Total PoP ]]</f>
        <v>359</v>
      </c>
      <c r="AX24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4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359</v>
      </c>
      <c r="AZ247" s="779">
        <f>WWWW[[#This Row],[HRP1]]/250</f>
        <v>1.4359999999999999</v>
      </c>
      <c r="BA247" s="780">
        <f>1-WWWW[[#This Row],[% Equitable and continuous access to sufficient quantity of domestic water]]</f>
        <v>0</v>
      </c>
      <c r="BB247" s="779">
        <f>WWWW[[#This Row],[%equitable and continuous access to sufficient quantity of safe drinking and domestic water''s GAP]]*WWWW[[#This Row],[Total PoP ]]</f>
        <v>0</v>
      </c>
      <c r="BC247" s="781">
        <f>IF(WWWW[[#This Row],[Total required water points]]-WWWW[[#This Row],['#Water points coverage]]&lt;0,0,WWWW[[#This Row],[Total required water points]]-WWWW[[#This Row],['#Water points coverage]])</f>
        <v>0</v>
      </c>
      <c r="BD247" s="781">
        <f>ROUND(IF(WWWW[[#This Row],[Total PoP ]]&lt;250,1,WWWW[[#This Row],[Total PoP ]]/250),0)</f>
        <v>1</v>
      </c>
      <c r="BE24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3.3426183844011144E-2</v>
      </c>
      <c r="BF247" s="779">
        <f>WWWW[[#This Row],[% people access to functioning Latrine]]*WWWW[[#This Row],[Total PoP ]]</f>
        <v>12</v>
      </c>
      <c r="BG247" s="781">
        <f>WWWW[[#This Row],['#_of_Functioning_latrines_in_school]]*50</f>
        <v>50</v>
      </c>
      <c r="BH247" s="781">
        <f>ROUND((WWWW[[#This Row],[Total PoP ]]/6),0)</f>
        <v>60</v>
      </c>
      <c r="BI247" s="781">
        <f>IF(WWWW[[#This Row],[Total required Latrines]]-(WWWW[[#This Row],['#_of_sanitary_fly-proof_HH_latrines]])&lt;0,0,WWWW[[#This Row],[Total required Latrines]]-(WWWW[[#This Row],['#_of_sanitary_fly-proof_HH_latrines]]))</f>
        <v>58</v>
      </c>
      <c r="BJ247" s="778">
        <f>1-WWWW[[#This Row],[% people access to functioning Latrine]]</f>
        <v>0.96657381615598881</v>
      </c>
      <c r="BK24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47" s="772">
        <f>IF(WWWW[[#This Row],['#_of_functional_handwashing_facilities_at_HH_level]]*6&gt;WWWW[[#This Row],[Total PoP ]],WWWW[[#This Row],[Total PoP ]],WWWW[[#This Row],['#_of_functional_handwashing_facilities_at_HH_level]]*6)</f>
        <v>0</v>
      </c>
      <c r="BM247" s="781">
        <f>IF(WWWW[[#This Row],['# people reached by regular dedicated hygiene promotion]]&gt;WWWW[[#This Row],['# People received regular supply of hygiene items]],WWWW[[#This Row],['# people reached by regular dedicated hygiene promotion]],WWWW[[#This Row],['# People received regular supply of hygiene items]])</f>
        <v>0</v>
      </c>
      <c r="BN247" s="780">
        <f>IF(WWWW[[#This Row],[HRP3]]/WWWW[[#This Row],[Total PoP ]]&gt;100%,100%,WWWW[[#This Row],[HRP3]]/WWWW[[#This Row],[Total PoP ]])</f>
        <v>0</v>
      </c>
      <c r="BO247" s="778">
        <f>1-WWWW[[#This Row],[Hygiene Coverage%]]</f>
        <v>1</v>
      </c>
      <c r="BP247" s="777">
        <f>WWWW[[#This Row],['# people reached by regular dedicated hygiene promotion]]/WWWW[[#This Row],[Total PoP ]]</f>
        <v>0</v>
      </c>
      <c r="BQ24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47" s="770">
        <f>WWWW[[#This Row],['#_of_affected_women_and_girls_receiving_a_sufficient_quantity_of_sanitary_pads]]</f>
        <v>0</v>
      </c>
      <c r="BS247" s="773">
        <f>IF(WWWW[[#This Row],['# People with access to soap]]&gt;WWWW[[#This Row],['# People with access to Sanity Pads]],WWWW[[#This Row],['# People with access to soap]],WWWW[[#This Row],['# People with access to Sanity Pads]])</f>
        <v>0</v>
      </c>
      <c r="BT247" s="772" t="str">
        <f>IF(OR(WWWW[[#This Row],['#of students in school]]="",WWWW[[#This Row],['#of students in school]]=0),"No","Yes")</f>
        <v>Yes</v>
      </c>
      <c r="BU247" s="782" t="str">
        <f>VLOOKUP(WWWW[[#This Row],[Village  Name]],SiteDB6[[Site Name]:[Location Type 1]],9,FALSE)</f>
        <v>Village</v>
      </c>
      <c r="BV247" s="782" t="str">
        <f>VLOOKUP(WWWW[[#This Row],[Village  Name]],SiteDB6[[Site Name]:[Type of Accommodation]],10,FALSE)</f>
        <v>Village</v>
      </c>
      <c r="BW247" s="782">
        <f>VLOOKUP(WWWW[[#This Row],[Village  Name]],SiteDB6[[Site Name]:[Ethnic or GCA/NGCA]],11,FALSE)</f>
        <v>0</v>
      </c>
      <c r="BX247" s="782">
        <f>VLOOKUP(WWWW[[#This Row],[Village  Name]],SiteDB6[[Site Name]:[Lat]],12,FALSE)</f>
        <v>92.967132568359403</v>
      </c>
      <c r="BY247" s="782">
        <f>VLOOKUP(WWWW[[#This Row],[Village  Name]],SiteDB6[[Site Name]:[Long]],13,FALSE)</f>
        <v>19.9705104827881</v>
      </c>
      <c r="BZ247" s="782">
        <f>VLOOKUP(WWWW[[#This Row],[Village  Name]],SiteDB6[[Site Name]:[Pcode]],3,FALSE)</f>
        <v>197568</v>
      </c>
      <c r="CA247" s="782" t="str">
        <f t="shared" si="17"/>
        <v>Covered</v>
      </c>
      <c r="CB247" s="783"/>
    </row>
    <row r="248" spans="1:80">
      <c r="A248" s="774" t="s">
        <v>3199</v>
      </c>
      <c r="B248" s="727" t="s">
        <v>287</v>
      </c>
      <c r="C248" s="728" t="s">
        <v>287</v>
      </c>
      <c r="D248" s="728" t="s">
        <v>327</v>
      </c>
      <c r="E248" s="728" t="s">
        <v>2648</v>
      </c>
      <c r="F248" s="728" t="s">
        <v>402</v>
      </c>
      <c r="G248" s="644" t="str">
        <f>VLOOKUP(WWWW[[#This Row],[Village  Name]],SiteDB6[[Site Name]:[Location Type]],8,FALSE)</f>
        <v>Village</v>
      </c>
      <c r="H248" s="728" t="s">
        <v>3164</v>
      </c>
      <c r="I248" s="775">
        <v>21</v>
      </c>
      <c r="J248" s="775">
        <v>83</v>
      </c>
      <c r="K248" s="784">
        <v>43359</v>
      </c>
      <c r="L248" s="785">
        <v>44196</v>
      </c>
      <c r="M248" s="775">
        <v>9</v>
      </c>
      <c r="N248" s="775"/>
      <c r="O248" s="773"/>
      <c r="P248" s="775"/>
      <c r="Q248" s="775">
        <v>1</v>
      </c>
      <c r="R248" s="775"/>
      <c r="S248" s="775">
        <v>83</v>
      </c>
      <c r="T248" s="775">
        <v>0</v>
      </c>
      <c r="U248" s="776"/>
      <c r="V248" s="775">
        <v>0</v>
      </c>
      <c r="W248" s="775" t="s">
        <v>126</v>
      </c>
      <c r="X248" s="775">
        <v>0</v>
      </c>
      <c r="Y248" s="775">
        <v>0</v>
      </c>
      <c r="Z248" s="775"/>
      <c r="AA248" s="775"/>
      <c r="AB248" s="775"/>
      <c r="AC248" s="776"/>
      <c r="AD248" s="775"/>
      <c r="AE248" s="775"/>
      <c r="AF248" s="775"/>
      <c r="AG248" s="775"/>
      <c r="AH248" s="775"/>
      <c r="AI248" s="775"/>
      <c r="AJ248" s="773"/>
      <c r="AK248" s="775"/>
      <c r="AL248" s="773"/>
      <c r="AM248" s="773"/>
      <c r="AN248" s="776"/>
      <c r="AO248" s="769"/>
      <c r="AP248" s="769"/>
      <c r="AQ248" s="773"/>
      <c r="AR248" s="773"/>
      <c r="AS248" s="773"/>
      <c r="AT24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48" s="779">
        <f>WWWW[[#This Row],[%Equitable and continuous access to sufficient quantity of safe drinking water]]*WWWW[[#This Row],[Total PoP ]]</f>
        <v>0</v>
      </c>
      <c r="AV24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48" s="779">
        <f>WWWW[[#This Row],[% Access to unimproved water points]]*WWWW[[#This Row],[Total PoP ]]</f>
        <v>83</v>
      </c>
      <c r="AX24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4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83</v>
      </c>
      <c r="AZ248" s="779">
        <f>WWWW[[#This Row],[HRP1]]/250</f>
        <v>0.33200000000000002</v>
      </c>
      <c r="BA248" s="780">
        <f>1-WWWW[[#This Row],[% Equitable and continuous access to sufficient quantity of domestic water]]</f>
        <v>0</v>
      </c>
      <c r="BB248" s="779">
        <f>WWWW[[#This Row],[%equitable and continuous access to sufficient quantity of safe drinking and domestic water''s GAP]]*WWWW[[#This Row],[Total PoP ]]</f>
        <v>0</v>
      </c>
      <c r="BC248" s="781">
        <f>IF(WWWW[[#This Row],[Total required water points]]-WWWW[[#This Row],['#Water points coverage]]&lt;0,0,WWWW[[#This Row],[Total required water points]]-WWWW[[#This Row],['#Water points coverage]])</f>
        <v>0.66799999999999993</v>
      </c>
      <c r="BD248" s="781">
        <f>ROUND(IF(WWWW[[#This Row],[Total PoP ]]&lt;250,1,WWWW[[#This Row],[Total PoP ]]/250),0)</f>
        <v>1</v>
      </c>
      <c r="BE24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48" s="779">
        <f>WWWW[[#This Row],[% people access to functioning Latrine]]*WWWW[[#This Row],[Total PoP ]]</f>
        <v>0</v>
      </c>
      <c r="BG248" s="781">
        <f>WWWW[[#This Row],['#_of_Functioning_latrines_in_school]]*50</f>
        <v>0</v>
      </c>
      <c r="BH248" s="781">
        <f>ROUND((WWWW[[#This Row],[Total PoP ]]/6),0)</f>
        <v>14</v>
      </c>
      <c r="BI248" s="781">
        <f>IF(WWWW[[#This Row],[Total required Latrines]]-(WWWW[[#This Row],['#_of_sanitary_fly-proof_HH_latrines]])&lt;0,0,WWWW[[#This Row],[Total required Latrines]]-(WWWW[[#This Row],['#_of_sanitary_fly-proof_HH_latrines]]))</f>
        <v>14</v>
      </c>
      <c r="BJ248" s="778">
        <f>1-WWWW[[#This Row],[% people access to functioning Latrine]]</f>
        <v>1</v>
      </c>
      <c r="BK24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48" s="772">
        <f>IF(WWWW[[#This Row],['#_of_functional_handwashing_facilities_at_HH_level]]*6&gt;WWWW[[#This Row],[Total PoP ]],WWWW[[#This Row],[Total PoP ]],WWWW[[#This Row],['#_of_functional_handwashing_facilities_at_HH_level]]*6)</f>
        <v>0</v>
      </c>
      <c r="BM248" s="781">
        <f>IF(WWWW[[#This Row],['# people reached by regular dedicated hygiene promotion]]&gt;WWWW[[#This Row],['# People received regular supply of hygiene items]],WWWW[[#This Row],['# people reached by regular dedicated hygiene promotion]],WWWW[[#This Row],['# People received regular supply of hygiene items]])</f>
        <v>0</v>
      </c>
      <c r="BN248" s="780">
        <f>IF(WWWW[[#This Row],[HRP3]]/WWWW[[#This Row],[Total PoP ]]&gt;100%,100%,WWWW[[#This Row],[HRP3]]/WWWW[[#This Row],[Total PoP ]])</f>
        <v>0</v>
      </c>
      <c r="BO248" s="778">
        <f>1-WWWW[[#This Row],[Hygiene Coverage%]]</f>
        <v>1</v>
      </c>
      <c r="BP248" s="777">
        <f>WWWW[[#This Row],['# people reached by regular dedicated hygiene promotion]]/WWWW[[#This Row],[Total PoP ]]</f>
        <v>0</v>
      </c>
      <c r="BQ24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48" s="770">
        <f>WWWW[[#This Row],['#_of_affected_women_and_girls_receiving_a_sufficient_quantity_of_sanitary_pads]]</f>
        <v>0</v>
      </c>
      <c r="BS248" s="773">
        <f>IF(WWWW[[#This Row],['# People with access to soap]]&gt;WWWW[[#This Row],['# People with access to Sanity Pads]],WWWW[[#This Row],['# People with access to soap]],WWWW[[#This Row],['# People with access to Sanity Pads]])</f>
        <v>0</v>
      </c>
      <c r="BT248" s="772" t="str">
        <f>IF(OR(WWWW[[#This Row],['#of students in school]]="",WWWW[[#This Row],['#of students in school]]=0),"No","Yes")</f>
        <v>Yes</v>
      </c>
      <c r="BU248" s="782" t="str">
        <f>VLOOKUP(WWWW[[#This Row],[Village  Name]],SiteDB6[[Site Name]:[Location Type 1]],9,FALSE)</f>
        <v>Village</v>
      </c>
      <c r="BV248" s="782" t="str">
        <f>VLOOKUP(WWWW[[#This Row],[Village  Name]],SiteDB6[[Site Name]:[Type of Accommodation]],10,FALSE)</f>
        <v>Village</v>
      </c>
      <c r="BW248" s="782">
        <f>VLOOKUP(WWWW[[#This Row],[Village  Name]],SiteDB6[[Site Name]:[Ethnic or GCA/NGCA]],11,FALSE)</f>
        <v>0</v>
      </c>
      <c r="BX248" s="782">
        <f>VLOOKUP(WWWW[[#This Row],[Village  Name]],SiteDB6[[Site Name]:[Lat]],12,FALSE)</f>
        <v>92.943733215332003</v>
      </c>
      <c r="BY248" s="782">
        <f>VLOOKUP(WWWW[[#This Row],[Village  Name]],SiteDB6[[Site Name]:[Long]],13,FALSE)</f>
        <v>20.0130805969238</v>
      </c>
      <c r="BZ248" s="782">
        <f>VLOOKUP(WWWW[[#This Row],[Village  Name]],SiteDB6[[Site Name]:[Pcode]],3,FALSE)</f>
        <v>217987</v>
      </c>
      <c r="CA248" s="782" t="str">
        <f t="shared" si="17"/>
        <v>Covered</v>
      </c>
      <c r="CB248" s="783"/>
    </row>
    <row r="249" spans="1:80">
      <c r="A249" s="774" t="s">
        <v>3199</v>
      </c>
      <c r="B249" s="727" t="s">
        <v>287</v>
      </c>
      <c r="C249" s="728" t="s">
        <v>287</v>
      </c>
      <c r="D249" s="728" t="s">
        <v>327</v>
      </c>
      <c r="E249" s="728" t="s">
        <v>2648</v>
      </c>
      <c r="F249" s="728" t="s">
        <v>402</v>
      </c>
      <c r="G249" s="644" t="str">
        <f>VLOOKUP(WWWW[[#This Row],[Village  Name]],SiteDB6[[Site Name]:[Location Type]],8,FALSE)</f>
        <v>Village</v>
      </c>
      <c r="H249" s="728" t="s">
        <v>806</v>
      </c>
      <c r="I249" s="775">
        <v>160</v>
      </c>
      <c r="J249" s="775">
        <v>728</v>
      </c>
      <c r="K249" s="784">
        <v>43359</v>
      </c>
      <c r="L249" s="785">
        <v>44196</v>
      </c>
      <c r="M249" s="775">
        <v>177</v>
      </c>
      <c r="N249" s="775"/>
      <c r="O249" s="773"/>
      <c r="P249" s="775"/>
      <c r="Q249" s="775">
        <v>0</v>
      </c>
      <c r="R249" s="775"/>
      <c r="S249" s="775">
        <v>728</v>
      </c>
      <c r="T249" s="775">
        <v>0</v>
      </c>
      <c r="U249" s="776"/>
      <c r="V249" s="775">
        <v>10</v>
      </c>
      <c r="W249" s="775" t="s">
        <v>126</v>
      </c>
      <c r="X249" s="775">
        <v>2</v>
      </c>
      <c r="Y249" s="775">
        <v>11</v>
      </c>
      <c r="Z249" s="775"/>
      <c r="AA249" s="775"/>
      <c r="AB249" s="775"/>
      <c r="AC249" s="776"/>
      <c r="AD249" s="775"/>
      <c r="AE249" s="775"/>
      <c r="AF249" s="775"/>
      <c r="AG249" s="775"/>
      <c r="AH249" s="775"/>
      <c r="AI249" s="775"/>
      <c r="AJ249" s="773"/>
      <c r="AK249" s="775"/>
      <c r="AL249" s="773"/>
      <c r="AM249" s="773"/>
      <c r="AN249" s="776"/>
      <c r="AO249" s="769"/>
      <c r="AP249" s="769"/>
      <c r="AQ249" s="773"/>
      <c r="AR249" s="773"/>
      <c r="AS249" s="773"/>
      <c r="AT24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49" s="779">
        <f>WWWW[[#This Row],[%Equitable and continuous access to sufficient quantity of safe drinking water]]*WWWW[[#This Row],[Total PoP ]]</f>
        <v>0</v>
      </c>
      <c r="AV24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49" s="779">
        <f>WWWW[[#This Row],[% Access to unimproved water points]]*WWWW[[#This Row],[Total PoP ]]</f>
        <v>728</v>
      </c>
      <c r="AX24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4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728</v>
      </c>
      <c r="AZ249" s="779">
        <f>WWWW[[#This Row],[HRP1]]/250</f>
        <v>2.9119999999999999</v>
      </c>
      <c r="BA249" s="780">
        <f>1-WWWW[[#This Row],[% Equitable and continuous access to sufficient quantity of domestic water]]</f>
        <v>0</v>
      </c>
      <c r="BB249" s="779">
        <f>WWWW[[#This Row],[%equitable and continuous access to sufficient quantity of safe drinking and domestic water''s GAP]]*WWWW[[#This Row],[Total PoP ]]</f>
        <v>0</v>
      </c>
      <c r="BC249" s="781">
        <f>IF(WWWW[[#This Row],[Total required water points]]-WWWW[[#This Row],['#Water points coverage]]&lt;0,0,WWWW[[#This Row],[Total required water points]]-WWWW[[#This Row],['#Water points coverage]])</f>
        <v>8.8000000000000078E-2</v>
      </c>
      <c r="BD249" s="781">
        <f>ROUND(IF(WWWW[[#This Row],[Total PoP ]]&lt;250,1,WWWW[[#This Row],[Total PoP ]]/250),0)</f>
        <v>3</v>
      </c>
      <c r="BE24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8.2417582417582416E-2</v>
      </c>
      <c r="BF249" s="779">
        <f>WWWW[[#This Row],[% people access to functioning Latrine]]*WWWW[[#This Row],[Total PoP ]]</f>
        <v>60</v>
      </c>
      <c r="BG249" s="781">
        <f>WWWW[[#This Row],['#_of_Functioning_latrines_in_school]]*50</f>
        <v>100</v>
      </c>
      <c r="BH249" s="781">
        <f>ROUND((WWWW[[#This Row],[Total PoP ]]/6),0)</f>
        <v>121</v>
      </c>
      <c r="BI249" s="781">
        <f>IF(WWWW[[#This Row],[Total required Latrines]]-(WWWW[[#This Row],['#_of_sanitary_fly-proof_HH_latrines]])&lt;0,0,WWWW[[#This Row],[Total required Latrines]]-(WWWW[[#This Row],['#_of_sanitary_fly-proof_HH_latrines]]))</f>
        <v>111</v>
      </c>
      <c r="BJ249" s="778">
        <f>1-WWWW[[#This Row],[% people access to functioning Latrine]]</f>
        <v>0.91758241758241754</v>
      </c>
      <c r="BK24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49" s="772">
        <f>IF(WWWW[[#This Row],['#_of_functional_handwashing_facilities_at_HH_level]]*6&gt;WWWW[[#This Row],[Total PoP ]],WWWW[[#This Row],[Total PoP ]],WWWW[[#This Row],['#_of_functional_handwashing_facilities_at_HH_level]]*6)</f>
        <v>0</v>
      </c>
      <c r="BM249" s="781">
        <f>IF(WWWW[[#This Row],['# people reached by regular dedicated hygiene promotion]]&gt;WWWW[[#This Row],['# People received regular supply of hygiene items]],WWWW[[#This Row],['# people reached by regular dedicated hygiene promotion]],WWWW[[#This Row],['# People received regular supply of hygiene items]])</f>
        <v>0</v>
      </c>
      <c r="BN249" s="780">
        <f>IF(WWWW[[#This Row],[HRP3]]/WWWW[[#This Row],[Total PoP ]]&gt;100%,100%,WWWW[[#This Row],[HRP3]]/WWWW[[#This Row],[Total PoP ]])</f>
        <v>0</v>
      </c>
      <c r="BO249" s="778">
        <f>1-WWWW[[#This Row],[Hygiene Coverage%]]</f>
        <v>1</v>
      </c>
      <c r="BP249" s="777">
        <f>WWWW[[#This Row],['# people reached by regular dedicated hygiene promotion]]/WWWW[[#This Row],[Total PoP ]]</f>
        <v>0</v>
      </c>
      <c r="BQ24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49" s="770">
        <f>WWWW[[#This Row],['#_of_affected_women_and_girls_receiving_a_sufficient_quantity_of_sanitary_pads]]</f>
        <v>0</v>
      </c>
      <c r="BS249" s="773">
        <f>IF(WWWW[[#This Row],['# People with access to soap]]&gt;WWWW[[#This Row],['# People with access to Sanity Pads]],WWWW[[#This Row],['# People with access to soap]],WWWW[[#This Row],['# People with access to Sanity Pads]])</f>
        <v>0</v>
      </c>
      <c r="BT249" s="772" t="str">
        <f>IF(OR(WWWW[[#This Row],['#of students in school]]="",WWWW[[#This Row],['#of students in school]]=0),"No","Yes")</f>
        <v>Yes</v>
      </c>
      <c r="BU249" s="782" t="str">
        <f>VLOOKUP(WWWW[[#This Row],[Village  Name]],SiteDB6[[Site Name]:[Location Type 1]],9,FALSE)</f>
        <v>Village</v>
      </c>
      <c r="BV249" s="782" t="str">
        <f>VLOOKUP(WWWW[[#This Row],[Village  Name]],SiteDB6[[Site Name]:[Type of Accommodation]],10,FALSE)</f>
        <v>Village</v>
      </c>
      <c r="BW249" s="782">
        <f>VLOOKUP(WWWW[[#This Row],[Village  Name]],SiteDB6[[Site Name]:[Ethnic or GCA/NGCA]],11,FALSE)</f>
        <v>0</v>
      </c>
      <c r="BX249" s="782">
        <f>VLOOKUP(WWWW[[#This Row],[Village  Name]],SiteDB6[[Site Name]:[Lat]],12,FALSE)</f>
        <v>19.94882965</v>
      </c>
      <c r="BY249" s="782">
        <f>VLOOKUP(WWWW[[#This Row],[Village  Name]],SiteDB6[[Site Name]:[Long]],13,FALSE)</f>
        <v>92.978782649999999</v>
      </c>
      <c r="BZ249" s="782">
        <f>VLOOKUP(WWWW[[#This Row],[Village  Name]],SiteDB6[[Site Name]:[Pcode]],3,FALSE)</f>
        <v>197566</v>
      </c>
      <c r="CA249" s="782" t="str">
        <f t="shared" si="17"/>
        <v>Covered</v>
      </c>
      <c r="CB249" s="783"/>
    </row>
    <row r="250" spans="1:80">
      <c r="A250" s="774" t="s">
        <v>3199</v>
      </c>
      <c r="B250" s="727" t="s">
        <v>314</v>
      </c>
      <c r="C250" s="728" t="s">
        <v>314</v>
      </c>
      <c r="D250" s="728" t="s">
        <v>327</v>
      </c>
      <c r="E250" s="728" t="s">
        <v>2648</v>
      </c>
      <c r="F250" s="728" t="s">
        <v>295</v>
      </c>
      <c r="G250" s="644" t="str">
        <f>VLOOKUP(WWWW[[#This Row],[Village  Name]],SiteDB6[[Site Name]:[Location Type]],8,FALSE)</f>
        <v>Village</v>
      </c>
      <c r="H250" s="728" t="s">
        <v>2577</v>
      </c>
      <c r="I250" s="775">
        <v>192</v>
      </c>
      <c r="J250" s="775">
        <v>1083</v>
      </c>
      <c r="K250" s="784">
        <v>42736</v>
      </c>
      <c r="L250" s="785">
        <v>44551</v>
      </c>
      <c r="M250" s="775"/>
      <c r="N250" s="775"/>
      <c r="O250" s="773">
        <v>2</v>
      </c>
      <c r="P250" s="775">
        <v>52</v>
      </c>
      <c r="Q250" s="775">
        <v>3</v>
      </c>
      <c r="R250" s="775">
        <v>53</v>
      </c>
      <c r="S250" s="775"/>
      <c r="T250" s="775"/>
      <c r="U250" s="776"/>
      <c r="V250" s="775">
        <v>112</v>
      </c>
      <c r="W250" s="775" t="s">
        <v>130</v>
      </c>
      <c r="X250" s="775"/>
      <c r="Y250" s="775"/>
      <c r="Z250" s="775"/>
      <c r="AA250" s="775"/>
      <c r="AB250" s="775"/>
      <c r="AC250" s="776"/>
      <c r="AD250" s="775"/>
      <c r="AE250" s="775"/>
      <c r="AF250" s="775"/>
      <c r="AG250" s="775"/>
      <c r="AH250" s="775"/>
      <c r="AI250" s="775"/>
      <c r="AJ250" s="773"/>
      <c r="AK250" s="775"/>
      <c r="AL250" s="773"/>
      <c r="AM250" s="773"/>
      <c r="AN250" s="776"/>
      <c r="AO250" s="769"/>
      <c r="AP250" s="769"/>
      <c r="AQ250" s="773"/>
      <c r="AR250" s="773"/>
      <c r="AS250" s="773"/>
      <c r="AT25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50" s="779">
        <f>WWWW[[#This Row],[%Equitable and continuous access to sufficient quantity of safe drinking water]]*WWWW[[#This Row],[Total PoP ]]</f>
        <v>1083</v>
      </c>
      <c r="AV25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50" s="779">
        <f>WWWW[[#This Row],[% Access to unimproved water points]]*WWWW[[#This Row],[Total PoP ]]</f>
        <v>1083</v>
      </c>
      <c r="AX25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5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1083</v>
      </c>
      <c r="AZ250" s="779">
        <f>WWWW[[#This Row],[HRP1]]/250</f>
        <v>4.3319999999999999</v>
      </c>
      <c r="BA250" s="780">
        <f>1-WWWW[[#This Row],[% Equitable and continuous access to sufficient quantity of domestic water]]</f>
        <v>0</v>
      </c>
      <c r="BB250" s="779">
        <f>WWWW[[#This Row],[%equitable and continuous access to sufficient quantity of safe drinking and domestic water''s GAP]]*WWWW[[#This Row],[Total PoP ]]</f>
        <v>0</v>
      </c>
      <c r="BC250" s="781">
        <f>IF(WWWW[[#This Row],[Total required water points]]-WWWW[[#This Row],['#Water points coverage]]&lt;0,0,WWWW[[#This Row],[Total required water points]]-WWWW[[#This Row],['#Water points coverage]])</f>
        <v>0</v>
      </c>
      <c r="BD250" s="781">
        <f>ROUND(IF(WWWW[[#This Row],[Total PoP ]]&lt;250,1,WWWW[[#This Row],[Total PoP ]]/250),0)</f>
        <v>4</v>
      </c>
      <c r="BE25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0.62049861495844871</v>
      </c>
      <c r="BF250" s="779">
        <f>WWWW[[#This Row],[% people access to functioning Latrine]]*WWWW[[#This Row],[Total PoP ]]</f>
        <v>672</v>
      </c>
      <c r="BG250" s="781">
        <f>WWWW[[#This Row],['#_of_Functioning_latrines_in_school]]*50</f>
        <v>0</v>
      </c>
      <c r="BH250" s="781">
        <f>ROUND((WWWW[[#This Row],[Total PoP ]]/6),0)</f>
        <v>181</v>
      </c>
      <c r="BI250" s="781">
        <f>IF(WWWW[[#This Row],[Total required Latrines]]-(WWWW[[#This Row],['#_of_sanitary_fly-proof_HH_latrines]])&lt;0,0,WWWW[[#This Row],[Total required Latrines]]-(WWWW[[#This Row],['#_of_sanitary_fly-proof_HH_latrines]]))</f>
        <v>69</v>
      </c>
      <c r="BJ250" s="778">
        <f>1-WWWW[[#This Row],[% people access to functioning Latrine]]</f>
        <v>0.37950138504155129</v>
      </c>
      <c r="BK25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50" s="772">
        <f>IF(WWWW[[#This Row],['#_of_functional_handwashing_facilities_at_HH_level]]*6&gt;WWWW[[#This Row],[Total PoP ]],WWWW[[#This Row],[Total PoP ]],WWWW[[#This Row],['#_of_functional_handwashing_facilities_at_HH_level]]*6)</f>
        <v>0</v>
      </c>
      <c r="BM250" s="781">
        <f>IF(WWWW[[#This Row],['# people reached by regular dedicated hygiene promotion]]&gt;WWWW[[#This Row],['# People received regular supply of hygiene items]],WWWW[[#This Row],['# people reached by regular dedicated hygiene promotion]],WWWW[[#This Row],['# People received regular supply of hygiene items]])</f>
        <v>0</v>
      </c>
      <c r="BN250" s="780">
        <f>IF(WWWW[[#This Row],[HRP3]]/WWWW[[#This Row],[Total PoP ]]&gt;100%,100%,WWWW[[#This Row],[HRP3]]/WWWW[[#This Row],[Total PoP ]])</f>
        <v>0</v>
      </c>
      <c r="BO250" s="778">
        <f>1-WWWW[[#This Row],[Hygiene Coverage%]]</f>
        <v>1</v>
      </c>
      <c r="BP250" s="777">
        <f>WWWW[[#This Row],['# people reached by regular dedicated hygiene promotion]]/WWWW[[#This Row],[Total PoP ]]</f>
        <v>0</v>
      </c>
      <c r="BQ25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50" s="770">
        <f>WWWW[[#This Row],['#_of_affected_women_and_girls_receiving_a_sufficient_quantity_of_sanitary_pads]]</f>
        <v>0</v>
      </c>
      <c r="BS250" s="773">
        <f>IF(WWWW[[#This Row],['# People with access to soap]]&gt;WWWW[[#This Row],['# People with access to Sanity Pads]],WWWW[[#This Row],['# People with access to soap]],WWWW[[#This Row],['# People with access to Sanity Pads]])</f>
        <v>0</v>
      </c>
      <c r="BT250" s="772" t="str">
        <f>IF(OR(WWWW[[#This Row],['#of students in school]]="",WWWW[[#This Row],['#of students in school]]=0),"No","Yes")</f>
        <v>No</v>
      </c>
      <c r="BU250" s="782" t="str">
        <f>VLOOKUP(WWWW[[#This Row],[Village  Name]],SiteDB6[[Site Name]:[Location Type 1]],9,FALSE)</f>
        <v>Village</v>
      </c>
      <c r="BV250" s="782" t="str">
        <f>VLOOKUP(WWWW[[#This Row],[Village  Name]],SiteDB6[[Site Name]:[Type of Accommodation]],10,FALSE)</f>
        <v>Village</v>
      </c>
      <c r="BW250" s="782">
        <f>VLOOKUP(WWWW[[#This Row],[Village  Name]],SiteDB6[[Site Name]:[Ethnic or GCA/NGCA]],11,FALSE)</f>
        <v>0</v>
      </c>
      <c r="BX250" s="782">
        <f>VLOOKUP(WWWW[[#This Row],[Village  Name]],SiteDB6[[Site Name]:[Lat]],12,FALSE)</f>
        <v>20.2034397125244</v>
      </c>
      <c r="BY250" s="782">
        <f>VLOOKUP(WWWW[[#This Row],[Village  Name]],SiteDB6[[Site Name]:[Long]],13,FALSE)</f>
        <v>92.909606933593807</v>
      </c>
      <c r="BZ250" s="782">
        <f>VLOOKUP(WWWW[[#This Row],[Village  Name]],SiteDB6[[Site Name]:[Pcode]],3,FALSE)</f>
        <v>196132</v>
      </c>
      <c r="CA250" s="782" t="str">
        <f t="shared" si="17"/>
        <v>Covered</v>
      </c>
      <c r="CB250" s="783"/>
    </row>
    <row r="251" spans="1:80">
      <c r="A251" s="774" t="s">
        <v>3199</v>
      </c>
      <c r="B251" s="727" t="s">
        <v>314</v>
      </c>
      <c r="C251" s="728" t="s">
        <v>314</v>
      </c>
      <c r="D251" s="728" t="s">
        <v>327</v>
      </c>
      <c r="E251" s="728" t="s">
        <v>2648</v>
      </c>
      <c r="F251" s="728" t="s">
        <v>295</v>
      </c>
      <c r="G251" s="644" t="str">
        <f>VLOOKUP(WWWW[[#This Row],[Village  Name]],SiteDB6[[Site Name]:[Location Type]],8,FALSE)</f>
        <v>Village</v>
      </c>
      <c r="H251" s="728" t="s">
        <v>2578</v>
      </c>
      <c r="I251" s="775">
        <v>65</v>
      </c>
      <c r="J251" s="775">
        <v>373</v>
      </c>
      <c r="K251" s="784">
        <v>42736</v>
      </c>
      <c r="L251" s="785">
        <v>44551</v>
      </c>
      <c r="M251" s="775"/>
      <c r="N251" s="775"/>
      <c r="O251" s="773">
        <v>4</v>
      </c>
      <c r="P251" s="775">
        <v>31</v>
      </c>
      <c r="Q251" s="775">
        <v>1</v>
      </c>
      <c r="R251" s="775"/>
      <c r="S251" s="775"/>
      <c r="T251" s="775"/>
      <c r="U251" s="776"/>
      <c r="V251" s="775">
        <v>44</v>
      </c>
      <c r="W251" s="775" t="s">
        <v>130</v>
      </c>
      <c r="X251" s="775"/>
      <c r="Y251" s="775"/>
      <c r="Z251" s="775"/>
      <c r="AA251" s="775"/>
      <c r="AB251" s="775"/>
      <c r="AC251" s="776"/>
      <c r="AD251" s="775"/>
      <c r="AE251" s="775"/>
      <c r="AF251" s="775"/>
      <c r="AG251" s="775"/>
      <c r="AH251" s="775"/>
      <c r="AI251" s="775"/>
      <c r="AJ251" s="773"/>
      <c r="AK251" s="775"/>
      <c r="AL251" s="773"/>
      <c r="AM251" s="773"/>
      <c r="AN251" s="776"/>
      <c r="AO251" s="769"/>
      <c r="AP251" s="769"/>
      <c r="AQ251" s="773"/>
      <c r="AR251" s="773"/>
      <c r="AS251" s="773"/>
      <c r="AT25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51" s="779">
        <f>WWWW[[#This Row],[%Equitable and continuous access to sufficient quantity of safe drinking water]]*WWWW[[#This Row],[Total PoP ]]</f>
        <v>373</v>
      </c>
      <c r="AV25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51" s="779">
        <f>WWWW[[#This Row],[% Access to unimproved water points]]*WWWW[[#This Row],[Total PoP ]]</f>
        <v>373</v>
      </c>
      <c r="AX25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5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373</v>
      </c>
      <c r="AZ251" s="779">
        <f>WWWW[[#This Row],[HRP1]]/250</f>
        <v>1.492</v>
      </c>
      <c r="BA251" s="780">
        <f>1-WWWW[[#This Row],[% Equitable and continuous access to sufficient quantity of domestic water]]</f>
        <v>0</v>
      </c>
      <c r="BB251" s="779">
        <f>WWWW[[#This Row],[%equitable and continuous access to sufficient quantity of safe drinking and domestic water''s GAP]]*WWWW[[#This Row],[Total PoP ]]</f>
        <v>0</v>
      </c>
      <c r="BC251" s="781">
        <f>IF(WWWW[[#This Row],[Total required water points]]-WWWW[[#This Row],['#Water points coverage]]&lt;0,0,WWWW[[#This Row],[Total required water points]]-WWWW[[#This Row],['#Water points coverage]])</f>
        <v>0</v>
      </c>
      <c r="BD251" s="781">
        <f>ROUND(IF(WWWW[[#This Row],[Total PoP ]]&lt;250,1,WWWW[[#This Row],[Total PoP ]]/250),0)</f>
        <v>1</v>
      </c>
      <c r="BE25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0.70777479892761397</v>
      </c>
      <c r="BF251" s="779">
        <f>WWWW[[#This Row],[% people access to functioning Latrine]]*WWWW[[#This Row],[Total PoP ]]</f>
        <v>264</v>
      </c>
      <c r="BG251" s="781">
        <f>WWWW[[#This Row],['#_of_Functioning_latrines_in_school]]*50</f>
        <v>0</v>
      </c>
      <c r="BH251" s="781">
        <f>ROUND((WWWW[[#This Row],[Total PoP ]]/6),0)</f>
        <v>62</v>
      </c>
      <c r="BI251" s="781">
        <f>IF(WWWW[[#This Row],[Total required Latrines]]-(WWWW[[#This Row],['#_of_sanitary_fly-proof_HH_latrines]])&lt;0,0,WWWW[[#This Row],[Total required Latrines]]-(WWWW[[#This Row],['#_of_sanitary_fly-proof_HH_latrines]]))</f>
        <v>18</v>
      </c>
      <c r="BJ251" s="778">
        <f>1-WWWW[[#This Row],[% people access to functioning Latrine]]</f>
        <v>0.29222520107238603</v>
      </c>
      <c r="BK25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51" s="772">
        <f>IF(WWWW[[#This Row],['#_of_functional_handwashing_facilities_at_HH_level]]*6&gt;WWWW[[#This Row],[Total PoP ]],WWWW[[#This Row],[Total PoP ]],WWWW[[#This Row],['#_of_functional_handwashing_facilities_at_HH_level]]*6)</f>
        <v>0</v>
      </c>
      <c r="BM251" s="781">
        <f>IF(WWWW[[#This Row],['# people reached by regular dedicated hygiene promotion]]&gt;WWWW[[#This Row],['# People received regular supply of hygiene items]],WWWW[[#This Row],['# people reached by regular dedicated hygiene promotion]],WWWW[[#This Row],['# People received regular supply of hygiene items]])</f>
        <v>0</v>
      </c>
      <c r="BN251" s="780">
        <f>IF(WWWW[[#This Row],[HRP3]]/WWWW[[#This Row],[Total PoP ]]&gt;100%,100%,WWWW[[#This Row],[HRP3]]/WWWW[[#This Row],[Total PoP ]])</f>
        <v>0</v>
      </c>
      <c r="BO251" s="778">
        <f>1-WWWW[[#This Row],[Hygiene Coverage%]]</f>
        <v>1</v>
      </c>
      <c r="BP251" s="777">
        <f>WWWW[[#This Row],['# people reached by regular dedicated hygiene promotion]]/WWWW[[#This Row],[Total PoP ]]</f>
        <v>0</v>
      </c>
      <c r="BQ25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51" s="770">
        <f>WWWW[[#This Row],['#_of_affected_women_and_girls_receiving_a_sufficient_quantity_of_sanitary_pads]]</f>
        <v>0</v>
      </c>
      <c r="BS251" s="773">
        <f>IF(WWWW[[#This Row],['# People with access to soap]]&gt;WWWW[[#This Row],['# People with access to Sanity Pads]],WWWW[[#This Row],['# People with access to soap]],WWWW[[#This Row],['# People with access to Sanity Pads]])</f>
        <v>0</v>
      </c>
      <c r="BT251" s="772" t="str">
        <f>IF(OR(WWWW[[#This Row],['#of students in school]]="",WWWW[[#This Row],['#of students in school]]=0),"No","Yes")</f>
        <v>No</v>
      </c>
      <c r="BU251" s="782" t="str">
        <f>VLOOKUP(WWWW[[#This Row],[Village  Name]],SiteDB6[[Site Name]:[Location Type 1]],9,FALSE)</f>
        <v>Village</v>
      </c>
      <c r="BV251" s="782" t="str">
        <f>VLOOKUP(WWWW[[#This Row],[Village  Name]],SiteDB6[[Site Name]:[Type of Accommodation]],10,FALSE)</f>
        <v>Village</v>
      </c>
      <c r="BW251" s="782">
        <f>VLOOKUP(WWWW[[#This Row],[Village  Name]],SiteDB6[[Site Name]:[Ethnic or GCA/NGCA]],11,FALSE)</f>
        <v>0</v>
      </c>
      <c r="BX251" s="782">
        <f>VLOOKUP(WWWW[[#This Row],[Village  Name]],SiteDB6[[Site Name]:[Lat]],12,FALSE)</f>
        <v>20.191799163818398</v>
      </c>
      <c r="BY251" s="782">
        <f>VLOOKUP(WWWW[[#This Row],[Village  Name]],SiteDB6[[Site Name]:[Long]],13,FALSE)</f>
        <v>92.9066162109375</v>
      </c>
      <c r="BZ251" s="782">
        <f>VLOOKUP(WWWW[[#This Row],[Village  Name]],SiteDB6[[Site Name]:[Pcode]],3,FALSE)</f>
        <v>196135</v>
      </c>
      <c r="CA251" s="782" t="str">
        <f t="shared" si="17"/>
        <v>Covered</v>
      </c>
      <c r="CB251" s="783"/>
    </row>
    <row r="252" spans="1:80">
      <c r="A252" s="774" t="s">
        <v>3199</v>
      </c>
      <c r="B252" s="727" t="s">
        <v>314</v>
      </c>
      <c r="C252" s="728" t="s">
        <v>314</v>
      </c>
      <c r="D252" s="728" t="s">
        <v>327</v>
      </c>
      <c r="E252" s="728" t="s">
        <v>2648</v>
      </c>
      <c r="F252" s="728" t="s">
        <v>295</v>
      </c>
      <c r="G252" s="644" t="str">
        <f>VLOOKUP(WWWW[[#This Row],[Village  Name]],SiteDB6[[Site Name]:[Location Type]],8,FALSE)</f>
        <v>Village</v>
      </c>
      <c r="H252" s="728" t="s">
        <v>2579</v>
      </c>
      <c r="I252" s="775">
        <v>86</v>
      </c>
      <c r="J252" s="775">
        <v>481</v>
      </c>
      <c r="K252" s="784">
        <v>42736</v>
      </c>
      <c r="L252" s="785">
        <v>44551</v>
      </c>
      <c r="M252" s="775"/>
      <c r="N252" s="775"/>
      <c r="O252" s="773">
        <v>8</v>
      </c>
      <c r="P252" s="775">
        <v>34</v>
      </c>
      <c r="Q252" s="775">
        <v>2</v>
      </c>
      <c r="R252" s="775"/>
      <c r="S252" s="775"/>
      <c r="T252" s="775"/>
      <c r="U252" s="776"/>
      <c r="V252" s="775">
        <v>67</v>
      </c>
      <c r="W252" s="775" t="s">
        <v>130</v>
      </c>
      <c r="X252" s="775"/>
      <c r="Y252" s="775"/>
      <c r="Z252" s="775"/>
      <c r="AA252" s="775"/>
      <c r="AB252" s="775"/>
      <c r="AC252" s="776"/>
      <c r="AD252" s="775"/>
      <c r="AE252" s="775"/>
      <c r="AF252" s="775"/>
      <c r="AG252" s="775"/>
      <c r="AH252" s="775"/>
      <c r="AI252" s="775"/>
      <c r="AJ252" s="773"/>
      <c r="AK252" s="775"/>
      <c r="AL252" s="773"/>
      <c r="AM252" s="773"/>
      <c r="AN252" s="776"/>
      <c r="AO252" s="769"/>
      <c r="AP252" s="769"/>
      <c r="AQ252" s="773"/>
      <c r="AR252" s="773"/>
      <c r="AS252" s="773"/>
      <c r="AT25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52" s="779">
        <f>WWWW[[#This Row],[%Equitable and continuous access to sufficient quantity of safe drinking water]]*WWWW[[#This Row],[Total PoP ]]</f>
        <v>481</v>
      </c>
      <c r="AV25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52" s="779">
        <f>WWWW[[#This Row],[% Access to unimproved water points]]*WWWW[[#This Row],[Total PoP ]]</f>
        <v>481</v>
      </c>
      <c r="AX25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5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481</v>
      </c>
      <c r="AZ252" s="779">
        <f>WWWW[[#This Row],[HRP1]]/250</f>
        <v>1.9239999999999999</v>
      </c>
      <c r="BA252" s="780">
        <f>1-WWWW[[#This Row],[% Equitable and continuous access to sufficient quantity of domestic water]]</f>
        <v>0</v>
      </c>
      <c r="BB252" s="779">
        <f>WWWW[[#This Row],[%equitable and continuous access to sufficient quantity of safe drinking and domestic water''s GAP]]*WWWW[[#This Row],[Total PoP ]]</f>
        <v>0</v>
      </c>
      <c r="BC252" s="781">
        <f>IF(WWWW[[#This Row],[Total required water points]]-WWWW[[#This Row],['#Water points coverage]]&lt;0,0,WWWW[[#This Row],[Total required water points]]-WWWW[[#This Row],['#Water points coverage]])</f>
        <v>7.6000000000000068E-2</v>
      </c>
      <c r="BD252" s="781">
        <f>ROUND(IF(WWWW[[#This Row],[Total PoP ]]&lt;250,1,WWWW[[#This Row],[Total PoP ]]/250),0)</f>
        <v>2</v>
      </c>
      <c r="BE25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0.83575883575883581</v>
      </c>
      <c r="BF252" s="779">
        <f>WWWW[[#This Row],[% people access to functioning Latrine]]*WWWW[[#This Row],[Total PoP ]]</f>
        <v>402</v>
      </c>
      <c r="BG252" s="781">
        <f>WWWW[[#This Row],['#_of_Functioning_latrines_in_school]]*50</f>
        <v>0</v>
      </c>
      <c r="BH252" s="781">
        <f>ROUND((WWWW[[#This Row],[Total PoP ]]/6),0)</f>
        <v>80</v>
      </c>
      <c r="BI252" s="781">
        <f>IF(WWWW[[#This Row],[Total required Latrines]]-(WWWW[[#This Row],['#_of_sanitary_fly-proof_HH_latrines]])&lt;0,0,WWWW[[#This Row],[Total required Latrines]]-(WWWW[[#This Row],['#_of_sanitary_fly-proof_HH_latrines]]))</f>
        <v>13</v>
      </c>
      <c r="BJ252" s="778">
        <f>1-WWWW[[#This Row],[% people access to functioning Latrine]]</f>
        <v>0.16424116424116419</v>
      </c>
      <c r="BK25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52" s="772">
        <f>IF(WWWW[[#This Row],['#_of_functional_handwashing_facilities_at_HH_level]]*6&gt;WWWW[[#This Row],[Total PoP ]],WWWW[[#This Row],[Total PoP ]],WWWW[[#This Row],['#_of_functional_handwashing_facilities_at_HH_level]]*6)</f>
        <v>0</v>
      </c>
      <c r="BM252" s="781">
        <f>IF(WWWW[[#This Row],['# people reached by regular dedicated hygiene promotion]]&gt;WWWW[[#This Row],['# People received regular supply of hygiene items]],WWWW[[#This Row],['# people reached by regular dedicated hygiene promotion]],WWWW[[#This Row],['# People received regular supply of hygiene items]])</f>
        <v>0</v>
      </c>
      <c r="BN252" s="780">
        <f>IF(WWWW[[#This Row],[HRP3]]/WWWW[[#This Row],[Total PoP ]]&gt;100%,100%,WWWW[[#This Row],[HRP3]]/WWWW[[#This Row],[Total PoP ]])</f>
        <v>0</v>
      </c>
      <c r="BO252" s="778">
        <f>1-WWWW[[#This Row],[Hygiene Coverage%]]</f>
        <v>1</v>
      </c>
      <c r="BP252" s="777">
        <f>WWWW[[#This Row],['# people reached by regular dedicated hygiene promotion]]/WWWW[[#This Row],[Total PoP ]]</f>
        <v>0</v>
      </c>
      <c r="BQ25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52" s="770">
        <f>WWWW[[#This Row],['#_of_affected_women_and_girls_receiving_a_sufficient_quantity_of_sanitary_pads]]</f>
        <v>0</v>
      </c>
      <c r="BS252" s="773">
        <f>IF(WWWW[[#This Row],['# People with access to soap]]&gt;WWWW[[#This Row],['# People with access to Sanity Pads]],WWWW[[#This Row],['# People with access to soap]],WWWW[[#This Row],['# People with access to Sanity Pads]])</f>
        <v>0</v>
      </c>
      <c r="BT252" s="772" t="str">
        <f>IF(OR(WWWW[[#This Row],['#of students in school]]="",WWWW[[#This Row],['#of students in school]]=0),"No","Yes")</f>
        <v>No</v>
      </c>
      <c r="BU252" s="782" t="str">
        <f>VLOOKUP(WWWW[[#This Row],[Village  Name]],SiteDB6[[Site Name]:[Location Type 1]],9,FALSE)</f>
        <v>Village</v>
      </c>
      <c r="BV252" s="782" t="str">
        <f>VLOOKUP(WWWW[[#This Row],[Village  Name]],SiteDB6[[Site Name]:[Type of Accommodation]],10,FALSE)</f>
        <v>Village</v>
      </c>
      <c r="BW252" s="782">
        <f>VLOOKUP(WWWW[[#This Row],[Village  Name]],SiteDB6[[Site Name]:[Ethnic or GCA/NGCA]],11,FALSE)</f>
        <v>0</v>
      </c>
      <c r="BX252" s="782">
        <f>VLOOKUP(WWWW[[#This Row],[Village  Name]],SiteDB6[[Site Name]:[Lat]],12,FALSE)</f>
        <v>20.187860488891602</v>
      </c>
      <c r="BY252" s="782">
        <f>VLOOKUP(WWWW[[#This Row],[Village  Name]],SiteDB6[[Site Name]:[Long]],13,FALSE)</f>
        <v>92.903419494628906</v>
      </c>
      <c r="BZ252" s="782">
        <f>VLOOKUP(WWWW[[#This Row],[Village  Name]],SiteDB6[[Site Name]:[Pcode]],3,FALSE)</f>
        <v>196134</v>
      </c>
      <c r="CA252" s="782" t="str">
        <f t="shared" si="17"/>
        <v>Covered</v>
      </c>
      <c r="CB252" s="783"/>
    </row>
    <row r="253" spans="1:80">
      <c r="A253" s="774" t="s">
        <v>3199</v>
      </c>
      <c r="B253" s="727" t="s">
        <v>314</v>
      </c>
      <c r="C253" s="728" t="s">
        <v>314</v>
      </c>
      <c r="D253" s="728" t="s">
        <v>327</v>
      </c>
      <c r="E253" s="728" t="s">
        <v>2648</v>
      </c>
      <c r="F253" s="728" t="s">
        <v>295</v>
      </c>
      <c r="G253" s="644" t="str">
        <f>VLOOKUP(WWWW[[#This Row],[Village  Name]],SiteDB6[[Site Name]:[Location Type]],8,FALSE)</f>
        <v>Village</v>
      </c>
      <c r="H253" s="728" t="s">
        <v>2580</v>
      </c>
      <c r="I253" s="775">
        <v>88</v>
      </c>
      <c r="J253" s="775">
        <v>454</v>
      </c>
      <c r="K253" s="784">
        <v>42736</v>
      </c>
      <c r="L253" s="785">
        <v>44551</v>
      </c>
      <c r="M253" s="775"/>
      <c r="N253" s="775"/>
      <c r="O253" s="773">
        <v>6</v>
      </c>
      <c r="P253" s="775">
        <v>41</v>
      </c>
      <c r="Q253" s="775">
        <v>1</v>
      </c>
      <c r="R253" s="775"/>
      <c r="S253" s="775"/>
      <c r="T253" s="775"/>
      <c r="U253" s="776"/>
      <c r="V253" s="775">
        <v>76</v>
      </c>
      <c r="W253" s="775" t="s">
        <v>130</v>
      </c>
      <c r="X253" s="775"/>
      <c r="Y253" s="775"/>
      <c r="Z253" s="775"/>
      <c r="AA253" s="775"/>
      <c r="AB253" s="775"/>
      <c r="AC253" s="776"/>
      <c r="AD253" s="775"/>
      <c r="AE253" s="775"/>
      <c r="AF253" s="775"/>
      <c r="AG253" s="775"/>
      <c r="AH253" s="775"/>
      <c r="AI253" s="775"/>
      <c r="AJ253" s="773"/>
      <c r="AK253" s="775"/>
      <c r="AL253" s="773"/>
      <c r="AM253" s="773"/>
      <c r="AN253" s="776"/>
      <c r="AO253" s="769"/>
      <c r="AP253" s="769"/>
      <c r="AQ253" s="773"/>
      <c r="AR253" s="773"/>
      <c r="AS253" s="773"/>
      <c r="AT25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53" s="779">
        <f>WWWW[[#This Row],[%Equitable and continuous access to sufficient quantity of safe drinking water]]*WWWW[[#This Row],[Total PoP ]]</f>
        <v>454</v>
      </c>
      <c r="AV25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53" s="779">
        <f>WWWW[[#This Row],[% Access to unimproved water points]]*WWWW[[#This Row],[Total PoP ]]</f>
        <v>454</v>
      </c>
      <c r="AX25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5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454</v>
      </c>
      <c r="AZ253" s="779">
        <f>WWWW[[#This Row],[HRP1]]/250</f>
        <v>1.8160000000000001</v>
      </c>
      <c r="BA253" s="780">
        <f>1-WWWW[[#This Row],[% Equitable and continuous access to sufficient quantity of domestic water]]</f>
        <v>0</v>
      </c>
      <c r="BB253" s="779">
        <f>WWWW[[#This Row],[%equitable and continuous access to sufficient quantity of safe drinking and domestic water''s GAP]]*WWWW[[#This Row],[Total PoP ]]</f>
        <v>0</v>
      </c>
      <c r="BC253" s="781">
        <f>IF(WWWW[[#This Row],[Total required water points]]-WWWW[[#This Row],['#Water points coverage]]&lt;0,0,WWWW[[#This Row],[Total required water points]]-WWWW[[#This Row],['#Water points coverage]])</f>
        <v>0.18399999999999994</v>
      </c>
      <c r="BD253" s="781">
        <f>ROUND(IF(WWWW[[#This Row],[Total PoP ]]&lt;250,1,WWWW[[#This Row],[Total PoP ]]/250),0)</f>
        <v>2</v>
      </c>
      <c r="BE25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53" s="779">
        <f>WWWW[[#This Row],[% people access to functioning Latrine]]*WWWW[[#This Row],[Total PoP ]]</f>
        <v>454</v>
      </c>
      <c r="BG253" s="781">
        <f>WWWW[[#This Row],['#_of_Functioning_latrines_in_school]]*50</f>
        <v>0</v>
      </c>
      <c r="BH253" s="781">
        <f>ROUND((WWWW[[#This Row],[Total PoP ]]/6),0)</f>
        <v>76</v>
      </c>
      <c r="BI253" s="781">
        <f>IF(WWWW[[#This Row],[Total required Latrines]]-(WWWW[[#This Row],['#_of_sanitary_fly-proof_HH_latrines]])&lt;0,0,WWWW[[#This Row],[Total required Latrines]]-(WWWW[[#This Row],['#_of_sanitary_fly-proof_HH_latrines]]))</f>
        <v>0</v>
      </c>
      <c r="BJ253" s="778">
        <f>1-WWWW[[#This Row],[% people access to functioning Latrine]]</f>
        <v>0</v>
      </c>
      <c r="BK25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53" s="772">
        <f>IF(WWWW[[#This Row],['#_of_functional_handwashing_facilities_at_HH_level]]*6&gt;WWWW[[#This Row],[Total PoP ]],WWWW[[#This Row],[Total PoP ]],WWWW[[#This Row],['#_of_functional_handwashing_facilities_at_HH_level]]*6)</f>
        <v>0</v>
      </c>
      <c r="BM253" s="781">
        <f>IF(WWWW[[#This Row],['# people reached by regular dedicated hygiene promotion]]&gt;WWWW[[#This Row],['# People received regular supply of hygiene items]],WWWW[[#This Row],['# people reached by regular dedicated hygiene promotion]],WWWW[[#This Row],['# People received regular supply of hygiene items]])</f>
        <v>0</v>
      </c>
      <c r="BN253" s="780">
        <f>IF(WWWW[[#This Row],[HRP3]]/WWWW[[#This Row],[Total PoP ]]&gt;100%,100%,WWWW[[#This Row],[HRP3]]/WWWW[[#This Row],[Total PoP ]])</f>
        <v>0</v>
      </c>
      <c r="BO253" s="778">
        <f>1-WWWW[[#This Row],[Hygiene Coverage%]]</f>
        <v>1</v>
      </c>
      <c r="BP253" s="777">
        <f>WWWW[[#This Row],['# people reached by regular dedicated hygiene promotion]]/WWWW[[#This Row],[Total PoP ]]</f>
        <v>0</v>
      </c>
      <c r="BQ25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53" s="770">
        <f>WWWW[[#This Row],['#_of_affected_women_and_girls_receiving_a_sufficient_quantity_of_sanitary_pads]]</f>
        <v>0</v>
      </c>
      <c r="BS253" s="773">
        <f>IF(WWWW[[#This Row],['# People with access to soap]]&gt;WWWW[[#This Row],['# People with access to Sanity Pads]],WWWW[[#This Row],['# People with access to soap]],WWWW[[#This Row],['# People with access to Sanity Pads]])</f>
        <v>0</v>
      </c>
      <c r="BT253" s="772" t="str">
        <f>IF(OR(WWWW[[#This Row],['#of students in school]]="",WWWW[[#This Row],['#of students in school]]=0),"No","Yes")</f>
        <v>No</v>
      </c>
      <c r="BU253" s="782" t="str">
        <f>VLOOKUP(WWWW[[#This Row],[Village  Name]],SiteDB6[[Site Name]:[Location Type 1]],9,FALSE)</f>
        <v>Village</v>
      </c>
      <c r="BV253" s="782" t="str">
        <f>VLOOKUP(WWWW[[#This Row],[Village  Name]],SiteDB6[[Site Name]:[Type of Accommodation]],10,FALSE)</f>
        <v>Village</v>
      </c>
      <c r="BW253" s="782">
        <f>VLOOKUP(WWWW[[#This Row],[Village  Name]],SiteDB6[[Site Name]:[Ethnic or GCA/NGCA]],11,FALSE)</f>
        <v>0</v>
      </c>
      <c r="BX253" s="782">
        <f>VLOOKUP(WWWW[[#This Row],[Village  Name]],SiteDB6[[Site Name]:[Lat]],12,FALSE)</f>
        <v>20.1899604797363</v>
      </c>
      <c r="BY253" s="782">
        <f>VLOOKUP(WWWW[[#This Row],[Village  Name]],SiteDB6[[Site Name]:[Long]],13,FALSE)</f>
        <v>92.895767211914105</v>
      </c>
      <c r="BZ253" s="782">
        <f>VLOOKUP(WWWW[[#This Row],[Village  Name]],SiteDB6[[Site Name]:[Pcode]],3,FALSE)</f>
        <v>196136</v>
      </c>
      <c r="CA253" s="782" t="str">
        <f t="shared" si="17"/>
        <v>Covered</v>
      </c>
      <c r="CB253" s="783"/>
    </row>
    <row r="254" spans="1:80">
      <c r="A254" s="774" t="s">
        <v>3199</v>
      </c>
      <c r="B254" s="727" t="s">
        <v>314</v>
      </c>
      <c r="C254" s="728" t="s">
        <v>314</v>
      </c>
      <c r="D254" s="728" t="s">
        <v>307</v>
      </c>
      <c r="E254" s="728" t="s">
        <v>2648</v>
      </c>
      <c r="F254" s="728" t="s">
        <v>295</v>
      </c>
      <c r="G254" s="644" t="str">
        <f>VLOOKUP(WWWW[[#This Row],[Village  Name]],SiteDB6[[Site Name]:[Location Type]],8,FALSE)</f>
        <v>Village</v>
      </c>
      <c r="H254" s="728" t="s">
        <v>2581</v>
      </c>
      <c r="I254" s="775">
        <v>218</v>
      </c>
      <c r="J254" s="775">
        <v>978</v>
      </c>
      <c r="K254" s="784">
        <v>42736</v>
      </c>
      <c r="L254" s="785">
        <v>44551</v>
      </c>
      <c r="M254" s="775"/>
      <c r="N254" s="775"/>
      <c r="O254" s="773">
        <v>9</v>
      </c>
      <c r="P254" s="775">
        <v>76</v>
      </c>
      <c r="Q254" s="775">
        <v>3</v>
      </c>
      <c r="R254" s="775"/>
      <c r="S254" s="775"/>
      <c r="T254" s="775"/>
      <c r="U254" s="776"/>
      <c r="V254" s="775">
        <v>118</v>
      </c>
      <c r="W254" s="775" t="s">
        <v>130</v>
      </c>
      <c r="X254" s="775"/>
      <c r="Y254" s="775"/>
      <c r="Z254" s="775"/>
      <c r="AA254" s="775"/>
      <c r="AB254" s="775"/>
      <c r="AC254" s="776"/>
      <c r="AD254" s="775"/>
      <c r="AE254" s="775"/>
      <c r="AF254" s="775"/>
      <c r="AG254" s="775"/>
      <c r="AH254" s="775"/>
      <c r="AI254" s="775"/>
      <c r="AJ254" s="773"/>
      <c r="AK254" s="775"/>
      <c r="AL254" s="773"/>
      <c r="AM254" s="773"/>
      <c r="AN254" s="776"/>
      <c r="AO254" s="769"/>
      <c r="AP254" s="769"/>
      <c r="AQ254" s="773"/>
      <c r="AR254" s="773"/>
      <c r="AS254" s="773"/>
      <c r="AT25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54" s="779">
        <f>WWWW[[#This Row],[%Equitable and continuous access to sufficient quantity of safe drinking water]]*WWWW[[#This Row],[Total PoP ]]</f>
        <v>978</v>
      </c>
      <c r="AV25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54" s="779">
        <f>WWWW[[#This Row],[% Access to unimproved water points]]*WWWW[[#This Row],[Total PoP ]]</f>
        <v>978</v>
      </c>
      <c r="AX25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5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978</v>
      </c>
      <c r="AZ254" s="779">
        <f>WWWW[[#This Row],[HRP1]]/250</f>
        <v>3.9119999999999999</v>
      </c>
      <c r="BA254" s="780">
        <f>1-WWWW[[#This Row],[% Equitable and continuous access to sufficient quantity of domestic water]]</f>
        <v>0</v>
      </c>
      <c r="BB254" s="779">
        <f>WWWW[[#This Row],[%equitable and continuous access to sufficient quantity of safe drinking and domestic water''s GAP]]*WWWW[[#This Row],[Total PoP ]]</f>
        <v>0</v>
      </c>
      <c r="BC254" s="781">
        <f>IF(WWWW[[#This Row],[Total required water points]]-WWWW[[#This Row],['#Water points coverage]]&lt;0,0,WWWW[[#This Row],[Total required water points]]-WWWW[[#This Row],['#Water points coverage]])</f>
        <v>8.8000000000000078E-2</v>
      </c>
      <c r="BD254" s="781">
        <f>ROUND(IF(WWWW[[#This Row],[Total PoP ]]&lt;250,1,WWWW[[#This Row],[Total PoP ]]/250),0)</f>
        <v>4</v>
      </c>
      <c r="BE25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0.7239263803680982</v>
      </c>
      <c r="BF254" s="779">
        <f>WWWW[[#This Row],[% people access to functioning Latrine]]*WWWW[[#This Row],[Total PoP ]]</f>
        <v>708</v>
      </c>
      <c r="BG254" s="781">
        <f>WWWW[[#This Row],['#_of_Functioning_latrines_in_school]]*50</f>
        <v>0</v>
      </c>
      <c r="BH254" s="781">
        <f>ROUND((WWWW[[#This Row],[Total PoP ]]/6),0)</f>
        <v>163</v>
      </c>
      <c r="BI254" s="781">
        <f>IF(WWWW[[#This Row],[Total required Latrines]]-(WWWW[[#This Row],['#_of_sanitary_fly-proof_HH_latrines]])&lt;0,0,WWWW[[#This Row],[Total required Latrines]]-(WWWW[[#This Row],['#_of_sanitary_fly-proof_HH_latrines]]))</f>
        <v>45</v>
      </c>
      <c r="BJ254" s="778">
        <f>1-WWWW[[#This Row],[% people access to functioning Latrine]]</f>
        <v>0.2760736196319018</v>
      </c>
      <c r="BK25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54" s="772">
        <f>IF(WWWW[[#This Row],['#_of_functional_handwashing_facilities_at_HH_level]]*6&gt;WWWW[[#This Row],[Total PoP ]],WWWW[[#This Row],[Total PoP ]],WWWW[[#This Row],['#_of_functional_handwashing_facilities_at_HH_level]]*6)</f>
        <v>0</v>
      </c>
      <c r="BM254" s="781">
        <f>IF(WWWW[[#This Row],['# people reached by regular dedicated hygiene promotion]]&gt;WWWW[[#This Row],['# People received regular supply of hygiene items]],WWWW[[#This Row],['# people reached by regular dedicated hygiene promotion]],WWWW[[#This Row],['# People received regular supply of hygiene items]])</f>
        <v>0</v>
      </c>
      <c r="BN254" s="780">
        <f>IF(WWWW[[#This Row],[HRP3]]/WWWW[[#This Row],[Total PoP ]]&gt;100%,100%,WWWW[[#This Row],[HRP3]]/WWWW[[#This Row],[Total PoP ]])</f>
        <v>0</v>
      </c>
      <c r="BO254" s="778">
        <f>1-WWWW[[#This Row],[Hygiene Coverage%]]</f>
        <v>1</v>
      </c>
      <c r="BP254" s="777">
        <f>WWWW[[#This Row],['# people reached by regular dedicated hygiene promotion]]/WWWW[[#This Row],[Total PoP ]]</f>
        <v>0</v>
      </c>
      <c r="BQ25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54" s="770">
        <f>WWWW[[#This Row],['#_of_affected_women_and_girls_receiving_a_sufficient_quantity_of_sanitary_pads]]</f>
        <v>0</v>
      </c>
      <c r="BS254" s="773">
        <f>IF(WWWW[[#This Row],['# People with access to soap]]&gt;WWWW[[#This Row],['# People with access to Sanity Pads]],WWWW[[#This Row],['# People with access to soap]],WWWW[[#This Row],['# People with access to Sanity Pads]])</f>
        <v>0</v>
      </c>
      <c r="BT254" s="772" t="str">
        <f>IF(OR(WWWW[[#This Row],['#of students in school]]="",WWWW[[#This Row],['#of students in school]]=0),"No","Yes")</f>
        <v>No</v>
      </c>
      <c r="BU254" s="782" t="str">
        <f>VLOOKUP(WWWW[[#This Row],[Village  Name]],SiteDB6[[Site Name]:[Location Type 1]],9,FALSE)</f>
        <v>Village</v>
      </c>
      <c r="BV254" s="782" t="str">
        <f>VLOOKUP(WWWW[[#This Row],[Village  Name]],SiteDB6[[Site Name]:[Type of Accommodation]],10,FALSE)</f>
        <v>Village</v>
      </c>
      <c r="BW254" s="782">
        <f>VLOOKUP(WWWW[[#This Row],[Village  Name]],SiteDB6[[Site Name]:[Ethnic or GCA/NGCA]],11,FALSE)</f>
        <v>0</v>
      </c>
      <c r="BX254" s="782">
        <f>VLOOKUP(WWWW[[#This Row],[Village  Name]],SiteDB6[[Site Name]:[Lat]],12,FALSE)</f>
        <v>20.2630290985107</v>
      </c>
      <c r="BY254" s="782">
        <f>VLOOKUP(WWWW[[#This Row],[Village  Name]],SiteDB6[[Site Name]:[Long]],13,FALSE)</f>
        <v>92.858856201171903</v>
      </c>
      <c r="BZ254" s="782">
        <f>VLOOKUP(WWWW[[#This Row],[Village  Name]],SiteDB6[[Site Name]:[Pcode]],3,FALSE)</f>
        <v>196166</v>
      </c>
      <c r="CA254" s="782" t="str">
        <f t="shared" si="17"/>
        <v>Covered</v>
      </c>
      <c r="CB254" s="783"/>
    </row>
    <row r="255" spans="1:80">
      <c r="A255" s="774" t="s">
        <v>3199</v>
      </c>
      <c r="B255" s="727" t="s">
        <v>314</v>
      </c>
      <c r="C255" s="728" t="s">
        <v>314</v>
      </c>
      <c r="D255" s="728" t="s">
        <v>307</v>
      </c>
      <c r="E255" s="728" t="s">
        <v>2648</v>
      </c>
      <c r="F255" s="728" t="s">
        <v>295</v>
      </c>
      <c r="G255" s="644" t="str">
        <f>VLOOKUP(WWWW[[#This Row],[Village  Name]],SiteDB6[[Site Name]:[Location Type]],8,FALSE)</f>
        <v>Village</v>
      </c>
      <c r="H255" s="728" t="s">
        <v>2582</v>
      </c>
      <c r="I255" s="775">
        <v>147</v>
      </c>
      <c r="J255" s="775">
        <v>741</v>
      </c>
      <c r="K255" s="784">
        <v>42736</v>
      </c>
      <c r="L255" s="785">
        <v>44551</v>
      </c>
      <c r="M255" s="775"/>
      <c r="N255" s="775"/>
      <c r="O255" s="773">
        <v>4</v>
      </c>
      <c r="P255" s="775">
        <v>42</v>
      </c>
      <c r="Q255" s="775">
        <v>2</v>
      </c>
      <c r="R255" s="775"/>
      <c r="S255" s="775"/>
      <c r="T255" s="775"/>
      <c r="U255" s="776"/>
      <c r="V255" s="775">
        <v>123</v>
      </c>
      <c r="W255" s="775" t="s">
        <v>130</v>
      </c>
      <c r="X255" s="775"/>
      <c r="Y255" s="775"/>
      <c r="Z255" s="775"/>
      <c r="AA255" s="775"/>
      <c r="AB255" s="775"/>
      <c r="AC255" s="776"/>
      <c r="AD255" s="775"/>
      <c r="AE255" s="775"/>
      <c r="AF255" s="775"/>
      <c r="AG255" s="775"/>
      <c r="AH255" s="775"/>
      <c r="AI255" s="775"/>
      <c r="AJ255" s="773"/>
      <c r="AK255" s="775"/>
      <c r="AL255" s="773"/>
      <c r="AM255" s="773"/>
      <c r="AN255" s="776"/>
      <c r="AO255" s="769"/>
      <c r="AP255" s="769"/>
      <c r="AQ255" s="773"/>
      <c r="AR255" s="773"/>
      <c r="AS255" s="773"/>
      <c r="AT25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55" s="779">
        <f>WWWW[[#This Row],[%Equitable and continuous access to sufficient quantity of safe drinking water]]*WWWW[[#This Row],[Total PoP ]]</f>
        <v>741</v>
      </c>
      <c r="AV25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55" s="779">
        <f>WWWW[[#This Row],[% Access to unimproved water points]]*WWWW[[#This Row],[Total PoP ]]</f>
        <v>741</v>
      </c>
      <c r="AX25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5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741</v>
      </c>
      <c r="AZ255" s="779">
        <f>WWWW[[#This Row],[HRP1]]/250</f>
        <v>2.964</v>
      </c>
      <c r="BA255" s="780">
        <f>1-WWWW[[#This Row],[% Equitable and continuous access to sufficient quantity of domestic water]]</f>
        <v>0</v>
      </c>
      <c r="BB255" s="779">
        <f>WWWW[[#This Row],[%equitable and continuous access to sufficient quantity of safe drinking and domestic water''s GAP]]*WWWW[[#This Row],[Total PoP ]]</f>
        <v>0</v>
      </c>
      <c r="BC255" s="781">
        <f>IF(WWWW[[#This Row],[Total required water points]]-WWWW[[#This Row],['#Water points coverage]]&lt;0,0,WWWW[[#This Row],[Total required water points]]-WWWW[[#This Row],['#Water points coverage]])</f>
        <v>3.6000000000000032E-2</v>
      </c>
      <c r="BD255" s="781">
        <f>ROUND(IF(WWWW[[#This Row],[Total PoP ]]&lt;250,1,WWWW[[#This Row],[Total PoP ]]/250),0)</f>
        <v>3</v>
      </c>
      <c r="BE25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0.99595141700404854</v>
      </c>
      <c r="BF255" s="779">
        <f>WWWW[[#This Row],[% people access to functioning Latrine]]*WWWW[[#This Row],[Total PoP ]]</f>
        <v>738</v>
      </c>
      <c r="BG255" s="781">
        <f>WWWW[[#This Row],['#_of_Functioning_latrines_in_school]]*50</f>
        <v>0</v>
      </c>
      <c r="BH255" s="781">
        <f>ROUND((WWWW[[#This Row],[Total PoP ]]/6),0)</f>
        <v>124</v>
      </c>
      <c r="BI255" s="781">
        <f>IF(WWWW[[#This Row],[Total required Latrines]]-(WWWW[[#This Row],['#_of_sanitary_fly-proof_HH_latrines]])&lt;0,0,WWWW[[#This Row],[Total required Latrines]]-(WWWW[[#This Row],['#_of_sanitary_fly-proof_HH_latrines]]))</f>
        <v>1</v>
      </c>
      <c r="BJ255" s="778">
        <f>1-WWWW[[#This Row],[% people access to functioning Latrine]]</f>
        <v>4.0485829959514552E-3</v>
      </c>
      <c r="BK25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55" s="772">
        <f>IF(WWWW[[#This Row],['#_of_functional_handwashing_facilities_at_HH_level]]*6&gt;WWWW[[#This Row],[Total PoP ]],WWWW[[#This Row],[Total PoP ]],WWWW[[#This Row],['#_of_functional_handwashing_facilities_at_HH_level]]*6)</f>
        <v>0</v>
      </c>
      <c r="BM255" s="781">
        <f>IF(WWWW[[#This Row],['# people reached by regular dedicated hygiene promotion]]&gt;WWWW[[#This Row],['# People received regular supply of hygiene items]],WWWW[[#This Row],['# people reached by regular dedicated hygiene promotion]],WWWW[[#This Row],['# People received regular supply of hygiene items]])</f>
        <v>0</v>
      </c>
      <c r="BN255" s="780">
        <f>IF(WWWW[[#This Row],[HRP3]]/WWWW[[#This Row],[Total PoP ]]&gt;100%,100%,WWWW[[#This Row],[HRP3]]/WWWW[[#This Row],[Total PoP ]])</f>
        <v>0</v>
      </c>
      <c r="BO255" s="778">
        <f>1-WWWW[[#This Row],[Hygiene Coverage%]]</f>
        <v>1</v>
      </c>
      <c r="BP255" s="777">
        <f>WWWW[[#This Row],['# people reached by regular dedicated hygiene promotion]]/WWWW[[#This Row],[Total PoP ]]</f>
        <v>0</v>
      </c>
      <c r="BQ25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55" s="770">
        <f>WWWW[[#This Row],['#_of_affected_women_and_girls_receiving_a_sufficient_quantity_of_sanitary_pads]]</f>
        <v>0</v>
      </c>
      <c r="BS255" s="773">
        <f>IF(WWWW[[#This Row],['# People with access to soap]]&gt;WWWW[[#This Row],['# People with access to Sanity Pads]],WWWW[[#This Row],['# People with access to soap]],WWWW[[#This Row],['# People with access to Sanity Pads]])</f>
        <v>0</v>
      </c>
      <c r="BT255" s="772" t="str">
        <f>IF(OR(WWWW[[#This Row],['#of students in school]]="",WWWW[[#This Row],['#of students in school]]=0),"No","Yes")</f>
        <v>No</v>
      </c>
      <c r="BU255" s="782" t="str">
        <f>VLOOKUP(WWWW[[#This Row],[Village  Name]],SiteDB6[[Site Name]:[Location Type 1]],9,FALSE)</f>
        <v>Village</v>
      </c>
      <c r="BV255" s="782" t="str">
        <f>VLOOKUP(WWWW[[#This Row],[Village  Name]],SiteDB6[[Site Name]:[Type of Accommodation]],10,FALSE)</f>
        <v>Village</v>
      </c>
      <c r="BW255" s="782">
        <f>VLOOKUP(WWWW[[#This Row],[Village  Name]],SiteDB6[[Site Name]:[Ethnic or GCA/NGCA]],11,FALSE)</f>
        <v>0</v>
      </c>
      <c r="BX255" s="782">
        <f>VLOOKUP(WWWW[[#This Row],[Village  Name]],SiteDB6[[Site Name]:[Lat]],12,FALSE)</f>
        <v>20.248519897460898</v>
      </c>
      <c r="BY255" s="782">
        <f>VLOOKUP(WWWW[[#This Row],[Village  Name]],SiteDB6[[Site Name]:[Long]],13,FALSE)</f>
        <v>92.8621826171875</v>
      </c>
      <c r="BZ255" s="782">
        <f>VLOOKUP(WWWW[[#This Row],[Village  Name]],SiteDB6[[Site Name]:[Pcode]],3,FALSE)</f>
        <v>196170</v>
      </c>
      <c r="CA255" s="782" t="str">
        <f t="shared" si="17"/>
        <v>Covered</v>
      </c>
      <c r="CB255" s="783"/>
    </row>
    <row r="256" spans="1:80">
      <c r="A256" s="774" t="s">
        <v>3199</v>
      </c>
      <c r="B256" s="727" t="s">
        <v>314</v>
      </c>
      <c r="C256" s="728" t="s">
        <v>314</v>
      </c>
      <c r="D256" s="728" t="s">
        <v>307</v>
      </c>
      <c r="E256" s="728" t="s">
        <v>2648</v>
      </c>
      <c r="F256" s="728" t="s">
        <v>295</v>
      </c>
      <c r="G256" s="644" t="str">
        <f>VLOOKUP(WWWW[[#This Row],[Village  Name]],SiteDB6[[Site Name]:[Location Type]],8,FALSE)</f>
        <v>Village</v>
      </c>
      <c r="H256" s="728" t="s">
        <v>2583</v>
      </c>
      <c r="I256" s="775">
        <v>235</v>
      </c>
      <c r="J256" s="775">
        <v>1117</v>
      </c>
      <c r="K256" s="784">
        <v>42736</v>
      </c>
      <c r="L256" s="785">
        <v>44551</v>
      </c>
      <c r="M256" s="775"/>
      <c r="N256" s="775"/>
      <c r="O256" s="773">
        <v>2</v>
      </c>
      <c r="P256" s="775">
        <v>132</v>
      </c>
      <c r="Q256" s="775">
        <v>3</v>
      </c>
      <c r="R256" s="775"/>
      <c r="S256" s="775"/>
      <c r="T256" s="775"/>
      <c r="U256" s="776"/>
      <c r="V256" s="775">
        <v>216</v>
      </c>
      <c r="W256" s="775" t="s">
        <v>130</v>
      </c>
      <c r="X256" s="775"/>
      <c r="Y256" s="775"/>
      <c r="Z256" s="775"/>
      <c r="AA256" s="775"/>
      <c r="AB256" s="775"/>
      <c r="AC256" s="776"/>
      <c r="AD256" s="775"/>
      <c r="AE256" s="775"/>
      <c r="AF256" s="775"/>
      <c r="AG256" s="775"/>
      <c r="AH256" s="775"/>
      <c r="AI256" s="775"/>
      <c r="AJ256" s="773"/>
      <c r="AK256" s="775"/>
      <c r="AL256" s="773"/>
      <c r="AM256" s="773"/>
      <c r="AN256" s="776"/>
      <c r="AO256" s="769"/>
      <c r="AP256" s="769"/>
      <c r="AQ256" s="773"/>
      <c r="AR256" s="773"/>
      <c r="AS256" s="773"/>
      <c r="AT25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56" s="779">
        <f>WWWW[[#This Row],[%Equitable and continuous access to sufficient quantity of safe drinking water]]*WWWW[[#This Row],[Total PoP ]]</f>
        <v>1117</v>
      </c>
      <c r="AV25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56" s="779">
        <f>WWWW[[#This Row],[% Access to unimproved water points]]*WWWW[[#This Row],[Total PoP ]]</f>
        <v>1117</v>
      </c>
      <c r="AX25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5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1117</v>
      </c>
      <c r="AZ256" s="779">
        <f>WWWW[[#This Row],[HRP1]]/250</f>
        <v>4.468</v>
      </c>
      <c r="BA256" s="780">
        <f>1-WWWW[[#This Row],[% Equitable and continuous access to sufficient quantity of domestic water]]</f>
        <v>0</v>
      </c>
      <c r="BB256" s="779">
        <f>WWWW[[#This Row],[%equitable and continuous access to sufficient quantity of safe drinking and domestic water''s GAP]]*WWWW[[#This Row],[Total PoP ]]</f>
        <v>0</v>
      </c>
      <c r="BC256" s="781">
        <f>IF(WWWW[[#This Row],[Total required water points]]-WWWW[[#This Row],['#Water points coverage]]&lt;0,0,WWWW[[#This Row],[Total required water points]]-WWWW[[#This Row],['#Water points coverage]])</f>
        <v>0</v>
      </c>
      <c r="BD256" s="781">
        <f>ROUND(IF(WWWW[[#This Row],[Total PoP ]]&lt;250,1,WWWW[[#This Row],[Total PoP ]]/250),0)</f>
        <v>4</v>
      </c>
      <c r="BE25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56" s="779">
        <f>WWWW[[#This Row],[% people access to functioning Latrine]]*WWWW[[#This Row],[Total PoP ]]</f>
        <v>1117</v>
      </c>
      <c r="BG256" s="781">
        <f>WWWW[[#This Row],['#_of_Functioning_latrines_in_school]]*50</f>
        <v>0</v>
      </c>
      <c r="BH256" s="781">
        <f>ROUND((WWWW[[#This Row],[Total PoP ]]/6),0)</f>
        <v>186</v>
      </c>
      <c r="BI256" s="781">
        <f>IF(WWWW[[#This Row],[Total required Latrines]]-(WWWW[[#This Row],['#_of_sanitary_fly-proof_HH_latrines]])&lt;0,0,WWWW[[#This Row],[Total required Latrines]]-(WWWW[[#This Row],['#_of_sanitary_fly-proof_HH_latrines]]))</f>
        <v>0</v>
      </c>
      <c r="BJ256" s="778">
        <f>1-WWWW[[#This Row],[% people access to functioning Latrine]]</f>
        <v>0</v>
      </c>
      <c r="BK25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56" s="772">
        <f>IF(WWWW[[#This Row],['#_of_functional_handwashing_facilities_at_HH_level]]*6&gt;WWWW[[#This Row],[Total PoP ]],WWWW[[#This Row],[Total PoP ]],WWWW[[#This Row],['#_of_functional_handwashing_facilities_at_HH_level]]*6)</f>
        <v>0</v>
      </c>
      <c r="BM256" s="781">
        <f>IF(WWWW[[#This Row],['# people reached by regular dedicated hygiene promotion]]&gt;WWWW[[#This Row],['# People received regular supply of hygiene items]],WWWW[[#This Row],['# people reached by regular dedicated hygiene promotion]],WWWW[[#This Row],['# People received regular supply of hygiene items]])</f>
        <v>0</v>
      </c>
      <c r="BN256" s="780">
        <f>IF(WWWW[[#This Row],[HRP3]]/WWWW[[#This Row],[Total PoP ]]&gt;100%,100%,WWWW[[#This Row],[HRP3]]/WWWW[[#This Row],[Total PoP ]])</f>
        <v>0</v>
      </c>
      <c r="BO256" s="778">
        <f>1-WWWW[[#This Row],[Hygiene Coverage%]]</f>
        <v>1</v>
      </c>
      <c r="BP256" s="777">
        <f>WWWW[[#This Row],['# people reached by regular dedicated hygiene promotion]]/WWWW[[#This Row],[Total PoP ]]</f>
        <v>0</v>
      </c>
      <c r="BQ25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56" s="770">
        <f>WWWW[[#This Row],['#_of_affected_women_and_girls_receiving_a_sufficient_quantity_of_sanitary_pads]]</f>
        <v>0</v>
      </c>
      <c r="BS256" s="773">
        <f>IF(WWWW[[#This Row],['# People with access to soap]]&gt;WWWW[[#This Row],['# People with access to Sanity Pads]],WWWW[[#This Row],['# People with access to soap]],WWWW[[#This Row],['# People with access to Sanity Pads]])</f>
        <v>0</v>
      </c>
      <c r="BT256" s="772" t="str">
        <f>IF(OR(WWWW[[#This Row],['#of students in school]]="",WWWW[[#This Row],['#of students in school]]=0),"No","Yes")</f>
        <v>No</v>
      </c>
      <c r="BU256" s="782" t="str">
        <f>VLOOKUP(WWWW[[#This Row],[Village  Name]],SiteDB6[[Site Name]:[Location Type 1]],9,FALSE)</f>
        <v>Village</v>
      </c>
      <c r="BV256" s="782" t="str">
        <f>VLOOKUP(WWWW[[#This Row],[Village  Name]],SiteDB6[[Site Name]:[Type of Accommodation]],10,FALSE)</f>
        <v>Village</v>
      </c>
      <c r="BW256" s="782">
        <f>VLOOKUP(WWWW[[#This Row],[Village  Name]],SiteDB6[[Site Name]:[Ethnic or GCA/NGCA]],11,FALSE)</f>
        <v>0</v>
      </c>
      <c r="BX256" s="782">
        <f>VLOOKUP(WWWW[[#This Row],[Village  Name]],SiteDB6[[Site Name]:[Lat]],12,FALSE)</f>
        <v>20.2375602722168</v>
      </c>
      <c r="BY256" s="782">
        <f>VLOOKUP(WWWW[[#This Row],[Village  Name]],SiteDB6[[Site Name]:[Long]],13,FALSE)</f>
        <v>92.861152648925795</v>
      </c>
      <c r="BZ256" s="782">
        <f>VLOOKUP(WWWW[[#This Row],[Village  Name]],SiteDB6[[Site Name]:[Pcode]],3,FALSE)</f>
        <v>196169</v>
      </c>
      <c r="CA256" s="782" t="str">
        <f t="shared" si="17"/>
        <v>Covered</v>
      </c>
      <c r="CB256" s="783"/>
    </row>
    <row r="257" spans="1:80">
      <c r="A257" s="774" t="s">
        <v>3199</v>
      </c>
      <c r="B257" s="727" t="s">
        <v>314</v>
      </c>
      <c r="C257" s="728" t="s">
        <v>314</v>
      </c>
      <c r="D257" s="728" t="s">
        <v>307</v>
      </c>
      <c r="E257" s="728" t="s">
        <v>2648</v>
      </c>
      <c r="F257" s="728" t="s">
        <v>295</v>
      </c>
      <c r="G257" s="644" t="str">
        <f>VLOOKUP(WWWW[[#This Row],[Village  Name]],SiteDB6[[Site Name]:[Location Type]],8,FALSE)</f>
        <v>Village</v>
      </c>
      <c r="H257" s="728" t="s">
        <v>446</v>
      </c>
      <c r="I257" s="775">
        <v>156</v>
      </c>
      <c r="J257" s="775">
        <v>658</v>
      </c>
      <c r="K257" s="784">
        <v>42736</v>
      </c>
      <c r="L257" s="785">
        <v>44551</v>
      </c>
      <c r="M257" s="775"/>
      <c r="N257" s="775"/>
      <c r="O257" s="773"/>
      <c r="P257" s="775">
        <v>88</v>
      </c>
      <c r="Q257" s="775">
        <v>2</v>
      </c>
      <c r="R257" s="775"/>
      <c r="S257" s="775"/>
      <c r="T257" s="775"/>
      <c r="U257" s="776"/>
      <c r="V257" s="775">
        <v>98</v>
      </c>
      <c r="W257" s="775" t="s">
        <v>130</v>
      </c>
      <c r="X257" s="775"/>
      <c r="Y257" s="775"/>
      <c r="Z257" s="775"/>
      <c r="AA257" s="775"/>
      <c r="AB257" s="775"/>
      <c r="AC257" s="776"/>
      <c r="AD257" s="775"/>
      <c r="AE257" s="775"/>
      <c r="AF257" s="775"/>
      <c r="AG257" s="775"/>
      <c r="AH257" s="775"/>
      <c r="AI257" s="775"/>
      <c r="AJ257" s="773"/>
      <c r="AK257" s="775"/>
      <c r="AL257" s="773"/>
      <c r="AM257" s="773"/>
      <c r="AN257" s="776"/>
      <c r="AO257" s="769"/>
      <c r="AP257" s="769"/>
      <c r="AQ257" s="773"/>
      <c r="AR257" s="773"/>
      <c r="AS257" s="773"/>
      <c r="AT25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57" s="779">
        <f>WWWW[[#This Row],[%Equitable and continuous access to sufficient quantity of safe drinking water]]*WWWW[[#This Row],[Total PoP ]]</f>
        <v>658</v>
      </c>
      <c r="AV25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57" s="779">
        <f>WWWW[[#This Row],[% Access to unimproved water points]]*WWWW[[#This Row],[Total PoP ]]</f>
        <v>658</v>
      </c>
      <c r="AX25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5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658</v>
      </c>
      <c r="AZ257" s="779">
        <f>WWWW[[#This Row],[HRP1]]/250</f>
        <v>2.6320000000000001</v>
      </c>
      <c r="BA257" s="780">
        <f>1-WWWW[[#This Row],[% Equitable and continuous access to sufficient quantity of domestic water]]</f>
        <v>0</v>
      </c>
      <c r="BB257" s="779">
        <f>WWWW[[#This Row],[%equitable and continuous access to sufficient quantity of safe drinking and domestic water''s GAP]]*WWWW[[#This Row],[Total PoP ]]</f>
        <v>0</v>
      </c>
      <c r="BC257" s="781">
        <f>IF(WWWW[[#This Row],[Total required water points]]-WWWW[[#This Row],['#Water points coverage]]&lt;0,0,WWWW[[#This Row],[Total required water points]]-WWWW[[#This Row],['#Water points coverage]])</f>
        <v>0.36799999999999988</v>
      </c>
      <c r="BD257" s="781">
        <f>ROUND(IF(WWWW[[#This Row],[Total PoP ]]&lt;250,1,WWWW[[#This Row],[Total PoP ]]/250),0)</f>
        <v>3</v>
      </c>
      <c r="BE25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0.8936170212765957</v>
      </c>
      <c r="BF257" s="779">
        <f>WWWW[[#This Row],[% people access to functioning Latrine]]*WWWW[[#This Row],[Total PoP ]]</f>
        <v>588</v>
      </c>
      <c r="BG257" s="781">
        <f>WWWW[[#This Row],['#_of_Functioning_latrines_in_school]]*50</f>
        <v>0</v>
      </c>
      <c r="BH257" s="781">
        <f>ROUND((WWWW[[#This Row],[Total PoP ]]/6),0)</f>
        <v>110</v>
      </c>
      <c r="BI257" s="781">
        <f>IF(WWWW[[#This Row],[Total required Latrines]]-(WWWW[[#This Row],['#_of_sanitary_fly-proof_HH_latrines]])&lt;0,0,WWWW[[#This Row],[Total required Latrines]]-(WWWW[[#This Row],['#_of_sanitary_fly-proof_HH_latrines]]))</f>
        <v>12</v>
      </c>
      <c r="BJ257" s="778">
        <f>1-WWWW[[#This Row],[% people access to functioning Latrine]]</f>
        <v>0.1063829787234043</v>
      </c>
      <c r="BK25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57" s="772">
        <f>IF(WWWW[[#This Row],['#_of_functional_handwashing_facilities_at_HH_level]]*6&gt;WWWW[[#This Row],[Total PoP ]],WWWW[[#This Row],[Total PoP ]],WWWW[[#This Row],['#_of_functional_handwashing_facilities_at_HH_level]]*6)</f>
        <v>0</v>
      </c>
      <c r="BM257" s="781">
        <f>IF(WWWW[[#This Row],['# people reached by regular dedicated hygiene promotion]]&gt;WWWW[[#This Row],['# People received regular supply of hygiene items]],WWWW[[#This Row],['# people reached by regular dedicated hygiene promotion]],WWWW[[#This Row],['# People received regular supply of hygiene items]])</f>
        <v>0</v>
      </c>
      <c r="BN257" s="780">
        <f>IF(WWWW[[#This Row],[HRP3]]/WWWW[[#This Row],[Total PoP ]]&gt;100%,100%,WWWW[[#This Row],[HRP3]]/WWWW[[#This Row],[Total PoP ]])</f>
        <v>0</v>
      </c>
      <c r="BO257" s="778">
        <f>1-WWWW[[#This Row],[Hygiene Coverage%]]</f>
        <v>1</v>
      </c>
      <c r="BP257" s="777">
        <f>WWWW[[#This Row],['# people reached by regular dedicated hygiene promotion]]/WWWW[[#This Row],[Total PoP ]]</f>
        <v>0</v>
      </c>
      <c r="BQ25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57" s="770">
        <f>WWWW[[#This Row],['#_of_affected_women_and_girls_receiving_a_sufficient_quantity_of_sanitary_pads]]</f>
        <v>0</v>
      </c>
      <c r="BS257" s="773">
        <f>IF(WWWW[[#This Row],['# People with access to soap]]&gt;WWWW[[#This Row],['# People with access to Sanity Pads]],WWWW[[#This Row],['# People with access to soap]],WWWW[[#This Row],['# People with access to Sanity Pads]])</f>
        <v>0</v>
      </c>
      <c r="BT257" s="772" t="str">
        <f>IF(OR(WWWW[[#This Row],['#of students in school]]="",WWWW[[#This Row],['#of students in school]]=0),"No","Yes")</f>
        <v>No</v>
      </c>
      <c r="BU257" s="782" t="str">
        <f>VLOOKUP(WWWW[[#This Row],[Village  Name]],SiteDB6[[Site Name]:[Location Type 1]],9,FALSE)</f>
        <v>Village</v>
      </c>
      <c r="BV257" s="782" t="str">
        <f>VLOOKUP(WWWW[[#This Row],[Village  Name]],SiteDB6[[Site Name]:[Type of Accommodation]],10,FALSE)</f>
        <v>Village</v>
      </c>
      <c r="BW257" s="782" t="str">
        <f>VLOOKUP(WWWW[[#This Row],[Village  Name]],SiteDB6[[Site Name]:[Ethnic or GCA/NGCA]],11,FALSE)</f>
        <v>Rakhine</v>
      </c>
      <c r="BX257" s="782">
        <f>VLOOKUP(WWWW[[#This Row],[Village  Name]],SiteDB6[[Site Name]:[Lat]],12,FALSE)</f>
        <v>20.22929001</v>
      </c>
      <c r="BY257" s="782">
        <f>VLOOKUP(WWWW[[#This Row],[Village  Name]],SiteDB6[[Site Name]:[Long]],13,FALSE)</f>
        <v>92.864669800000001</v>
      </c>
      <c r="BZ257" s="782">
        <f>VLOOKUP(WWWW[[#This Row],[Village  Name]],SiteDB6[[Site Name]:[Pcode]],3,FALSE)</f>
        <v>196167</v>
      </c>
      <c r="CA257" s="782" t="str">
        <f t="shared" si="17"/>
        <v>Covered</v>
      </c>
      <c r="CB257" s="783"/>
    </row>
    <row r="258" spans="1:80">
      <c r="A258" s="774" t="s">
        <v>3199</v>
      </c>
      <c r="B258" s="727" t="s">
        <v>314</v>
      </c>
      <c r="C258" s="728" t="s">
        <v>314</v>
      </c>
      <c r="D258" s="728" t="s">
        <v>307</v>
      </c>
      <c r="E258" s="728" t="s">
        <v>2648</v>
      </c>
      <c r="F258" s="728" t="s">
        <v>295</v>
      </c>
      <c r="G258" s="644" t="str">
        <f>VLOOKUP(WWWW[[#This Row],[Village  Name]],SiteDB6[[Site Name]:[Location Type]],8,FALSE)</f>
        <v>Village</v>
      </c>
      <c r="H258" s="728" t="s">
        <v>2002</v>
      </c>
      <c r="I258" s="775">
        <v>113</v>
      </c>
      <c r="J258" s="775">
        <v>656</v>
      </c>
      <c r="K258" s="784">
        <v>42736</v>
      </c>
      <c r="L258" s="785">
        <v>44551</v>
      </c>
      <c r="M258" s="775"/>
      <c r="N258" s="775"/>
      <c r="O258" s="773">
        <v>9</v>
      </c>
      <c r="P258" s="775">
        <v>41</v>
      </c>
      <c r="Q258" s="775">
        <v>3</v>
      </c>
      <c r="R258" s="775"/>
      <c r="S258" s="775"/>
      <c r="T258" s="775"/>
      <c r="U258" s="776"/>
      <c r="V258" s="775">
        <v>78</v>
      </c>
      <c r="W258" s="775" t="s">
        <v>130</v>
      </c>
      <c r="X258" s="775"/>
      <c r="Y258" s="775"/>
      <c r="Z258" s="775"/>
      <c r="AA258" s="775"/>
      <c r="AB258" s="775"/>
      <c r="AC258" s="776"/>
      <c r="AD258" s="775"/>
      <c r="AE258" s="775"/>
      <c r="AF258" s="775"/>
      <c r="AG258" s="775"/>
      <c r="AH258" s="775"/>
      <c r="AI258" s="775"/>
      <c r="AJ258" s="773"/>
      <c r="AK258" s="775"/>
      <c r="AL258" s="773"/>
      <c r="AM258" s="773"/>
      <c r="AN258" s="776"/>
      <c r="AO258" s="769"/>
      <c r="AP258" s="769"/>
      <c r="AQ258" s="773"/>
      <c r="AR258" s="773"/>
      <c r="AS258" s="773"/>
      <c r="AT25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58" s="779">
        <f>WWWW[[#This Row],[%Equitable and continuous access to sufficient quantity of safe drinking water]]*WWWW[[#This Row],[Total PoP ]]</f>
        <v>656</v>
      </c>
      <c r="AV25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58" s="779">
        <f>WWWW[[#This Row],[% Access to unimproved water points]]*WWWW[[#This Row],[Total PoP ]]</f>
        <v>656</v>
      </c>
      <c r="AX25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5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656</v>
      </c>
      <c r="AZ258" s="779">
        <f>WWWW[[#This Row],[HRP1]]/250</f>
        <v>2.6240000000000001</v>
      </c>
      <c r="BA258" s="780">
        <f>1-WWWW[[#This Row],[% Equitable and continuous access to sufficient quantity of domestic water]]</f>
        <v>0</v>
      </c>
      <c r="BB258" s="779">
        <f>WWWW[[#This Row],[%equitable and continuous access to sufficient quantity of safe drinking and domestic water''s GAP]]*WWWW[[#This Row],[Total PoP ]]</f>
        <v>0</v>
      </c>
      <c r="BC258" s="781">
        <f>IF(WWWW[[#This Row],[Total required water points]]-WWWW[[#This Row],['#Water points coverage]]&lt;0,0,WWWW[[#This Row],[Total required water points]]-WWWW[[#This Row],['#Water points coverage]])</f>
        <v>0.37599999999999989</v>
      </c>
      <c r="BD258" s="781">
        <f>ROUND(IF(WWWW[[#This Row],[Total PoP ]]&lt;250,1,WWWW[[#This Row],[Total PoP ]]/250),0)</f>
        <v>3</v>
      </c>
      <c r="BE25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0.71341463414634143</v>
      </c>
      <c r="BF258" s="779">
        <f>WWWW[[#This Row],[% people access to functioning Latrine]]*WWWW[[#This Row],[Total PoP ]]</f>
        <v>468</v>
      </c>
      <c r="BG258" s="781">
        <f>WWWW[[#This Row],['#_of_Functioning_latrines_in_school]]*50</f>
        <v>0</v>
      </c>
      <c r="BH258" s="781">
        <f>ROUND((WWWW[[#This Row],[Total PoP ]]/6),0)</f>
        <v>109</v>
      </c>
      <c r="BI258" s="781">
        <f>IF(WWWW[[#This Row],[Total required Latrines]]-(WWWW[[#This Row],['#_of_sanitary_fly-proof_HH_latrines]])&lt;0,0,WWWW[[#This Row],[Total required Latrines]]-(WWWW[[#This Row],['#_of_sanitary_fly-proof_HH_latrines]]))</f>
        <v>31</v>
      </c>
      <c r="BJ258" s="778">
        <f>1-WWWW[[#This Row],[% people access to functioning Latrine]]</f>
        <v>0.28658536585365857</v>
      </c>
      <c r="BK25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58" s="772">
        <f>IF(WWWW[[#This Row],['#_of_functional_handwashing_facilities_at_HH_level]]*6&gt;WWWW[[#This Row],[Total PoP ]],WWWW[[#This Row],[Total PoP ]],WWWW[[#This Row],['#_of_functional_handwashing_facilities_at_HH_level]]*6)</f>
        <v>0</v>
      </c>
      <c r="BM258" s="781">
        <f>IF(WWWW[[#This Row],['# people reached by regular dedicated hygiene promotion]]&gt;WWWW[[#This Row],['# People received regular supply of hygiene items]],WWWW[[#This Row],['# people reached by regular dedicated hygiene promotion]],WWWW[[#This Row],['# People received regular supply of hygiene items]])</f>
        <v>0</v>
      </c>
      <c r="BN258" s="780">
        <f>IF(WWWW[[#This Row],[HRP3]]/WWWW[[#This Row],[Total PoP ]]&gt;100%,100%,WWWW[[#This Row],[HRP3]]/WWWW[[#This Row],[Total PoP ]])</f>
        <v>0</v>
      </c>
      <c r="BO258" s="778">
        <f>1-WWWW[[#This Row],[Hygiene Coverage%]]</f>
        <v>1</v>
      </c>
      <c r="BP258" s="777">
        <f>WWWW[[#This Row],['# people reached by regular dedicated hygiene promotion]]/WWWW[[#This Row],[Total PoP ]]</f>
        <v>0</v>
      </c>
      <c r="BQ25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58" s="770">
        <f>WWWW[[#This Row],['#_of_affected_women_and_girls_receiving_a_sufficient_quantity_of_sanitary_pads]]</f>
        <v>0</v>
      </c>
      <c r="BS258" s="773">
        <f>IF(WWWW[[#This Row],['# People with access to soap]]&gt;WWWW[[#This Row],['# People with access to Sanity Pads]],WWWW[[#This Row],['# People with access to soap]],WWWW[[#This Row],['# People with access to Sanity Pads]])</f>
        <v>0</v>
      </c>
      <c r="BT258" s="772" t="str">
        <f>IF(OR(WWWW[[#This Row],['#of students in school]]="",WWWW[[#This Row],['#of students in school]]=0),"No","Yes")</f>
        <v>No</v>
      </c>
      <c r="BU258" s="782" t="str">
        <f>VLOOKUP(WWWW[[#This Row],[Village  Name]],SiteDB6[[Site Name]:[Location Type 1]],9,FALSE)</f>
        <v>Village</v>
      </c>
      <c r="BV258" s="782" t="str">
        <f>VLOOKUP(WWWW[[#This Row],[Village  Name]],SiteDB6[[Site Name]:[Type of Accommodation]],10,FALSE)</f>
        <v>Village</v>
      </c>
      <c r="BW258" s="782" t="str">
        <f>VLOOKUP(WWWW[[#This Row],[Village  Name]],SiteDB6[[Site Name]:[Ethnic or GCA/NGCA]],11,FALSE)</f>
        <v>rakhine</v>
      </c>
      <c r="BX258" s="782">
        <f>VLOOKUP(WWWW[[#This Row],[Village  Name]],SiteDB6[[Site Name]:[Lat]],12,FALSE)</f>
        <v>20.2315197</v>
      </c>
      <c r="BY258" s="782">
        <f>VLOOKUP(WWWW[[#This Row],[Village  Name]],SiteDB6[[Site Name]:[Long]],13,FALSE)</f>
        <v>92.876129149999997</v>
      </c>
      <c r="BZ258" s="782">
        <f>VLOOKUP(WWWW[[#This Row],[Village  Name]],SiteDB6[[Site Name]:[Pcode]],3,FALSE)</f>
        <v>196180</v>
      </c>
      <c r="CA258" s="782" t="str">
        <f t="shared" si="17"/>
        <v>Covered</v>
      </c>
      <c r="CB258" s="783"/>
    </row>
    <row r="259" spans="1:80">
      <c r="A259" s="774" t="s">
        <v>3199</v>
      </c>
      <c r="B259" s="727" t="s">
        <v>314</v>
      </c>
      <c r="C259" s="728" t="s">
        <v>314</v>
      </c>
      <c r="D259" s="728" t="s">
        <v>307</v>
      </c>
      <c r="E259" s="728" t="s">
        <v>2648</v>
      </c>
      <c r="F259" s="728" t="s">
        <v>295</v>
      </c>
      <c r="G259" s="644" t="str">
        <f>VLOOKUP(WWWW[[#This Row],[Village  Name]],SiteDB6[[Site Name]:[Location Type]],8,FALSE)</f>
        <v>Village</v>
      </c>
      <c r="H259" s="728" t="s">
        <v>1089</v>
      </c>
      <c r="I259" s="775">
        <v>172</v>
      </c>
      <c r="J259" s="775">
        <v>1435</v>
      </c>
      <c r="K259" s="784">
        <v>42736</v>
      </c>
      <c r="L259" s="785">
        <v>44551</v>
      </c>
      <c r="M259" s="775"/>
      <c r="N259" s="775"/>
      <c r="O259" s="773">
        <v>8</v>
      </c>
      <c r="P259" s="775">
        <v>97</v>
      </c>
      <c r="Q259" s="775">
        <v>3</v>
      </c>
      <c r="R259" s="775"/>
      <c r="S259" s="775"/>
      <c r="T259" s="775"/>
      <c r="U259" s="776"/>
      <c r="V259" s="775">
        <v>132</v>
      </c>
      <c r="W259" s="775" t="s">
        <v>130</v>
      </c>
      <c r="X259" s="775"/>
      <c r="Y259" s="775"/>
      <c r="Z259" s="775"/>
      <c r="AA259" s="775"/>
      <c r="AB259" s="775"/>
      <c r="AC259" s="776"/>
      <c r="AD259" s="775"/>
      <c r="AE259" s="775"/>
      <c r="AF259" s="775"/>
      <c r="AG259" s="775"/>
      <c r="AH259" s="775"/>
      <c r="AI259" s="775"/>
      <c r="AJ259" s="773"/>
      <c r="AK259" s="775"/>
      <c r="AL259" s="773"/>
      <c r="AM259" s="773"/>
      <c r="AN259" s="776"/>
      <c r="AO259" s="769"/>
      <c r="AP259" s="769"/>
      <c r="AQ259" s="773"/>
      <c r="AR259" s="773"/>
      <c r="AS259" s="773"/>
      <c r="AT25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59" s="779">
        <f>WWWW[[#This Row],[%Equitable and continuous access to sufficient quantity of safe drinking water]]*WWWW[[#This Row],[Total PoP ]]</f>
        <v>1435</v>
      </c>
      <c r="AV25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59" s="779">
        <f>WWWW[[#This Row],[% Access to unimproved water points]]*WWWW[[#This Row],[Total PoP ]]</f>
        <v>1435</v>
      </c>
      <c r="AX25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5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1435</v>
      </c>
      <c r="AZ259" s="779">
        <f>WWWW[[#This Row],[HRP1]]/250</f>
        <v>5.74</v>
      </c>
      <c r="BA259" s="780">
        <f>1-WWWW[[#This Row],[% Equitable and continuous access to sufficient quantity of domestic water]]</f>
        <v>0</v>
      </c>
      <c r="BB259" s="779">
        <f>WWWW[[#This Row],[%equitable and continuous access to sufficient quantity of safe drinking and domestic water''s GAP]]*WWWW[[#This Row],[Total PoP ]]</f>
        <v>0</v>
      </c>
      <c r="BC259" s="781">
        <f>IF(WWWW[[#This Row],[Total required water points]]-WWWW[[#This Row],['#Water points coverage]]&lt;0,0,WWWW[[#This Row],[Total required water points]]-WWWW[[#This Row],['#Water points coverage]])</f>
        <v>0.25999999999999979</v>
      </c>
      <c r="BD259" s="781">
        <f>ROUND(IF(WWWW[[#This Row],[Total PoP ]]&lt;250,1,WWWW[[#This Row],[Total PoP ]]/250),0)</f>
        <v>6</v>
      </c>
      <c r="BE25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0.55191637630662016</v>
      </c>
      <c r="BF259" s="779">
        <f>WWWW[[#This Row],[% people access to functioning Latrine]]*WWWW[[#This Row],[Total PoP ]]</f>
        <v>791.99999999999989</v>
      </c>
      <c r="BG259" s="781">
        <f>WWWW[[#This Row],['#_of_Functioning_latrines_in_school]]*50</f>
        <v>0</v>
      </c>
      <c r="BH259" s="781">
        <f>ROUND((WWWW[[#This Row],[Total PoP ]]/6),0)</f>
        <v>239</v>
      </c>
      <c r="BI259" s="781">
        <f>IF(WWWW[[#This Row],[Total required Latrines]]-(WWWW[[#This Row],['#_of_sanitary_fly-proof_HH_latrines]])&lt;0,0,WWWW[[#This Row],[Total required Latrines]]-(WWWW[[#This Row],['#_of_sanitary_fly-proof_HH_latrines]]))</f>
        <v>107</v>
      </c>
      <c r="BJ259" s="778">
        <f>1-WWWW[[#This Row],[% people access to functioning Latrine]]</f>
        <v>0.44808362369337984</v>
      </c>
      <c r="BK25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59" s="772">
        <f>IF(WWWW[[#This Row],['#_of_functional_handwashing_facilities_at_HH_level]]*6&gt;WWWW[[#This Row],[Total PoP ]],WWWW[[#This Row],[Total PoP ]],WWWW[[#This Row],['#_of_functional_handwashing_facilities_at_HH_level]]*6)</f>
        <v>0</v>
      </c>
      <c r="BM259" s="781">
        <f>IF(WWWW[[#This Row],['# people reached by regular dedicated hygiene promotion]]&gt;WWWW[[#This Row],['# People received regular supply of hygiene items]],WWWW[[#This Row],['# people reached by regular dedicated hygiene promotion]],WWWW[[#This Row],['# People received regular supply of hygiene items]])</f>
        <v>0</v>
      </c>
      <c r="BN259" s="780">
        <f>IF(WWWW[[#This Row],[HRP3]]/WWWW[[#This Row],[Total PoP ]]&gt;100%,100%,WWWW[[#This Row],[HRP3]]/WWWW[[#This Row],[Total PoP ]])</f>
        <v>0</v>
      </c>
      <c r="BO259" s="778">
        <f>1-WWWW[[#This Row],[Hygiene Coverage%]]</f>
        <v>1</v>
      </c>
      <c r="BP259" s="777">
        <f>WWWW[[#This Row],['# people reached by regular dedicated hygiene promotion]]/WWWW[[#This Row],[Total PoP ]]</f>
        <v>0</v>
      </c>
      <c r="BQ25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59" s="770">
        <f>WWWW[[#This Row],['#_of_affected_women_and_girls_receiving_a_sufficient_quantity_of_sanitary_pads]]</f>
        <v>0</v>
      </c>
      <c r="BS259" s="773">
        <f>IF(WWWW[[#This Row],['# People with access to soap]]&gt;WWWW[[#This Row],['# People with access to Sanity Pads]],WWWW[[#This Row],['# People with access to soap]],WWWW[[#This Row],['# People with access to Sanity Pads]])</f>
        <v>0</v>
      </c>
      <c r="BT259" s="772" t="str">
        <f>IF(OR(WWWW[[#This Row],['#of students in school]]="",WWWW[[#This Row],['#of students in school]]=0),"No","Yes")</f>
        <v>No</v>
      </c>
      <c r="BU259" s="782" t="str">
        <f>VLOOKUP(WWWW[[#This Row],[Village  Name]],SiteDB6[[Site Name]:[Location Type 1]],9,FALSE)</f>
        <v>Village</v>
      </c>
      <c r="BV259" s="782" t="str">
        <f>VLOOKUP(WWWW[[#This Row],[Village  Name]],SiteDB6[[Site Name]:[Type of Accommodation]],10,FALSE)</f>
        <v>Village</v>
      </c>
      <c r="BW259" s="782" t="str">
        <f>VLOOKUP(WWWW[[#This Row],[Village  Name]],SiteDB6[[Site Name]:[Ethnic or GCA/NGCA]],11,FALSE)</f>
        <v>Muslim</v>
      </c>
      <c r="BX259" s="782">
        <f>VLOOKUP(WWWW[[#This Row],[Village  Name]],SiteDB6[[Site Name]:[Lat]],12,FALSE)</f>
        <v>0</v>
      </c>
      <c r="BY259" s="782">
        <f>VLOOKUP(WWWW[[#This Row],[Village  Name]],SiteDB6[[Site Name]:[Long]],13,FALSE)</f>
        <v>0</v>
      </c>
      <c r="BZ259" s="782">
        <f>VLOOKUP(WWWW[[#This Row],[Village  Name]],SiteDB6[[Site Name]:[Pcode]],3,FALSE)</f>
        <v>0</v>
      </c>
      <c r="CA259" s="782" t="str">
        <f t="shared" si="17"/>
        <v>Covered</v>
      </c>
      <c r="CB259" s="783"/>
    </row>
    <row r="260" spans="1:80">
      <c r="A260" s="774" t="s">
        <v>3199</v>
      </c>
      <c r="B260" s="727" t="s">
        <v>314</v>
      </c>
      <c r="C260" s="728" t="s">
        <v>314</v>
      </c>
      <c r="D260" s="728" t="s">
        <v>307</v>
      </c>
      <c r="E260" s="728" t="s">
        <v>2648</v>
      </c>
      <c r="F260" s="728" t="s">
        <v>295</v>
      </c>
      <c r="G260" s="644" t="str">
        <f>VLOOKUP(WWWW[[#This Row],[Village  Name]],SiteDB6[[Site Name]:[Location Type]],8,FALSE)</f>
        <v>Village</v>
      </c>
      <c r="H260" s="728" t="s">
        <v>2586</v>
      </c>
      <c r="I260" s="775">
        <v>241</v>
      </c>
      <c r="J260" s="775">
        <v>1027</v>
      </c>
      <c r="K260" s="784">
        <v>42736</v>
      </c>
      <c r="L260" s="785">
        <v>44551</v>
      </c>
      <c r="M260" s="775"/>
      <c r="N260" s="775"/>
      <c r="O260" s="773">
        <v>26</v>
      </c>
      <c r="P260" s="775">
        <v>33</v>
      </c>
      <c r="Q260" s="775">
        <v>2</v>
      </c>
      <c r="R260" s="775"/>
      <c r="S260" s="775"/>
      <c r="T260" s="775"/>
      <c r="U260" s="776"/>
      <c r="V260" s="775">
        <v>66</v>
      </c>
      <c r="W260" s="775" t="s">
        <v>130</v>
      </c>
      <c r="X260" s="775"/>
      <c r="Y260" s="775"/>
      <c r="Z260" s="775"/>
      <c r="AA260" s="775"/>
      <c r="AB260" s="775"/>
      <c r="AC260" s="776"/>
      <c r="AD260" s="775"/>
      <c r="AE260" s="775"/>
      <c r="AF260" s="775"/>
      <c r="AG260" s="775"/>
      <c r="AH260" s="775"/>
      <c r="AI260" s="775"/>
      <c r="AJ260" s="773"/>
      <c r="AK260" s="775"/>
      <c r="AL260" s="773"/>
      <c r="AM260" s="773"/>
      <c r="AN260" s="776"/>
      <c r="AO260" s="769"/>
      <c r="AP260" s="769"/>
      <c r="AQ260" s="773"/>
      <c r="AR260" s="773"/>
      <c r="AS260" s="773"/>
      <c r="AT26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60" s="779">
        <f>WWWW[[#This Row],[%Equitable and continuous access to sufficient quantity of safe drinking water]]*WWWW[[#This Row],[Total PoP ]]</f>
        <v>1027</v>
      </c>
      <c r="AV26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60" s="779">
        <f>WWWW[[#This Row],[% Access to unimproved water points]]*WWWW[[#This Row],[Total PoP ]]</f>
        <v>1027</v>
      </c>
      <c r="AX26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6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1027</v>
      </c>
      <c r="AZ260" s="779">
        <f>WWWW[[#This Row],[HRP1]]/250</f>
        <v>4.1079999999999997</v>
      </c>
      <c r="BA260" s="780">
        <f>1-WWWW[[#This Row],[% Equitable and continuous access to sufficient quantity of domestic water]]</f>
        <v>0</v>
      </c>
      <c r="BB260" s="779">
        <f>WWWW[[#This Row],[%equitable and continuous access to sufficient quantity of safe drinking and domestic water''s GAP]]*WWWW[[#This Row],[Total PoP ]]</f>
        <v>0</v>
      </c>
      <c r="BC260" s="781">
        <f>IF(WWWW[[#This Row],[Total required water points]]-WWWW[[#This Row],['#Water points coverage]]&lt;0,0,WWWW[[#This Row],[Total required water points]]-WWWW[[#This Row],['#Water points coverage]])</f>
        <v>0</v>
      </c>
      <c r="BD260" s="781">
        <f>ROUND(IF(WWWW[[#This Row],[Total PoP ]]&lt;250,1,WWWW[[#This Row],[Total PoP ]]/250),0)</f>
        <v>4</v>
      </c>
      <c r="BE26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0.38558909444985395</v>
      </c>
      <c r="BF260" s="779">
        <f>WWWW[[#This Row],[% people access to functioning Latrine]]*WWWW[[#This Row],[Total PoP ]]</f>
        <v>396</v>
      </c>
      <c r="BG260" s="781">
        <f>WWWW[[#This Row],['#_of_Functioning_latrines_in_school]]*50</f>
        <v>0</v>
      </c>
      <c r="BH260" s="781">
        <f>ROUND((WWWW[[#This Row],[Total PoP ]]/6),0)</f>
        <v>171</v>
      </c>
      <c r="BI260" s="781">
        <f>IF(WWWW[[#This Row],[Total required Latrines]]-(WWWW[[#This Row],['#_of_sanitary_fly-proof_HH_latrines]])&lt;0,0,WWWW[[#This Row],[Total required Latrines]]-(WWWW[[#This Row],['#_of_sanitary_fly-proof_HH_latrines]]))</f>
        <v>105</v>
      </c>
      <c r="BJ260" s="778">
        <f>1-WWWW[[#This Row],[% people access to functioning Latrine]]</f>
        <v>0.6144109055501461</v>
      </c>
      <c r="BK26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60" s="772">
        <f>IF(WWWW[[#This Row],['#_of_functional_handwashing_facilities_at_HH_level]]*6&gt;WWWW[[#This Row],[Total PoP ]],WWWW[[#This Row],[Total PoP ]],WWWW[[#This Row],['#_of_functional_handwashing_facilities_at_HH_level]]*6)</f>
        <v>0</v>
      </c>
      <c r="BM260" s="781">
        <f>IF(WWWW[[#This Row],['# people reached by regular dedicated hygiene promotion]]&gt;WWWW[[#This Row],['# People received regular supply of hygiene items]],WWWW[[#This Row],['# people reached by regular dedicated hygiene promotion]],WWWW[[#This Row],['# People received regular supply of hygiene items]])</f>
        <v>0</v>
      </c>
      <c r="BN260" s="780">
        <f>IF(WWWW[[#This Row],[HRP3]]/WWWW[[#This Row],[Total PoP ]]&gt;100%,100%,WWWW[[#This Row],[HRP3]]/WWWW[[#This Row],[Total PoP ]])</f>
        <v>0</v>
      </c>
      <c r="BO260" s="778">
        <f>1-WWWW[[#This Row],[Hygiene Coverage%]]</f>
        <v>1</v>
      </c>
      <c r="BP260" s="777">
        <f>WWWW[[#This Row],['# people reached by regular dedicated hygiene promotion]]/WWWW[[#This Row],[Total PoP ]]</f>
        <v>0</v>
      </c>
      <c r="BQ26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60" s="770">
        <f>WWWW[[#This Row],['#_of_affected_women_and_girls_receiving_a_sufficient_quantity_of_sanitary_pads]]</f>
        <v>0</v>
      </c>
      <c r="BS260" s="773">
        <f>IF(WWWW[[#This Row],['# People with access to soap]]&gt;WWWW[[#This Row],['# People with access to Sanity Pads]],WWWW[[#This Row],['# People with access to soap]],WWWW[[#This Row],['# People with access to Sanity Pads]])</f>
        <v>0</v>
      </c>
      <c r="BT260" s="772" t="str">
        <f>IF(OR(WWWW[[#This Row],['#of students in school]]="",WWWW[[#This Row],['#of students in school]]=0),"No","Yes")</f>
        <v>No</v>
      </c>
      <c r="BU260" s="782" t="str">
        <f>VLOOKUP(WWWW[[#This Row],[Village  Name]],SiteDB6[[Site Name]:[Location Type 1]],9,FALSE)</f>
        <v>Village</v>
      </c>
      <c r="BV260" s="782" t="str">
        <f>VLOOKUP(WWWW[[#This Row],[Village  Name]],SiteDB6[[Site Name]:[Type of Accommodation]],10,FALSE)</f>
        <v>Village</v>
      </c>
      <c r="BW260" s="782">
        <f>VLOOKUP(WWWW[[#This Row],[Village  Name]],SiteDB6[[Site Name]:[Ethnic or GCA/NGCA]],11,FALSE)</f>
        <v>0</v>
      </c>
      <c r="BX260" s="782">
        <f>VLOOKUP(WWWW[[#This Row],[Village  Name]],SiteDB6[[Site Name]:[Lat]],12,FALSE)</f>
        <v>20.2105598449707</v>
      </c>
      <c r="BY260" s="782">
        <f>VLOOKUP(WWWW[[#This Row],[Village  Name]],SiteDB6[[Site Name]:[Long]],13,FALSE)</f>
        <v>92.836456298828097</v>
      </c>
      <c r="BZ260" s="782">
        <f>VLOOKUP(WWWW[[#This Row],[Village  Name]],SiteDB6[[Site Name]:[Pcode]],3,FALSE)</f>
        <v>196125</v>
      </c>
      <c r="CA260" s="782" t="str">
        <f t="shared" si="17"/>
        <v>Covered</v>
      </c>
      <c r="CB260" s="783"/>
    </row>
    <row r="261" spans="1:80">
      <c r="A261" s="774" t="s">
        <v>3199</v>
      </c>
      <c r="B261" s="727" t="s">
        <v>314</v>
      </c>
      <c r="C261" s="728" t="s">
        <v>314</v>
      </c>
      <c r="D261" s="728" t="s">
        <v>307</v>
      </c>
      <c r="E261" s="728" t="s">
        <v>2648</v>
      </c>
      <c r="F261" s="728" t="s">
        <v>295</v>
      </c>
      <c r="G261" s="644" t="str">
        <f>VLOOKUP(WWWW[[#This Row],[Village  Name]],SiteDB6[[Site Name]:[Location Type]],8,FALSE)</f>
        <v>Village</v>
      </c>
      <c r="H261" s="728" t="s">
        <v>2587</v>
      </c>
      <c r="I261" s="775">
        <v>77</v>
      </c>
      <c r="J261" s="775">
        <v>370</v>
      </c>
      <c r="K261" s="784">
        <v>42736</v>
      </c>
      <c r="L261" s="785">
        <v>44551</v>
      </c>
      <c r="M261" s="775"/>
      <c r="N261" s="775"/>
      <c r="O261" s="773">
        <v>14</v>
      </c>
      <c r="P261" s="775">
        <v>208</v>
      </c>
      <c r="Q261" s="775">
        <v>4</v>
      </c>
      <c r="R261" s="775"/>
      <c r="S261" s="775"/>
      <c r="T261" s="775"/>
      <c r="U261" s="776"/>
      <c r="V261" s="775">
        <v>201</v>
      </c>
      <c r="W261" s="775" t="s">
        <v>130</v>
      </c>
      <c r="X261" s="775"/>
      <c r="Y261" s="775"/>
      <c r="Z261" s="775"/>
      <c r="AA261" s="775"/>
      <c r="AB261" s="775"/>
      <c r="AC261" s="776"/>
      <c r="AD261" s="775"/>
      <c r="AE261" s="775"/>
      <c r="AF261" s="775"/>
      <c r="AG261" s="775"/>
      <c r="AH261" s="775"/>
      <c r="AI261" s="775"/>
      <c r="AJ261" s="773"/>
      <c r="AK261" s="775"/>
      <c r="AL261" s="773"/>
      <c r="AM261" s="773"/>
      <c r="AN261" s="776"/>
      <c r="AO261" s="769"/>
      <c r="AP261" s="769"/>
      <c r="AQ261" s="773"/>
      <c r="AR261" s="773"/>
      <c r="AS261" s="773"/>
      <c r="AT26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61" s="779">
        <f>WWWW[[#This Row],[%Equitable and continuous access to sufficient quantity of safe drinking water]]*WWWW[[#This Row],[Total PoP ]]</f>
        <v>370</v>
      </c>
      <c r="AV26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61" s="779">
        <f>WWWW[[#This Row],[% Access to unimproved water points]]*WWWW[[#This Row],[Total PoP ]]</f>
        <v>370</v>
      </c>
      <c r="AX26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6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370</v>
      </c>
      <c r="AZ261" s="779">
        <f>WWWW[[#This Row],[HRP1]]/250</f>
        <v>1.48</v>
      </c>
      <c r="BA261" s="780">
        <f>1-WWWW[[#This Row],[% Equitable and continuous access to sufficient quantity of domestic water]]</f>
        <v>0</v>
      </c>
      <c r="BB261" s="779">
        <f>WWWW[[#This Row],[%equitable and continuous access to sufficient quantity of safe drinking and domestic water''s GAP]]*WWWW[[#This Row],[Total PoP ]]</f>
        <v>0</v>
      </c>
      <c r="BC261" s="781">
        <f>IF(WWWW[[#This Row],[Total required water points]]-WWWW[[#This Row],['#Water points coverage]]&lt;0,0,WWWW[[#This Row],[Total required water points]]-WWWW[[#This Row],['#Water points coverage]])</f>
        <v>0</v>
      </c>
      <c r="BD261" s="781">
        <f>ROUND(IF(WWWW[[#This Row],[Total PoP ]]&lt;250,1,WWWW[[#This Row],[Total PoP ]]/250),0)</f>
        <v>1</v>
      </c>
      <c r="BE26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61" s="779">
        <f>WWWW[[#This Row],[% people access to functioning Latrine]]*WWWW[[#This Row],[Total PoP ]]</f>
        <v>370</v>
      </c>
      <c r="BG261" s="781">
        <f>WWWW[[#This Row],['#_of_Functioning_latrines_in_school]]*50</f>
        <v>0</v>
      </c>
      <c r="BH261" s="781">
        <f>ROUND((WWWW[[#This Row],[Total PoP ]]/6),0)</f>
        <v>62</v>
      </c>
      <c r="BI261" s="781">
        <f>IF(WWWW[[#This Row],[Total required Latrines]]-(WWWW[[#This Row],['#_of_sanitary_fly-proof_HH_latrines]])&lt;0,0,WWWW[[#This Row],[Total required Latrines]]-(WWWW[[#This Row],['#_of_sanitary_fly-proof_HH_latrines]]))</f>
        <v>0</v>
      </c>
      <c r="BJ261" s="778">
        <f>1-WWWW[[#This Row],[% people access to functioning Latrine]]</f>
        <v>0</v>
      </c>
      <c r="BK26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61" s="772">
        <f>IF(WWWW[[#This Row],['#_of_functional_handwashing_facilities_at_HH_level]]*6&gt;WWWW[[#This Row],[Total PoP ]],WWWW[[#This Row],[Total PoP ]],WWWW[[#This Row],['#_of_functional_handwashing_facilities_at_HH_level]]*6)</f>
        <v>0</v>
      </c>
      <c r="BM261" s="781">
        <f>IF(WWWW[[#This Row],['# people reached by regular dedicated hygiene promotion]]&gt;WWWW[[#This Row],['# People received regular supply of hygiene items]],WWWW[[#This Row],['# people reached by regular dedicated hygiene promotion]],WWWW[[#This Row],['# People received regular supply of hygiene items]])</f>
        <v>0</v>
      </c>
      <c r="BN261" s="780">
        <f>IF(WWWW[[#This Row],[HRP3]]/WWWW[[#This Row],[Total PoP ]]&gt;100%,100%,WWWW[[#This Row],[HRP3]]/WWWW[[#This Row],[Total PoP ]])</f>
        <v>0</v>
      </c>
      <c r="BO261" s="778">
        <f>1-WWWW[[#This Row],[Hygiene Coverage%]]</f>
        <v>1</v>
      </c>
      <c r="BP261" s="777">
        <f>WWWW[[#This Row],['# people reached by regular dedicated hygiene promotion]]/WWWW[[#This Row],[Total PoP ]]</f>
        <v>0</v>
      </c>
      <c r="BQ26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61" s="770">
        <f>WWWW[[#This Row],['#_of_affected_women_and_girls_receiving_a_sufficient_quantity_of_sanitary_pads]]</f>
        <v>0</v>
      </c>
      <c r="BS261" s="773">
        <f>IF(WWWW[[#This Row],['# People with access to soap]]&gt;WWWW[[#This Row],['# People with access to Sanity Pads]],WWWW[[#This Row],['# People with access to soap]],WWWW[[#This Row],['# People with access to Sanity Pads]])</f>
        <v>0</v>
      </c>
      <c r="BT261" s="772" t="str">
        <f>IF(OR(WWWW[[#This Row],['#of students in school]]="",WWWW[[#This Row],['#of students in school]]=0),"No","Yes")</f>
        <v>No</v>
      </c>
      <c r="BU261" s="782" t="str">
        <f>VLOOKUP(WWWW[[#This Row],[Village  Name]],SiteDB6[[Site Name]:[Location Type 1]],9,FALSE)</f>
        <v>Village</v>
      </c>
      <c r="BV261" s="782" t="str">
        <f>VLOOKUP(WWWW[[#This Row],[Village  Name]],SiteDB6[[Site Name]:[Type of Accommodation]],10,FALSE)</f>
        <v>Village</v>
      </c>
      <c r="BW261" s="782" t="str">
        <f>VLOOKUP(WWWW[[#This Row],[Village  Name]],SiteDB6[[Site Name]:[Ethnic or GCA/NGCA]],11,FALSE)</f>
        <v>Rakhine</v>
      </c>
      <c r="BX261" s="782">
        <f>VLOOKUP(WWWW[[#This Row],[Village  Name]],SiteDB6[[Site Name]:[Lat]],12,FALSE)</f>
        <v>20.236940383911101</v>
      </c>
      <c r="BY261" s="782">
        <f>VLOOKUP(WWWW[[#This Row],[Village  Name]],SiteDB6[[Site Name]:[Long]],13,FALSE)</f>
        <v>92.833259582519503</v>
      </c>
      <c r="BZ261" s="782">
        <f>VLOOKUP(WWWW[[#This Row],[Village  Name]],SiteDB6[[Site Name]:[Pcode]],3,FALSE)</f>
        <v>196130</v>
      </c>
      <c r="CA261" s="782" t="str">
        <f t="shared" si="17"/>
        <v>Covered</v>
      </c>
      <c r="CB261" s="783"/>
    </row>
    <row r="262" spans="1:80">
      <c r="A262" s="774" t="s">
        <v>3199</v>
      </c>
      <c r="B262" s="727" t="s">
        <v>314</v>
      </c>
      <c r="C262" s="728" t="s">
        <v>314</v>
      </c>
      <c r="D262" s="728" t="s">
        <v>307</v>
      </c>
      <c r="E262" s="728" t="s">
        <v>2648</v>
      </c>
      <c r="F262" s="728" t="s">
        <v>295</v>
      </c>
      <c r="G262" s="644" t="str">
        <f>VLOOKUP(WWWW[[#This Row],[Village  Name]],SiteDB6[[Site Name]:[Location Type]],8,FALSE)</f>
        <v>village</v>
      </c>
      <c r="H262" s="728" t="s">
        <v>874</v>
      </c>
      <c r="I262" s="775">
        <v>509</v>
      </c>
      <c r="J262" s="775">
        <v>1574</v>
      </c>
      <c r="K262" s="784">
        <v>42736</v>
      </c>
      <c r="L262" s="785">
        <v>44551</v>
      </c>
      <c r="M262" s="775"/>
      <c r="N262" s="775"/>
      <c r="O262" s="773">
        <v>9</v>
      </c>
      <c r="P262" s="775">
        <v>94</v>
      </c>
      <c r="Q262" s="775">
        <v>2</v>
      </c>
      <c r="R262" s="775"/>
      <c r="S262" s="775"/>
      <c r="T262" s="775"/>
      <c r="U262" s="776"/>
      <c r="V262" s="775">
        <v>136</v>
      </c>
      <c r="W262" s="775" t="s">
        <v>130</v>
      </c>
      <c r="X262" s="775"/>
      <c r="Y262" s="775"/>
      <c r="Z262" s="775"/>
      <c r="AA262" s="775"/>
      <c r="AB262" s="775"/>
      <c r="AC262" s="776"/>
      <c r="AD262" s="775"/>
      <c r="AE262" s="775"/>
      <c r="AF262" s="775"/>
      <c r="AG262" s="775"/>
      <c r="AH262" s="775"/>
      <c r="AI262" s="775"/>
      <c r="AJ262" s="773"/>
      <c r="AK262" s="775"/>
      <c r="AL262" s="773"/>
      <c r="AM262" s="773"/>
      <c r="AN262" s="776"/>
      <c r="AO262" s="769"/>
      <c r="AP262" s="769"/>
      <c r="AQ262" s="773"/>
      <c r="AR262" s="773"/>
      <c r="AS262" s="773"/>
      <c r="AT26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62" s="779">
        <f>WWWW[[#This Row],[%Equitable and continuous access to sufficient quantity of safe drinking water]]*WWWW[[#This Row],[Total PoP ]]</f>
        <v>1574</v>
      </c>
      <c r="AV26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62" s="779">
        <f>WWWW[[#This Row],[% Access to unimproved water points]]*WWWW[[#This Row],[Total PoP ]]</f>
        <v>1574</v>
      </c>
      <c r="AX26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6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1574</v>
      </c>
      <c r="AZ262" s="779">
        <f>WWWW[[#This Row],[HRP1]]/250</f>
        <v>6.2960000000000003</v>
      </c>
      <c r="BA262" s="780">
        <f>1-WWWW[[#This Row],[% Equitable and continuous access to sufficient quantity of domestic water]]</f>
        <v>0</v>
      </c>
      <c r="BB262" s="779">
        <f>WWWW[[#This Row],[%equitable and continuous access to sufficient quantity of safe drinking and domestic water''s GAP]]*WWWW[[#This Row],[Total PoP ]]</f>
        <v>0</v>
      </c>
      <c r="BC262" s="781">
        <f>IF(WWWW[[#This Row],[Total required water points]]-WWWW[[#This Row],['#Water points coverage]]&lt;0,0,WWWW[[#This Row],[Total required water points]]-WWWW[[#This Row],['#Water points coverage]])</f>
        <v>0</v>
      </c>
      <c r="BD262" s="781">
        <f>ROUND(IF(WWWW[[#This Row],[Total PoP ]]&lt;250,1,WWWW[[#This Row],[Total PoP ]]/250),0)</f>
        <v>6</v>
      </c>
      <c r="BE26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0.51842439644218552</v>
      </c>
      <c r="BF262" s="779">
        <f>WWWW[[#This Row],[% people access to functioning Latrine]]*WWWW[[#This Row],[Total PoP ]]</f>
        <v>816</v>
      </c>
      <c r="BG262" s="781">
        <f>WWWW[[#This Row],['#_of_Functioning_latrines_in_school]]*50</f>
        <v>0</v>
      </c>
      <c r="BH262" s="781">
        <f>ROUND((WWWW[[#This Row],[Total PoP ]]/6),0)</f>
        <v>262</v>
      </c>
      <c r="BI262" s="781">
        <f>IF(WWWW[[#This Row],[Total required Latrines]]-(WWWW[[#This Row],['#_of_sanitary_fly-proof_HH_latrines]])&lt;0,0,WWWW[[#This Row],[Total required Latrines]]-(WWWW[[#This Row],['#_of_sanitary_fly-proof_HH_latrines]]))</f>
        <v>126</v>
      </c>
      <c r="BJ262" s="778">
        <f>1-WWWW[[#This Row],[% people access to functioning Latrine]]</f>
        <v>0.48157560355781448</v>
      </c>
      <c r="BK26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62" s="772">
        <f>IF(WWWW[[#This Row],['#_of_functional_handwashing_facilities_at_HH_level]]*6&gt;WWWW[[#This Row],[Total PoP ]],WWWW[[#This Row],[Total PoP ]],WWWW[[#This Row],['#_of_functional_handwashing_facilities_at_HH_level]]*6)</f>
        <v>0</v>
      </c>
      <c r="BM262" s="781">
        <f>IF(WWWW[[#This Row],['# people reached by regular dedicated hygiene promotion]]&gt;WWWW[[#This Row],['# People received regular supply of hygiene items]],WWWW[[#This Row],['# people reached by regular dedicated hygiene promotion]],WWWW[[#This Row],['# People received regular supply of hygiene items]])</f>
        <v>0</v>
      </c>
      <c r="BN262" s="780">
        <f>IF(WWWW[[#This Row],[HRP3]]/WWWW[[#This Row],[Total PoP ]]&gt;100%,100%,WWWW[[#This Row],[HRP3]]/WWWW[[#This Row],[Total PoP ]])</f>
        <v>0</v>
      </c>
      <c r="BO262" s="778">
        <f>1-WWWW[[#This Row],[Hygiene Coverage%]]</f>
        <v>1</v>
      </c>
      <c r="BP262" s="777">
        <f>WWWW[[#This Row],['# people reached by regular dedicated hygiene promotion]]/WWWW[[#This Row],[Total PoP ]]</f>
        <v>0</v>
      </c>
      <c r="BQ26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62" s="770">
        <f>WWWW[[#This Row],['#_of_affected_women_and_girls_receiving_a_sufficient_quantity_of_sanitary_pads]]</f>
        <v>0</v>
      </c>
      <c r="BS262" s="773">
        <f>IF(WWWW[[#This Row],['# People with access to soap]]&gt;WWWW[[#This Row],['# People with access to Sanity Pads]],WWWW[[#This Row],['# People with access to soap]],WWWW[[#This Row],['# People with access to Sanity Pads]])</f>
        <v>0</v>
      </c>
      <c r="BT262" s="772" t="str">
        <f>IF(OR(WWWW[[#This Row],['#of students in school]]="",WWWW[[#This Row],['#of students in school]]=0),"No","Yes")</f>
        <v>No</v>
      </c>
      <c r="BU262" s="782" t="str">
        <f>VLOOKUP(WWWW[[#This Row],[Village  Name]],SiteDB6[[Site Name]:[Location Type 1]],9,FALSE)</f>
        <v>Village</v>
      </c>
      <c r="BV262" s="782" t="str">
        <f>VLOOKUP(WWWW[[#This Row],[Village  Name]],SiteDB6[[Site Name]:[Type of Accommodation]],10,FALSE)</f>
        <v>village</v>
      </c>
      <c r="BW262" s="782" t="str">
        <f>VLOOKUP(WWWW[[#This Row],[Village  Name]],SiteDB6[[Site Name]:[Ethnic or GCA/NGCA]],11,FALSE)</f>
        <v>Rakhine</v>
      </c>
      <c r="BX262" s="782">
        <f>VLOOKUP(WWWW[[#This Row],[Village  Name]],SiteDB6[[Site Name]:[Lat]],12,FALSE)</f>
        <v>20.226730346679702</v>
      </c>
      <c r="BY262" s="782">
        <f>VLOOKUP(WWWW[[#This Row],[Village  Name]],SiteDB6[[Site Name]:[Long]],13,FALSE)</f>
        <v>92.836929321289105</v>
      </c>
      <c r="BZ262" s="782">
        <f>VLOOKUP(WWWW[[#This Row],[Village  Name]],SiteDB6[[Site Name]:[Pcode]],3,FALSE)</f>
        <v>196129</v>
      </c>
      <c r="CA262" s="782" t="str">
        <f t="shared" si="17"/>
        <v>Covered</v>
      </c>
      <c r="CB262" s="783"/>
    </row>
    <row r="263" spans="1:80">
      <c r="A263" s="774" t="s">
        <v>3199</v>
      </c>
      <c r="B263" s="727" t="s">
        <v>314</v>
      </c>
      <c r="C263" s="728" t="s">
        <v>314</v>
      </c>
      <c r="D263" s="728" t="s">
        <v>307</v>
      </c>
      <c r="E263" s="728" t="s">
        <v>2648</v>
      </c>
      <c r="F263" s="728" t="s">
        <v>295</v>
      </c>
      <c r="G263" s="644" t="str">
        <f>VLOOKUP(WWWW[[#This Row],[Village  Name]],SiteDB6[[Site Name]:[Location Type]],8,FALSE)</f>
        <v>Village</v>
      </c>
      <c r="H263" s="728" t="s">
        <v>2005</v>
      </c>
      <c r="I263" s="775">
        <v>301</v>
      </c>
      <c r="J263" s="775">
        <v>1529</v>
      </c>
      <c r="K263" s="784">
        <v>42736</v>
      </c>
      <c r="L263" s="785">
        <v>44551</v>
      </c>
      <c r="M263" s="775"/>
      <c r="N263" s="775"/>
      <c r="O263" s="773">
        <v>7</v>
      </c>
      <c r="P263" s="775">
        <v>117</v>
      </c>
      <c r="Q263" s="775">
        <v>3</v>
      </c>
      <c r="R263" s="775"/>
      <c r="S263" s="775"/>
      <c r="T263" s="775"/>
      <c r="U263" s="776"/>
      <c r="V263" s="775">
        <v>186</v>
      </c>
      <c r="W263" s="775" t="s">
        <v>130</v>
      </c>
      <c r="X263" s="775"/>
      <c r="Y263" s="775"/>
      <c r="Z263" s="775"/>
      <c r="AA263" s="775"/>
      <c r="AB263" s="775"/>
      <c r="AC263" s="776"/>
      <c r="AD263" s="775"/>
      <c r="AE263" s="775"/>
      <c r="AF263" s="775"/>
      <c r="AG263" s="775"/>
      <c r="AH263" s="775"/>
      <c r="AI263" s="775"/>
      <c r="AJ263" s="773"/>
      <c r="AK263" s="775"/>
      <c r="AL263" s="773"/>
      <c r="AM263" s="773"/>
      <c r="AN263" s="776"/>
      <c r="AO263" s="769"/>
      <c r="AP263" s="769"/>
      <c r="AQ263" s="773"/>
      <c r="AR263" s="773"/>
      <c r="AS263" s="773"/>
      <c r="AT26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63" s="779">
        <f>WWWW[[#This Row],[%Equitable and continuous access to sufficient quantity of safe drinking water]]*WWWW[[#This Row],[Total PoP ]]</f>
        <v>1529</v>
      </c>
      <c r="AV26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63" s="779">
        <f>WWWW[[#This Row],[% Access to unimproved water points]]*WWWW[[#This Row],[Total PoP ]]</f>
        <v>1529</v>
      </c>
      <c r="AX26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6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1529</v>
      </c>
      <c r="AZ263" s="779">
        <f>WWWW[[#This Row],[HRP1]]/250</f>
        <v>6.1159999999999997</v>
      </c>
      <c r="BA263" s="780">
        <f>1-WWWW[[#This Row],[% Equitable and continuous access to sufficient quantity of domestic water]]</f>
        <v>0</v>
      </c>
      <c r="BB263" s="779">
        <f>WWWW[[#This Row],[%equitable and continuous access to sufficient quantity of safe drinking and domestic water''s GAP]]*WWWW[[#This Row],[Total PoP ]]</f>
        <v>0</v>
      </c>
      <c r="BC263" s="781">
        <f>IF(WWWW[[#This Row],[Total required water points]]-WWWW[[#This Row],['#Water points coverage]]&lt;0,0,WWWW[[#This Row],[Total required water points]]-WWWW[[#This Row],['#Water points coverage]])</f>
        <v>0</v>
      </c>
      <c r="BD263" s="781">
        <f>ROUND(IF(WWWW[[#This Row],[Total PoP ]]&lt;250,1,WWWW[[#This Row],[Total PoP ]]/250),0)</f>
        <v>6</v>
      </c>
      <c r="BE26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0.72988881621975144</v>
      </c>
      <c r="BF263" s="779">
        <f>WWWW[[#This Row],[% people access to functioning Latrine]]*WWWW[[#This Row],[Total PoP ]]</f>
        <v>1116</v>
      </c>
      <c r="BG263" s="781">
        <f>WWWW[[#This Row],['#_of_Functioning_latrines_in_school]]*50</f>
        <v>0</v>
      </c>
      <c r="BH263" s="781">
        <f>ROUND((WWWW[[#This Row],[Total PoP ]]/6),0)</f>
        <v>255</v>
      </c>
      <c r="BI263" s="781">
        <f>IF(WWWW[[#This Row],[Total required Latrines]]-(WWWW[[#This Row],['#_of_sanitary_fly-proof_HH_latrines]])&lt;0,0,WWWW[[#This Row],[Total required Latrines]]-(WWWW[[#This Row],['#_of_sanitary_fly-proof_HH_latrines]]))</f>
        <v>69</v>
      </c>
      <c r="BJ263" s="778">
        <f>1-WWWW[[#This Row],[% people access to functioning Latrine]]</f>
        <v>0.27011118378024856</v>
      </c>
      <c r="BK26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63" s="772">
        <f>IF(WWWW[[#This Row],['#_of_functional_handwashing_facilities_at_HH_level]]*6&gt;WWWW[[#This Row],[Total PoP ]],WWWW[[#This Row],[Total PoP ]],WWWW[[#This Row],['#_of_functional_handwashing_facilities_at_HH_level]]*6)</f>
        <v>0</v>
      </c>
      <c r="BM263" s="781">
        <f>IF(WWWW[[#This Row],['# people reached by regular dedicated hygiene promotion]]&gt;WWWW[[#This Row],['# People received regular supply of hygiene items]],WWWW[[#This Row],['# people reached by regular dedicated hygiene promotion]],WWWW[[#This Row],['# People received regular supply of hygiene items]])</f>
        <v>0</v>
      </c>
      <c r="BN263" s="780">
        <f>IF(WWWW[[#This Row],[HRP3]]/WWWW[[#This Row],[Total PoP ]]&gt;100%,100%,WWWW[[#This Row],[HRP3]]/WWWW[[#This Row],[Total PoP ]])</f>
        <v>0</v>
      </c>
      <c r="BO263" s="778">
        <f>1-WWWW[[#This Row],[Hygiene Coverage%]]</f>
        <v>1</v>
      </c>
      <c r="BP263" s="777">
        <f>WWWW[[#This Row],['# people reached by regular dedicated hygiene promotion]]/WWWW[[#This Row],[Total PoP ]]</f>
        <v>0</v>
      </c>
      <c r="BQ26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63" s="770">
        <f>WWWW[[#This Row],['#_of_affected_women_and_girls_receiving_a_sufficient_quantity_of_sanitary_pads]]</f>
        <v>0</v>
      </c>
      <c r="BS263" s="773">
        <f>IF(WWWW[[#This Row],['# People with access to soap]]&gt;WWWW[[#This Row],['# People with access to Sanity Pads]],WWWW[[#This Row],['# People with access to soap]],WWWW[[#This Row],['# People with access to Sanity Pads]])</f>
        <v>0</v>
      </c>
      <c r="BT263" s="772" t="str">
        <f>IF(OR(WWWW[[#This Row],['#of students in school]]="",WWWW[[#This Row],['#of students in school]]=0),"No","Yes")</f>
        <v>No</v>
      </c>
      <c r="BU263" s="782" t="str">
        <f>VLOOKUP(WWWW[[#This Row],[Village  Name]],SiteDB6[[Site Name]:[Location Type 1]],9,FALSE)</f>
        <v>Village</v>
      </c>
      <c r="BV263" s="782" t="str">
        <f>VLOOKUP(WWWW[[#This Row],[Village  Name]],SiteDB6[[Site Name]:[Type of Accommodation]],10,FALSE)</f>
        <v>Village</v>
      </c>
      <c r="BW263" s="782" t="str">
        <f>VLOOKUP(WWWW[[#This Row],[Village  Name]],SiteDB6[[Site Name]:[Ethnic or GCA/NGCA]],11,FALSE)</f>
        <v>Rakhine</v>
      </c>
      <c r="BX263" s="782">
        <f>VLOOKUP(WWWW[[#This Row],[Village  Name]],SiteDB6[[Site Name]:[Lat]],12,FALSE)</f>
        <v>20.257850650000002</v>
      </c>
      <c r="BY263" s="782">
        <f>VLOOKUP(WWWW[[#This Row],[Village  Name]],SiteDB6[[Site Name]:[Long]],13,FALSE)</f>
        <v>92.811126709999996</v>
      </c>
      <c r="BZ263" s="782">
        <f>VLOOKUP(WWWW[[#This Row],[Village  Name]],SiteDB6[[Site Name]:[Pcode]],3,FALSE)</f>
        <v>196161</v>
      </c>
      <c r="CA263" s="782" t="str">
        <f t="shared" si="17"/>
        <v>Covered</v>
      </c>
      <c r="CB263" s="783"/>
    </row>
    <row r="264" spans="1:80">
      <c r="A264" s="774" t="s">
        <v>3199</v>
      </c>
      <c r="B264" s="727" t="s">
        <v>314</v>
      </c>
      <c r="C264" s="728" t="s">
        <v>314</v>
      </c>
      <c r="D264" s="728" t="s">
        <v>307</v>
      </c>
      <c r="E264" s="728" t="s">
        <v>2648</v>
      </c>
      <c r="F264" s="728" t="s">
        <v>295</v>
      </c>
      <c r="G264" s="644" t="str">
        <f>VLOOKUP(WWWW[[#This Row],[Village  Name]],SiteDB6[[Site Name]:[Location Type]],8,FALSE)</f>
        <v>Village</v>
      </c>
      <c r="H264" s="728" t="s">
        <v>2588</v>
      </c>
      <c r="I264" s="775">
        <v>85</v>
      </c>
      <c r="J264" s="775">
        <v>369</v>
      </c>
      <c r="K264" s="784">
        <v>42736</v>
      </c>
      <c r="L264" s="785">
        <v>44551</v>
      </c>
      <c r="M264" s="775"/>
      <c r="N264" s="775"/>
      <c r="O264" s="773">
        <v>2</v>
      </c>
      <c r="P264" s="775">
        <v>56</v>
      </c>
      <c r="Q264" s="775">
        <v>2</v>
      </c>
      <c r="R264" s="775"/>
      <c r="S264" s="775"/>
      <c r="T264" s="775"/>
      <c r="U264" s="776"/>
      <c r="V264" s="775">
        <v>58</v>
      </c>
      <c r="W264" s="775" t="s">
        <v>130</v>
      </c>
      <c r="X264" s="775"/>
      <c r="Y264" s="775"/>
      <c r="Z264" s="775"/>
      <c r="AA264" s="775"/>
      <c r="AB264" s="775"/>
      <c r="AC264" s="776"/>
      <c r="AD264" s="775"/>
      <c r="AE264" s="775"/>
      <c r="AF264" s="775"/>
      <c r="AG264" s="775"/>
      <c r="AH264" s="775"/>
      <c r="AI264" s="775"/>
      <c r="AJ264" s="773"/>
      <c r="AK264" s="775"/>
      <c r="AL264" s="773"/>
      <c r="AM264" s="773"/>
      <c r="AN264" s="776"/>
      <c r="AO264" s="769"/>
      <c r="AP264" s="769"/>
      <c r="AQ264" s="773"/>
      <c r="AR264" s="773"/>
      <c r="AS264" s="773"/>
      <c r="AT26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64" s="779">
        <f>WWWW[[#This Row],[%Equitable and continuous access to sufficient quantity of safe drinking water]]*WWWW[[#This Row],[Total PoP ]]</f>
        <v>369</v>
      </c>
      <c r="AV26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64" s="779">
        <f>WWWW[[#This Row],[% Access to unimproved water points]]*WWWW[[#This Row],[Total PoP ]]</f>
        <v>369</v>
      </c>
      <c r="AX26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6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369</v>
      </c>
      <c r="AZ264" s="779">
        <f>WWWW[[#This Row],[HRP1]]/250</f>
        <v>1.476</v>
      </c>
      <c r="BA264" s="780">
        <f>1-WWWW[[#This Row],[% Equitable and continuous access to sufficient quantity of domestic water]]</f>
        <v>0</v>
      </c>
      <c r="BB264" s="779">
        <f>WWWW[[#This Row],[%equitable and continuous access to sufficient quantity of safe drinking and domestic water''s GAP]]*WWWW[[#This Row],[Total PoP ]]</f>
        <v>0</v>
      </c>
      <c r="BC264" s="781">
        <f>IF(WWWW[[#This Row],[Total required water points]]-WWWW[[#This Row],['#Water points coverage]]&lt;0,0,WWWW[[#This Row],[Total required water points]]-WWWW[[#This Row],['#Water points coverage]])</f>
        <v>0</v>
      </c>
      <c r="BD264" s="781">
        <f>ROUND(IF(WWWW[[#This Row],[Total PoP ]]&lt;250,1,WWWW[[#This Row],[Total PoP ]]/250),0)</f>
        <v>1</v>
      </c>
      <c r="BE26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0.94308943089430897</v>
      </c>
      <c r="BF264" s="779">
        <f>WWWW[[#This Row],[% people access to functioning Latrine]]*WWWW[[#This Row],[Total PoP ]]</f>
        <v>348</v>
      </c>
      <c r="BG264" s="781">
        <f>WWWW[[#This Row],['#_of_Functioning_latrines_in_school]]*50</f>
        <v>0</v>
      </c>
      <c r="BH264" s="781">
        <f>ROUND((WWWW[[#This Row],[Total PoP ]]/6),0)</f>
        <v>62</v>
      </c>
      <c r="BI264" s="781">
        <f>IF(WWWW[[#This Row],[Total required Latrines]]-(WWWW[[#This Row],['#_of_sanitary_fly-proof_HH_latrines]])&lt;0,0,WWWW[[#This Row],[Total required Latrines]]-(WWWW[[#This Row],['#_of_sanitary_fly-proof_HH_latrines]]))</f>
        <v>4</v>
      </c>
      <c r="BJ264" s="778">
        <f>1-WWWW[[#This Row],[% people access to functioning Latrine]]</f>
        <v>5.6910569105691033E-2</v>
      </c>
      <c r="BK26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64" s="772">
        <f>IF(WWWW[[#This Row],['#_of_functional_handwashing_facilities_at_HH_level]]*6&gt;WWWW[[#This Row],[Total PoP ]],WWWW[[#This Row],[Total PoP ]],WWWW[[#This Row],['#_of_functional_handwashing_facilities_at_HH_level]]*6)</f>
        <v>0</v>
      </c>
      <c r="BM264" s="781">
        <f>IF(WWWW[[#This Row],['# people reached by regular dedicated hygiene promotion]]&gt;WWWW[[#This Row],['# People received regular supply of hygiene items]],WWWW[[#This Row],['# people reached by regular dedicated hygiene promotion]],WWWW[[#This Row],['# People received regular supply of hygiene items]])</f>
        <v>0</v>
      </c>
      <c r="BN264" s="780">
        <f>IF(WWWW[[#This Row],[HRP3]]/WWWW[[#This Row],[Total PoP ]]&gt;100%,100%,WWWW[[#This Row],[HRP3]]/WWWW[[#This Row],[Total PoP ]])</f>
        <v>0</v>
      </c>
      <c r="BO264" s="778">
        <f>1-WWWW[[#This Row],[Hygiene Coverage%]]</f>
        <v>1</v>
      </c>
      <c r="BP264" s="777">
        <f>WWWW[[#This Row],['# people reached by regular dedicated hygiene promotion]]/WWWW[[#This Row],[Total PoP ]]</f>
        <v>0</v>
      </c>
      <c r="BQ26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64" s="770">
        <f>WWWW[[#This Row],['#_of_affected_women_and_girls_receiving_a_sufficient_quantity_of_sanitary_pads]]</f>
        <v>0</v>
      </c>
      <c r="BS264" s="773">
        <f>IF(WWWW[[#This Row],['# People with access to soap]]&gt;WWWW[[#This Row],['# People with access to Sanity Pads]],WWWW[[#This Row],['# People with access to soap]],WWWW[[#This Row],['# People with access to Sanity Pads]])</f>
        <v>0</v>
      </c>
      <c r="BT264" s="772" t="str">
        <f>IF(OR(WWWW[[#This Row],['#of students in school]]="",WWWW[[#This Row],['#of students in school]]=0),"No","Yes")</f>
        <v>No</v>
      </c>
      <c r="BU264" s="782" t="str">
        <f>VLOOKUP(WWWW[[#This Row],[Village  Name]],SiteDB6[[Site Name]:[Location Type 1]],9,FALSE)</f>
        <v>Village</v>
      </c>
      <c r="BV264" s="782" t="str">
        <f>VLOOKUP(WWWW[[#This Row],[Village  Name]],SiteDB6[[Site Name]:[Type of Accommodation]],10,FALSE)</f>
        <v>Village</v>
      </c>
      <c r="BW264" s="782">
        <f>VLOOKUP(WWWW[[#This Row],[Village  Name]],SiteDB6[[Site Name]:[Ethnic or GCA/NGCA]],11,FALSE)</f>
        <v>0</v>
      </c>
      <c r="BX264" s="782">
        <f>VLOOKUP(WWWW[[#This Row],[Village  Name]],SiteDB6[[Site Name]:[Lat]],12,FALSE)</f>
        <v>20.261358000000001</v>
      </c>
      <c r="BY264" s="782">
        <f>VLOOKUP(WWWW[[#This Row],[Village  Name]],SiteDB6[[Site Name]:[Long]],13,FALSE)</f>
        <v>92.805672999999999</v>
      </c>
      <c r="BZ264" s="782">
        <f>VLOOKUP(WWWW[[#This Row],[Village  Name]],SiteDB6[[Site Name]:[Pcode]],3,FALSE)</f>
        <v>220593</v>
      </c>
      <c r="CA264" s="782" t="str">
        <f t="shared" si="17"/>
        <v>Covered</v>
      </c>
      <c r="CB264" s="783"/>
    </row>
    <row r="265" spans="1:80">
      <c r="A265" s="774" t="s">
        <v>3199</v>
      </c>
      <c r="B265" s="727" t="s">
        <v>314</v>
      </c>
      <c r="C265" s="728" t="s">
        <v>314</v>
      </c>
      <c r="D265" s="728" t="s">
        <v>307</v>
      </c>
      <c r="E265" s="728" t="s">
        <v>2648</v>
      </c>
      <c r="F265" s="728" t="s">
        <v>295</v>
      </c>
      <c r="G265" s="644" t="str">
        <f>VLOOKUP(WWWW[[#This Row],[Village  Name]],SiteDB6[[Site Name]:[Location Type]],8,FALSE)</f>
        <v>Village</v>
      </c>
      <c r="H265" s="728" t="s">
        <v>2006</v>
      </c>
      <c r="I265" s="775">
        <v>355</v>
      </c>
      <c r="J265" s="775">
        <v>2168</v>
      </c>
      <c r="K265" s="784">
        <v>42736</v>
      </c>
      <c r="L265" s="785">
        <v>44551</v>
      </c>
      <c r="M265" s="775"/>
      <c r="N265" s="775"/>
      <c r="O265" s="773">
        <v>23</v>
      </c>
      <c r="P265" s="775">
        <v>374</v>
      </c>
      <c r="Q265" s="775">
        <v>2</v>
      </c>
      <c r="R265" s="775"/>
      <c r="S265" s="775"/>
      <c r="T265" s="775"/>
      <c r="U265" s="776"/>
      <c r="V265" s="775">
        <v>216</v>
      </c>
      <c r="W265" s="775" t="s">
        <v>130</v>
      </c>
      <c r="X265" s="775"/>
      <c r="Y265" s="775"/>
      <c r="Z265" s="775"/>
      <c r="AA265" s="775"/>
      <c r="AB265" s="775"/>
      <c r="AC265" s="776"/>
      <c r="AD265" s="775"/>
      <c r="AE265" s="775"/>
      <c r="AF265" s="775"/>
      <c r="AG265" s="775"/>
      <c r="AH265" s="775"/>
      <c r="AI265" s="775"/>
      <c r="AJ265" s="773"/>
      <c r="AK265" s="775"/>
      <c r="AL265" s="773"/>
      <c r="AM265" s="773"/>
      <c r="AN265" s="776"/>
      <c r="AO265" s="769"/>
      <c r="AP265" s="769"/>
      <c r="AQ265" s="773"/>
      <c r="AR265" s="773"/>
      <c r="AS265" s="773"/>
      <c r="AT26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65" s="779">
        <f>WWWW[[#This Row],[%Equitable and continuous access to sufficient quantity of safe drinking water]]*WWWW[[#This Row],[Total PoP ]]</f>
        <v>2168</v>
      </c>
      <c r="AV26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65" s="779">
        <f>WWWW[[#This Row],[% Access to unimproved water points]]*WWWW[[#This Row],[Total PoP ]]</f>
        <v>2168</v>
      </c>
      <c r="AX26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6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2168</v>
      </c>
      <c r="AZ265" s="779">
        <f>WWWW[[#This Row],[HRP1]]/250</f>
        <v>8.6720000000000006</v>
      </c>
      <c r="BA265" s="780">
        <f>1-WWWW[[#This Row],[% Equitable and continuous access to sufficient quantity of domestic water]]</f>
        <v>0</v>
      </c>
      <c r="BB265" s="779">
        <f>WWWW[[#This Row],[%equitable and continuous access to sufficient quantity of safe drinking and domestic water''s GAP]]*WWWW[[#This Row],[Total PoP ]]</f>
        <v>0</v>
      </c>
      <c r="BC265" s="781">
        <f>IF(WWWW[[#This Row],[Total required water points]]-WWWW[[#This Row],['#Water points coverage]]&lt;0,0,WWWW[[#This Row],[Total required water points]]-WWWW[[#This Row],['#Water points coverage]])</f>
        <v>0.3279999999999994</v>
      </c>
      <c r="BD265" s="781">
        <f>ROUND(IF(WWWW[[#This Row],[Total PoP ]]&lt;250,1,WWWW[[#This Row],[Total PoP ]]/250),0)</f>
        <v>9</v>
      </c>
      <c r="BE26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0.59778597785977861</v>
      </c>
      <c r="BF265" s="779">
        <f>WWWW[[#This Row],[% people access to functioning Latrine]]*WWWW[[#This Row],[Total PoP ]]</f>
        <v>1296</v>
      </c>
      <c r="BG265" s="781">
        <f>WWWW[[#This Row],['#_of_Functioning_latrines_in_school]]*50</f>
        <v>0</v>
      </c>
      <c r="BH265" s="781">
        <f>ROUND((WWWW[[#This Row],[Total PoP ]]/6),0)</f>
        <v>361</v>
      </c>
      <c r="BI265" s="781">
        <f>IF(WWWW[[#This Row],[Total required Latrines]]-(WWWW[[#This Row],['#_of_sanitary_fly-proof_HH_latrines]])&lt;0,0,WWWW[[#This Row],[Total required Latrines]]-(WWWW[[#This Row],['#_of_sanitary_fly-proof_HH_latrines]]))</f>
        <v>145</v>
      </c>
      <c r="BJ265" s="778">
        <f>1-WWWW[[#This Row],[% people access to functioning Latrine]]</f>
        <v>0.40221402214022139</v>
      </c>
      <c r="BK26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65" s="772">
        <f>IF(WWWW[[#This Row],['#_of_functional_handwashing_facilities_at_HH_level]]*6&gt;WWWW[[#This Row],[Total PoP ]],WWWW[[#This Row],[Total PoP ]],WWWW[[#This Row],['#_of_functional_handwashing_facilities_at_HH_level]]*6)</f>
        <v>0</v>
      </c>
      <c r="BM265" s="781">
        <f>IF(WWWW[[#This Row],['# people reached by regular dedicated hygiene promotion]]&gt;WWWW[[#This Row],['# People received regular supply of hygiene items]],WWWW[[#This Row],['# people reached by regular dedicated hygiene promotion]],WWWW[[#This Row],['# People received regular supply of hygiene items]])</f>
        <v>0</v>
      </c>
      <c r="BN265" s="780">
        <f>IF(WWWW[[#This Row],[HRP3]]/WWWW[[#This Row],[Total PoP ]]&gt;100%,100%,WWWW[[#This Row],[HRP3]]/WWWW[[#This Row],[Total PoP ]])</f>
        <v>0</v>
      </c>
      <c r="BO265" s="778">
        <f>1-WWWW[[#This Row],[Hygiene Coverage%]]</f>
        <v>1</v>
      </c>
      <c r="BP265" s="777">
        <f>WWWW[[#This Row],['# people reached by regular dedicated hygiene promotion]]/WWWW[[#This Row],[Total PoP ]]</f>
        <v>0</v>
      </c>
      <c r="BQ26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65" s="770">
        <f>WWWW[[#This Row],['#_of_affected_women_and_girls_receiving_a_sufficient_quantity_of_sanitary_pads]]</f>
        <v>0</v>
      </c>
      <c r="BS265" s="773">
        <f>IF(WWWW[[#This Row],['# People with access to soap]]&gt;WWWW[[#This Row],['# People with access to Sanity Pads]],WWWW[[#This Row],['# People with access to soap]],WWWW[[#This Row],['# People with access to Sanity Pads]])</f>
        <v>0</v>
      </c>
      <c r="BT265" s="772" t="str">
        <f>IF(OR(WWWW[[#This Row],['#of students in school]]="",WWWW[[#This Row],['#of students in school]]=0),"No","Yes")</f>
        <v>No</v>
      </c>
      <c r="BU265" s="782" t="str">
        <f>VLOOKUP(WWWW[[#This Row],[Village  Name]],SiteDB6[[Site Name]:[Location Type 1]],9,FALSE)</f>
        <v>Village</v>
      </c>
      <c r="BV265" s="782" t="str">
        <f>VLOOKUP(WWWW[[#This Row],[Village  Name]],SiteDB6[[Site Name]:[Type of Accommodation]],10,FALSE)</f>
        <v>Village</v>
      </c>
      <c r="BW265" s="782">
        <f>VLOOKUP(WWWW[[#This Row],[Village  Name]],SiteDB6[[Site Name]:[Ethnic or GCA/NGCA]],11,FALSE)</f>
        <v>0</v>
      </c>
      <c r="BX265" s="782">
        <f>VLOOKUP(WWWW[[#This Row],[Village  Name]],SiteDB6[[Site Name]:[Lat]],12,FALSE)</f>
        <v>20.246250152587901</v>
      </c>
      <c r="BY265" s="782">
        <f>VLOOKUP(WWWW[[#This Row],[Village  Name]],SiteDB6[[Site Name]:[Long]],13,FALSE)</f>
        <v>92.822059631347699</v>
      </c>
      <c r="BZ265" s="782">
        <f>VLOOKUP(WWWW[[#This Row],[Village  Name]],SiteDB6[[Site Name]:[Pcode]],3,FALSE)</f>
        <v>196160</v>
      </c>
      <c r="CA265" s="782" t="str">
        <f t="shared" si="17"/>
        <v>Covered</v>
      </c>
      <c r="CB265" s="783"/>
    </row>
    <row r="266" spans="1:80">
      <c r="A266" s="774" t="s">
        <v>3199</v>
      </c>
      <c r="B266" s="727" t="s">
        <v>314</v>
      </c>
      <c r="C266" s="728" t="s">
        <v>314</v>
      </c>
      <c r="D266" s="728" t="s">
        <v>307</v>
      </c>
      <c r="E266" s="728" t="s">
        <v>2648</v>
      </c>
      <c r="F266" s="728" t="s">
        <v>295</v>
      </c>
      <c r="G266" s="644" t="str">
        <f>VLOOKUP(WWWW[[#This Row],[Village  Name]],SiteDB6[[Site Name]:[Location Type]],8,FALSE)</f>
        <v>Village</v>
      </c>
      <c r="H266" s="728" t="s">
        <v>2589</v>
      </c>
      <c r="I266" s="775">
        <v>300</v>
      </c>
      <c r="J266" s="775">
        <v>1369</v>
      </c>
      <c r="K266" s="784">
        <v>42736</v>
      </c>
      <c r="L266" s="785">
        <v>44551</v>
      </c>
      <c r="M266" s="775"/>
      <c r="N266" s="775"/>
      <c r="O266" s="773">
        <v>8</v>
      </c>
      <c r="P266" s="775">
        <v>191</v>
      </c>
      <c r="Q266" s="775">
        <v>4</v>
      </c>
      <c r="R266" s="775"/>
      <c r="S266" s="775"/>
      <c r="T266" s="775"/>
      <c r="U266" s="776"/>
      <c r="V266" s="775">
        <v>219</v>
      </c>
      <c r="W266" s="775" t="s">
        <v>130</v>
      </c>
      <c r="X266" s="775"/>
      <c r="Y266" s="775"/>
      <c r="Z266" s="775"/>
      <c r="AA266" s="775"/>
      <c r="AB266" s="775"/>
      <c r="AC266" s="776"/>
      <c r="AD266" s="775"/>
      <c r="AE266" s="775"/>
      <c r="AF266" s="775"/>
      <c r="AG266" s="775"/>
      <c r="AH266" s="775"/>
      <c r="AI266" s="775"/>
      <c r="AJ266" s="773"/>
      <c r="AK266" s="775"/>
      <c r="AL266" s="773"/>
      <c r="AM266" s="773"/>
      <c r="AN266" s="776"/>
      <c r="AO266" s="769"/>
      <c r="AP266" s="769"/>
      <c r="AQ266" s="773"/>
      <c r="AR266" s="773"/>
      <c r="AS266" s="773"/>
      <c r="AT26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66" s="779">
        <f>WWWW[[#This Row],[%Equitable and continuous access to sufficient quantity of safe drinking water]]*WWWW[[#This Row],[Total PoP ]]</f>
        <v>1369</v>
      </c>
      <c r="AV26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66" s="779">
        <f>WWWW[[#This Row],[% Access to unimproved water points]]*WWWW[[#This Row],[Total PoP ]]</f>
        <v>1369</v>
      </c>
      <c r="AX26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6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1369</v>
      </c>
      <c r="AZ266" s="779">
        <f>WWWW[[#This Row],[HRP1]]/250</f>
        <v>5.476</v>
      </c>
      <c r="BA266" s="780">
        <f>1-WWWW[[#This Row],[% Equitable and continuous access to sufficient quantity of domestic water]]</f>
        <v>0</v>
      </c>
      <c r="BB266" s="779">
        <f>WWWW[[#This Row],[%equitable and continuous access to sufficient quantity of safe drinking and domestic water''s GAP]]*WWWW[[#This Row],[Total PoP ]]</f>
        <v>0</v>
      </c>
      <c r="BC266" s="781">
        <f>IF(WWWW[[#This Row],[Total required water points]]-WWWW[[#This Row],['#Water points coverage]]&lt;0,0,WWWW[[#This Row],[Total required water points]]-WWWW[[#This Row],['#Water points coverage]])</f>
        <v>0</v>
      </c>
      <c r="BD266" s="781">
        <f>ROUND(IF(WWWW[[#This Row],[Total PoP ]]&lt;250,1,WWWW[[#This Row],[Total PoP ]]/250),0)</f>
        <v>5</v>
      </c>
      <c r="BE26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0.95982468955441924</v>
      </c>
      <c r="BF266" s="779">
        <f>WWWW[[#This Row],[% people access to functioning Latrine]]*WWWW[[#This Row],[Total PoP ]]</f>
        <v>1314</v>
      </c>
      <c r="BG266" s="781">
        <f>WWWW[[#This Row],['#_of_Functioning_latrines_in_school]]*50</f>
        <v>0</v>
      </c>
      <c r="BH266" s="781">
        <f>ROUND((WWWW[[#This Row],[Total PoP ]]/6),0)</f>
        <v>228</v>
      </c>
      <c r="BI266" s="781">
        <f>IF(WWWW[[#This Row],[Total required Latrines]]-(WWWW[[#This Row],['#_of_sanitary_fly-proof_HH_latrines]])&lt;0,0,WWWW[[#This Row],[Total required Latrines]]-(WWWW[[#This Row],['#_of_sanitary_fly-proof_HH_latrines]]))</f>
        <v>9</v>
      </c>
      <c r="BJ266" s="778">
        <f>1-WWWW[[#This Row],[% people access to functioning Latrine]]</f>
        <v>4.0175310445580759E-2</v>
      </c>
      <c r="BK26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66" s="772">
        <f>IF(WWWW[[#This Row],['#_of_functional_handwashing_facilities_at_HH_level]]*6&gt;WWWW[[#This Row],[Total PoP ]],WWWW[[#This Row],[Total PoP ]],WWWW[[#This Row],['#_of_functional_handwashing_facilities_at_HH_level]]*6)</f>
        <v>0</v>
      </c>
      <c r="BM266" s="781">
        <f>IF(WWWW[[#This Row],['# people reached by regular dedicated hygiene promotion]]&gt;WWWW[[#This Row],['# People received regular supply of hygiene items]],WWWW[[#This Row],['# people reached by regular dedicated hygiene promotion]],WWWW[[#This Row],['# People received regular supply of hygiene items]])</f>
        <v>0</v>
      </c>
      <c r="BN266" s="780">
        <f>IF(WWWW[[#This Row],[HRP3]]/WWWW[[#This Row],[Total PoP ]]&gt;100%,100%,WWWW[[#This Row],[HRP3]]/WWWW[[#This Row],[Total PoP ]])</f>
        <v>0</v>
      </c>
      <c r="BO266" s="778">
        <f>1-WWWW[[#This Row],[Hygiene Coverage%]]</f>
        <v>1</v>
      </c>
      <c r="BP266" s="777">
        <f>WWWW[[#This Row],['# people reached by regular dedicated hygiene promotion]]/WWWW[[#This Row],[Total PoP ]]</f>
        <v>0</v>
      </c>
      <c r="BQ26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66" s="770">
        <f>WWWW[[#This Row],['#_of_affected_women_and_girls_receiving_a_sufficient_quantity_of_sanitary_pads]]</f>
        <v>0</v>
      </c>
      <c r="BS266" s="773">
        <f>IF(WWWW[[#This Row],['# People with access to soap]]&gt;WWWW[[#This Row],['# People with access to Sanity Pads]],WWWW[[#This Row],['# People with access to soap]],WWWW[[#This Row],['# People with access to Sanity Pads]])</f>
        <v>0</v>
      </c>
      <c r="BT266" s="772" t="str">
        <f>IF(OR(WWWW[[#This Row],['#of students in school]]="",WWWW[[#This Row],['#of students in school]]=0),"No","Yes")</f>
        <v>No</v>
      </c>
      <c r="BU266" s="782" t="str">
        <f>VLOOKUP(WWWW[[#This Row],[Village  Name]],SiteDB6[[Site Name]:[Location Type 1]],9,FALSE)</f>
        <v>Village</v>
      </c>
      <c r="BV266" s="782" t="str">
        <f>VLOOKUP(WWWW[[#This Row],[Village  Name]],SiteDB6[[Site Name]:[Type of Accommodation]],10,FALSE)</f>
        <v>Village</v>
      </c>
      <c r="BW266" s="782">
        <f>VLOOKUP(WWWW[[#This Row],[Village  Name]],SiteDB6[[Site Name]:[Ethnic or GCA/NGCA]],11,FALSE)</f>
        <v>0</v>
      </c>
      <c r="BX266" s="782">
        <f>VLOOKUP(WWWW[[#This Row],[Village  Name]],SiteDB6[[Site Name]:[Lat]],12,FALSE)</f>
        <v>20.239799499511701</v>
      </c>
      <c r="BY266" s="782">
        <f>VLOOKUP(WWWW[[#This Row],[Village  Name]],SiteDB6[[Site Name]:[Long]],13,FALSE)</f>
        <v>92.825088500976605</v>
      </c>
      <c r="BZ266" s="782">
        <f>VLOOKUP(WWWW[[#This Row],[Village  Name]],SiteDB6[[Site Name]:[Pcode]],3,FALSE)</f>
        <v>196131</v>
      </c>
      <c r="CA266" s="782" t="str">
        <f t="shared" si="17"/>
        <v>Covered</v>
      </c>
      <c r="CB266" s="783"/>
    </row>
    <row r="267" spans="1:80">
      <c r="A267" s="774" t="s">
        <v>3199</v>
      </c>
      <c r="B267" s="727" t="s">
        <v>314</v>
      </c>
      <c r="C267" s="728" t="s">
        <v>314</v>
      </c>
      <c r="D267" s="728" t="s">
        <v>327</v>
      </c>
      <c r="E267" s="728" t="s">
        <v>2648</v>
      </c>
      <c r="F267" s="728" t="s">
        <v>295</v>
      </c>
      <c r="G267" s="644" t="str">
        <f>VLOOKUP(WWWW[[#This Row],[Village  Name]],SiteDB6[[Site Name]:[Location Type]],8,FALSE)</f>
        <v>Village</v>
      </c>
      <c r="H267" s="728" t="s">
        <v>669</v>
      </c>
      <c r="I267" s="775">
        <v>331</v>
      </c>
      <c r="J267" s="775">
        <v>1473</v>
      </c>
      <c r="K267" s="784">
        <v>42736</v>
      </c>
      <c r="L267" s="785">
        <v>44551</v>
      </c>
      <c r="M267" s="775"/>
      <c r="N267" s="775"/>
      <c r="O267" s="773">
        <v>2</v>
      </c>
      <c r="P267" s="775">
        <v>68</v>
      </c>
      <c r="Q267" s="775">
        <v>2</v>
      </c>
      <c r="R267" s="775"/>
      <c r="S267" s="775"/>
      <c r="T267" s="775"/>
      <c r="U267" s="776"/>
      <c r="V267" s="775">
        <v>79</v>
      </c>
      <c r="W267" s="775" t="s">
        <v>130</v>
      </c>
      <c r="X267" s="775"/>
      <c r="Y267" s="775"/>
      <c r="Z267" s="775"/>
      <c r="AA267" s="775"/>
      <c r="AB267" s="775"/>
      <c r="AC267" s="776"/>
      <c r="AD267" s="775"/>
      <c r="AE267" s="775"/>
      <c r="AF267" s="775"/>
      <c r="AG267" s="775"/>
      <c r="AH267" s="775"/>
      <c r="AI267" s="775"/>
      <c r="AJ267" s="773"/>
      <c r="AK267" s="775"/>
      <c r="AL267" s="773"/>
      <c r="AM267" s="773"/>
      <c r="AN267" s="776"/>
      <c r="AO267" s="769"/>
      <c r="AP267" s="769"/>
      <c r="AQ267" s="773"/>
      <c r="AR267" s="773"/>
      <c r="AS267" s="773"/>
      <c r="AT26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67" s="779">
        <f>WWWW[[#This Row],[%Equitable and continuous access to sufficient quantity of safe drinking water]]*WWWW[[#This Row],[Total PoP ]]</f>
        <v>1473</v>
      </c>
      <c r="AV26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67" s="779">
        <f>WWWW[[#This Row],[% Access to unimproved water points]]*WWWW[[#This Row],[Total PoP ]]</f>
        <v>1473</v>
      </c>
      <c r="AX26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6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1473</v>
      </c>
      <c r="AZ267" s="779">
        <f>WWWW[[#This Row],[HRP1]]/250</f>
        <v>5.8920000000000003</v>
      </c>
      <c r="BA267" s="780">
        <f>1-WWWW[[#This Row],[% Equitable and continuous access to sufficient quantity of domestic water]]</f>
        <v>0</v>
      </c>
      <c r="BB267" s="779">
        <f>WWWW[[#This Row],[%equitable and continuous access to sufficient quantity of safe drinking and domestic water''s GAP]]*WWWW[[#This Row],[Total PoP ]]</f>
        <v>0</v>
      </c>
      <c r="BC267" s="781">
        <f>IF(WWWW[[#This Row],[Total required water points]]-WWWW[[#This Row],['#Water points coverage]]&lt;0,0,WWWW[[#This Row],[Total required water points]]-WWWW[[#This Row],['#Water points coverage]])</f>
        <v>0.10799999999999965</v>
      </c>
      <c r="BD267" s="781">
        <f>ROUND(IF(WWWW[[#This Row],[Total PoP ]]&lt;250,1,WWWW[[#This Row],[Total PoP ]]/250),0)</f>
        <v>6</v>
      </c>
      <c r="BE26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0.32179226069246436</v>
      </c>
      <c r="BF267" s="779">
        <f>WWWW[[#This Row],[% people access to functioning Latrine]]*WWWW[[#This Row],[Total PoP ]]</f>
        <v>474</v>
      </c>
      <c r="BG267" s="781">
        <f>WWWW[[#This Row],['#_of_Functioning_latrines_in_school]]*50</f>
        <v>0</v>
      </c>
      <c r="BH267" s="781">
        <f>ROUND((WWWW[[#This Row],[Total PoP ]]/6),0)</f>
        <v>246</v>
      </c>
      <c r="BI267" s="781">
        <f>IF(WWWW[[#This Row],[Total required Latrines]]-(WWWW[[#This Row],['#_of_sanitary_fly-proof_HH_latrines]])&lt;0,0,WWWW[[#This Row],[Total required Latrines]]-(WWWW[[#This Row],['#_of_sanitary_fly-proof_HH_latrines]]))</f>
        <v>167</v>
      </c>
      <c r="BJ267" s="778">
        <f>1-WWWW[[#This Row],[% people access to functioning Latrine]]</f>
        <v>0.67820773930753564</v>
      </c>
      <c r="BK26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67" s="772">
        <f>IF(WWWW[[#This Row],['#_of_functional_handwashing_facilities_at_HH_level]]*6&gt;WWWW[[#This Row],[Total PoP ]],WWWW[[#This Row],[Total PoP ]],WWWW[[#This Row],['#_of_functional_handwashing_facilities_at_HH_level]]*6)</f>
        <v>0</v>
      </c>
      <c r="BM267" s="781">
        <f>IF(WWWW[[#This Row],['# people reached by regular dedicated hygiene promotion]]&gt;WWWW[[#This Row],['# People received regular supply of hygiene items]],WWWW[[#This Row],['# people reached by regular dedicated hygiene promotion]],WWWW[[#This Row],['# People received regular supply of hygiene items]])</f>
        <v>0</v>
      </c>
      <c r="BN267" s="780">
        <f>IF(WWWW[[#This Row],[HRP3]]/WWWW[[#This Row],[Total PoP ]]&gt;100%,100%,WWWW[[#This Row],[HRP3]]/WWWW[[#This Row],[Total PoP ]])</f>
        <v>0</v>
      </c>
      <c r="BO267" s="778">
        <f>1-WWWW[[#This Row],[Hygiene Coverage%]]</f>
        <v>1</v>
      </c>
      <c r="BP267" s="777">
        <f>WWWW[[#This Row],['# people reached by regular dedicated hygiene promotion]]/WWWW[[#This Row],[Total PoP ]]</f>
        <v>0</v>
      </c>
      <c r="BQ26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67" s="770">
        <f>WWWW[[#This Row],['#_of_affected_women_and_girls_receiving_a_sufficient_quantity_of_sanitary_pads]]</f>
        <v>0</v>
      </c>
      <c r="BS267" s="773">
        <f>IF(WWWW[[#This Row],['# People with access to soap]]&gt;WWWW[[#This Row],['# People with access to Sanity Pads]],WWWW[[#This Row],['# People with access to soap]],WWWW[[#This Row],['# People with access to Sanity Pads]])</f>
        <v>0</v>
      </c>
      <c r="BT267" s="772" t="str">
        <f>IF(OR(WWWW[[#This Row],['#of students in school]]="",WWWW[[#This Row],['#of students in school]]=0),"No","Yes")</f>
        <v>No</v>
      </c>
      <c r="BU267" s="782" t="str">
        <f>VLOOKUP(WWWW[[#This Row],[Village  Name]],SiteDB6[[Site Name]:[Location Type 1]],9,FALSE)</f>
        <v>Village</v>
      </c>
      <c r="BV267" s="782" t="str">
        <f>VLOOKUP(WWWW[[#This Row],[Village  Name]],SiteDB6[[Site Name]:[Type of Accommodation]],10,FALSE)</f>
        <v>Village</v>
      </c>
      <c r="BW267" s="782">
        <f>VLOOKUP(WWWW[[#This Row],[Village  Name]],SiteDB6[[Site Name]:[Ethnic or GCA/NGCA]],11,FALSE)</f>
        <v>0</v>
      </c>
      <c r="BX267" s="782">
        <f>VLOOKUP(WWWW[[#This Row],[Village  Name]],SiteDB6[[Site Name]:[Lat]],12,FALSE)</f>
        <v>20.128850936889599</v>
      </c>
      <c r="BY267" s="782">
        <f>VLOOKUP(WWWW[[#This Row],[Village  Name]],SiteDB6[[Site Name]:[Long]],13,FALSE)</f>
        <v>92.872497558593807</v>
      </c>
      <c r="BZ267" s="782">
        <f>VLOOKUP(WWWW[[#This Row],[Village  Name]],SiteDB6[[Site Name]:[Pcode]],3,FALSE)</f>
        <v>196208</v>
      </c>
      <c r="CA267" s="782" t="str">
        <f t="shared" si="17"/>
        <v>Covered</v>
      </c>
      <c r="CB267" s="783"/>
    </row>
    <row r="268" spans="1:80">
      <c r="A268" s="774" t="s">
        <v>3199</v>
      </c>
      <c r="B268" s="727" t="s">
        <v>2282</v>
      </c>
      <c r="C268" s="728" t="s">
        <v>2282</v>
      </c>
      <c r="D268" s="728" t="s">
        <v>39</v>
      </c>
      <c r="E268" s="728" t="s">
        <v>2648</v>
      </c>
      <c r="F268" s="728" t="s">
        <v>295</v>
      </c>
      <c r="G268" s="644" t="str">
        <f>VLOOKUP(WWWW[[#This Row],[Village  Name]],SiteDB6[[Site Name]:[Location Type]],8,FALSE)</f>
        <v>Village</v>
      </c>
      <c r="H268" s="728" t="s">
        <v>436</v>
      </c>
      <c r="I268" s="775">
        <v>200</v>
      </c>
      <c r="J268" s="775">
        <v>1065</v>
      </c>
      <c r="K268" s="784">
        <v>43009</v>
      </c>
      <c r="L268" s="785">
        <v>44104</v>
      </c>
      <c r="M268" s="775"/>
      <c r="N268" s="775">
        <v>0</v>
      </c>
      <c r="O268" s="773"/>
      <c r="P268" s="775"/>
      <c r="Q268" s="775"/>
      <c r="R268" s="775"/>
      <c r="S268" s="775"/>
      <c r="T268" s="775"/>
      <c r="U268" s="776"/>
      <c r="V268" s="775"/>
      <c r="W268" s="773" t="s">
        <v>130</v>
      </c>
      <c r="X268" s="775"/>
      <c r="Y268" s="775"/>
      <c r="Z268" s="775"/>
      <c r="AA268" s="775"/>
      <c r="AB268" s="775"/>
      <c r="AC268" s="776"/>
      <c r="AD268" s="775">
        <v>174</v>
      </c>
      <c r="AE268" s="775">
        <v>166</v>
      </c>
      <c r="AF268" s="775"/>
      <c r="AG268" s="775"/>
      <c r="AH268" s="775"/>
      <c r="AI268" s="775">
        <v>213</v>
      </c>
      <c r="AJ268" s="773"/>
      <c r="AK268" s="775"/>
      <c r="AL268" s="773"/>
      <c r="AM268" s="773"/>
      <c r="AN268" s="776"/>
      <c r="AO268" s="769"/>
      <c r="AP268" s="769"/>
      <c r="AQ268" s="773"/>
      <c r="AR268" s="773"/>
      <c r="AS268" s="773"/>
      <c r="AT26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268" s="779">
        <f>WWWW[[#This Row],[%Equitable and continuous access to sufficient quantity of safe drinking water]]*WWWW[[#This Row],[Total PoP ]]</f>
        <v>0</v>
      </c>
      <c r="AV26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268" s="779">
        <f>WWWW[[#This Row],[% Access to unimproved water points]]*WWWW[[#This Row],[Total PoP ]]</f>
        <v>0</v>
      </c>
      <c r="AX26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26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268" s="779">
        <f>WWWW[[#This Row],[HRP1]]/250</f>
        <v>0</v>
      </c>
      <c r="BA268" s="780">
        <f>1-WWWW[[#This Row],[% Equitable and continuous access to sufficient quantity of domestic water]]</f>
        <v>1</v>
      </c>
      <c r="BB268" s="779">
        <f>WWWW[[#This Row],[%equitable and continuous access to sufficient quantity of safe drinking and domestic water''s GAP]]*WWWW[[#This Row],[Total PoP ]]</f>
        <v>1065</v>
      </c>
      <c r="BC268" s="781">
        <f>IF(WWWW[[#This Row],[Total required water points]]-WWWW[[#This Row],['#Water points coverage]]&lt;0,0,WWWW[[#This Row],[Total required water points]]-WWWW[[#This Row],['#Water points coverage]])</f>
        <v>4</v>
      </c>
      <c r="BD268" s="781">
        <f>ROUND(IF(WWWW[[#This Row],[Total PoP ]]&lt;250,1,WWWW[[#This Row],[Total PoP ]]/250),0)</f>
        <v>4</v>
      </c>
      <c r="BE26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268" s="779">
        <f>WWWW[[#This Row],[% people access to functioning Latrine]]*WWWW[[#This Row],[Total PoP ]]</f>
        <v>0</v>
      </c>
      <c r="BG268" s="781">
        <f>WWWW[[#This Row],['#_of_Functioning_latrines_in_school]]*50</f>
        <v>0</v>
      </c>
      <c r="BH268" s="781">
        <f>ROUND((WWWW[[#This Row],[Total PoP ]]/6),0)</f>
        <v>178</v>
      </c>
      <c r="BI268" s="781">
        <f>IF(WWWW[[#This Row],[Total required Latrines]]-(WWWW[[#This Row],['#_of_sanitary_fly-proof_HH_latrines]])&lt;0,0,WWWW[[#This Row],[Total required Latrines]]-(WWWW[[#This Row],['#_of_sanitary_fly-proof_HH_latrines]]))</f>
        <v>178</v>
      </c>
      <c r="BJ268" s="778">
        <f>1-WWWW[[#This Row],[% people access to functioning Latrine]]</f>
        <v>1</v>
      </c>
      <c r="BK26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553</v>
      </c>
      <c r="BL268" s="772">
        <f>IF(WWWW[[#This Row],['#_of_functional_handwashing_facilities_at_HH_level]]*6&gt;WWWW[[#This Row],[Total PoP ]],WWWW[[#This Row],[Total PoP ]],WWWW[[#This Row],['#_of_functional_handwashing_facilities_at_HH_level]]*6)</f>
        <v>0</v>
      </c>
      <c r="BM268" s="781">
        <f>IF(WWWW[[#This Row],['# people reached by regular dedicated hygiene promotion]]&gt;WWWW[[#This Row],['# People received regular supply of hygiene items]],WWWW[[#This Row],['# people reached by regular dedicated hygiene promotion]],WWWW[[#This Row],['# People received regular supply of hygiene items]])</f>
        <v>553</v>
      </c>
      <c r="BN268" s="780">
        <f>IF(WWWW[[#This Row],[HRP3]]/WWWW[[#This Row],[Total PoP ]]&gt;100%,100%,WWWW[[#This Row],[HRP3]]/WWWW[[#This Row],[Total PoP ]])</f>
        <v>0.51924882629107982</v>
      </c>
      <c r="BO268" s="778">
        <f>1-WWWW[[#This Row],[Hygiene Coverage%]]</f>
        <v>0.48075117370892018</v>
      </c>
      <c r="BP268" s="777">
        <f>WWWW[[#This Row],['# people reached by regular dedicated hygiene promotion]]/WWWW[[#This Row],[Total PoP ]]</f>
        <v>0.51924882629107982</v>
      </c>
      <c r="BQ26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68" s="770">
        <f>WWWW[[#This Row],['#_of_affected_women_and_girls_receiving_a_sufficient_quantity_of_sanitary_pads]]</f>
        <v>0</v>
      </c>
      <c r="BS268" s="773">
        <f>IF(WWWW[[#This Row],['# People with access to soap]]&gt;WWWW[[#This Row],['# People with access to Sanity Pads]],WWWW[[#This Row],['# People with access to soap]],WWWW[[#This Row],['# People with access to Sanity Pads]])</f>
        <v>0</v>
      </c>
      <c r="BT268" s="772" t="str">
        <f>IF(OR(WWWW[[#This Row],['#of students in school]]="",WWWW[[#This Row],['#of students in school]]=0),"No","Yes")</f>
        <v>No</v>
      </c>
      <c r="BU268" s="782" t="str">
        <f>VLOOKUP(WWWW[[#This Row],[Village  Name]],SiteDB6[[Site Name]:[Location Type 1]],9,FALSE)</f>
        <v>Village</v>
      </c>
      <c r="BV268" s="782" t="str">
        <f>VLOOKUP(WWWW[[#This Row],[Village  Name]],SiteDB6[[Site Name]:[Type of Accommodation]],10,FALSE)</f>
        <v>Village</v>
      </c>
      <c r="BW268" s="782" t="str">
        <f>VLOOKUP(WWWW[[#This Row],[Village  Name]],SiteDB6[[Site Name]:[Ethnic or GCA/NGCA]],11,FALSE)</f>
        <v>Muslim</v>
      </c>
      <c r="BX268" s="782">
        <f>VLOOKUP(WWWW[[#This Row],[Village  Name]],SiteDB6[[Site Name]:[Lat]],12,FALSE)</f>
        <v>20.197549819999999</v>
      </c>
      <c r="BY268" s="782">
        <f>VLOOKUP(WWWW[[#This Row],[Village  Name]],SiteDB6[[Site Name]:[Long]],13,FALSE)</f>
        <v>92.785682679999994</v>
      </c>
      <c r="BZ268" s="782">
        <f>VLOOKUP(WWWW[[#This Row],[Village  Name]],SiteDB6[[Site Name]:[Pcode]],3,FALSE)</f>
        <v>196156</v>
      </c>
      <c r="CA268" s="782" t="str">
        <f t="shared" si="17"/>
        <v>Covered</v>
      </c>
      <c r="CB268" s="783"/>
    </row>
    <row r="269" spans="1:80">
      <c r="A269" s="774" t="s">
        <v>3199</v>
      </c>
      <c r="B269" s="727" t="s">
        <v>314</v>
      </c>
      <c r="C269" s="728" t="s">
        <v>314</v>
      </c>
      <c r="D269" s="728" t="s">
        <v>307</v>
      </c>
      <c r="E269" s="728" t="s">
        <v>2648</v>
      </c>
      <c r="F269" s="728" t="s">
        <v>295</v>
      </c>
      <c r="G269" s="644" t="str">
        <f>VLOOKUP(WWWW[[#This Row],[Village  Name]],SiteDB6[[Site Name]:[Location Type]],8,FALSE)</f>
        <v>Village</v>
      </c>
      <c r="H269" s="728" t="s">
        <v>2590</v>
      </c>
      <c r="I269" s="775">
        <v>326</v>
      </c>
      <c r="J269" s="775">
        <v>4476</v>
      </c>
      <c r="K269" s="784">
        <v>42736</v>
      </c>
      <c r="L269" s="785">
        <v>44551</v>
      </c>
      <c r="M269" s="775"/>
      <c r="N269" s="775"/>
      <c r="O269" s="773">
        <v>5</v>
      </c>
      <c r="P269" s="775">
        <v>153</v>
      </c>
      <c r="Q269" s="775">
        <v>5</v>
      </c>
      <c r="R269" s="775"/>
      <c r="S269" s="775"/>
      <c r="T269" s="775"/>
      <c r="U269" s="776"/>
      <c r="V269" s="775">
        <v>217</v>
      </c>
      <c r="W269" s="775" t="s">
        <v>130</v>
      </c>
      <c r="X269" s="775"/>
      <c r="Y269" s="775"/>
      <c r="Z269" s="775"/>
      <c r="AA269" s="775"/>
      <c r="AB269" s="775"/>
      <c r="AC269" s="776"/>
      <c r="AD269" s="775"/>
      <c r="AE269" s="775"/>
      <c r="AF269" s="775"/>
      <c r="AG269" s="775"/>
      <c r="AH269" s="775"/>
      <c r="AI269" s="775"/>
      <c r="AJ269" s="773"/>
      <c r="AK269" s="775"/>
      <c r="AL269" s="773"/>
      <c r="AM269" s="773"/>
      <c r="AN269" s="776"/>
      <c r="AO269" s="769"/>
      <c r="AP269" s="769"/>
      <c r="AQ269" s="773"/>
      <c r="AR269" s="773"/>
      <c r="AS269" s="773"/>
      <c r="AT26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69" s="779">
        <f>WWWW[[#This Row],[%Equitable and continuous access to sufficient quantity of safe drinking water]]*WWWW[[#This Row],[Total PoP ]]</f>
        <v>4476</v>
      </c>
      <c r="AV26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69" s="779">
        <f>WWWW[[#This Row],[% Access to unimproved water points]]*WWWW[[#This Row],[Total PoP ]]</f>
        <v>4476</v>
      </c>
      <c r="AX26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6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4476</v>
      </c>
      <c r="AZ269" s="779">
        <f>WWWW[[#This Row],[HRP1]]/250</f>
        <v>17.904</v>
      </c>
      <c r="BA269" s="780">
        <f>1-WWWW[[#This Row],[% Equitable and continuous access to sufficient quantity of domestic water]]</f>
        <v>0</v>
      </c>
      <c r="BB269" s="779">
        <f>WWWW[[#This Row],[%equitable and continuous access to sufficient quantity of safe drinking and domestic water''s GAP]]*WWWW[[#This Row],[Total PoP ]]</f>
        <v>0</v>
      </c>
      <c r="BC269" s="781">
        <f>IF(WWWW[[#This Row],[Total required water points]]-WWWW[[#This Row],['#Water points coverage]]&lt;0,0,WWWW[[#This Row],[Total required water points]]-WWWW[[#This Row],['#Water points coverage]])</f>
        <v>9.6000000000000085E-2</v>
      </c>
      <c r="BD269" s="781">
        <f>ROUND(IF(WWWW[[#This Row],[Total PoP ]]&lt;250,1,WWWW[[#This Row],[Total PoP ]]/250),0)</f>
        <v>18</v>
      </c>
      <c r="BE26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0.29088471849865954</v>
      </c>
      <c r="BF269" s="779">
        <f>WWWW[[#This Row],[% people access to functioning Latrine]]*WWWW[[#This Row],[Total PoP ]]</f>
        <v>1302.0000000000002</v>
      </c>
      <c r="BG269" s="781">
        <f>WWWW[[#This Row],['#_of_Functioning_latrines_in_school]]*50</f>
        <v>0</v>
      </c>
      <c r="BH269" s="781">
        <f>ROUND((WWWW[[#This Row],[Total PoP ]]/6),0)</f>
        <v>746</v>
      </c>
      <c r="BI269" s="781">
        <f>IF(WWWW[[#This Row],[Total required Latrines]]-(WWWW[[#This Row],['#_of_sanitary_fly-proof_HH_latrines]])&lt;0,0,WWWW[[#This Row],[Total required Latrines]]-(WWWW[[#This Row],['#_of_sanitary_fly-proof_HH_latrines]]))</f>
        <v>529</v>
      </c>
      <c r="BJ269" s="778">
        <f>1-WWWW[[#This Row],[% people access to functioning Latrine]]</f>
        <v>0.7091152815013404</v>
      </c>
      <c r="BK26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69" s="772">
        <f>IF(WWWW[[#This Row],['#_of_functional_handwashing_facilities_at_HH_level]]*6&gt;WWWW[[#This Row],[Total PoP ]],WWWW[[#This Row],[Total PoP ]],WWWW[[#This Row],['#_of_functional_handwashing_facilities_at_HH_level]]*6)</f>
        <v>0</v>
      </c>
      <c r="BM269" s="781">
        <f>IF(WWWW[[#This Row],['# people reached by regular dedicated hygiene promotion]]&gt;WWWW[[#This Row],['# People received regular supply of hygiene items]],WWWW[[#This Row],['# people reached by regular dedicated hygiene promotion]],WWWW[[#This Row],['# People received regular supply of hygiene items]])</f>
        <v>0</v>
      </c>
      <c r="BN269" s="780">
        <f>IF(WWWW[[#This Row],[HRP3]]/WWWW[[#This Row],[Total PoP ]]&gt;100%,100%,WWWW[[#This Row],[HRP3]]/WWWW[[#This Row],[Total PoP ]])</f>
        <v>0</v>
      </c>
      <c r="BO269" s="778">
        <f>1-WWWW[[#This Row],[Hygiene Coverage%]]</f>
        <v>1</v>
      </c>
      <c r="BP269" s="777">
        <f>WWWW[[#This Row],['# people reached by regular dedicated hygiene promotion]]/WWWW[[#This Row],[Total PoP ]]</f>
        <v>0</v>
      </c>
      <c r="BQ26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69" s="770">
        <f>WWWW[[#This Row],['#_of_affected_women_and_girls_receiving_a_sufficient_quantity_of_sanitary_pads]]</f>
        <v>0</v>
      </c>
      <c r="BS269" s="773">
        <f>IF(WWWW[[#This Row],['# People with access to soap]]&gt;WWWW[[#This Row],['# People with access to Sanity Pads]],WWWW[[#This Row],['# People with access to soap]],WWWW[[#This Row],['# People with access to Sanity Pads]])</f>
        <v>0</v>
      </c>
      <c r="BT269" s="772" t="str">
        <f>IF(OR(WWWW[[#This Row],['#of students in school]]="",WWWW[[#This Row],['#of students in school]]=0),"No","Yes")</f>
        <v>No</v>
      </c>
      <c r="BU269" s="782" t="str">
        <f>VLOOKUP(WWWW[[#This Row],[Village  Name]],SiteDB6[[Site Name]:[Location Type 1]],9,FALSE)</f>
        <v>Village</v>
      </c>
      <c r="BV269" s="782" t="str">
        <f>VLOOKUP(WWWW[[#This Row],[Village  Name]],SiteDB6[[Site Name]:[Type of Accommodation]],10,FALSE)</f>
        <v>Village</v>
      </c>
      <c r="BW269" s="782">
        <f>VLOOKUP(WWWW[[#This Row],[Village  Name]],SiteDB6[[Site Name]:[Ethnic or GCA/NGCA]],11,FALSE)</f>
        <v>0</v>
      </c>
      <c r="BX269" s="782">
        <f>VLOOKUP(WWWW[[#This Row],[Village  Name]],SiteDB6[[Site Name]:[Lat]],12,FALSE)</f>
        <v>20.142469406127901</v>
      </c>
      <c r="BY269" s="782">
        <f>VLOOKUP(WWWW[[#This Row],[Village  Name]],SiteDB6[[Site Name]:[Long]],13,FALSE)</f>
        <v>92.863967895507798</v>
      </c>
      <c r="BZ269" s="782">
        <f>VLOOKUP(WWWW[[#This Row],[Village  Name]],SiteDB6[[Site Name]:[Pcode]],3,FALSE)</f>
        <v>196203</v>
      </c>
      <c r="CA269" s="782" t="str">
        <f t="shared" si="17"/>
        <v>Covered</v>
      </c>
      <c r="CB269" s="783"/>
    </row>
    <row r="270" spans="1:80">
      <c r="A270" s="774" t="s">
        <v>3199</v>
      </c>
      <c r="B270" s="727" t="s">
        <v>314</v>
      </c>
      <c r="C270" s="728" t="s">
        <v>314</v>
      </c>
      <c r="D270" s="728" t="s">
        <v>307</v>
      </c>
      <c r="E270" s="728" t="s">
        <v>2648</v>
      </c>
      <c r="F270" s="728" t="s">
        <v>295</v>
      </c>
      <c r="G270" s="644" t="str">
        <f>VLOOKUP(WWWW[[#This Row],[Village  Name]],SiteDB6[[Site Name]:[Location Type]],8,FALSE)</f>
        <v>Village</v>
      </c>
      <c r="H270" s="728" t="s">
        <v>2591</v>
      </c>
      <c r="I270" s="775">
        <v>335</v>
      </c>
      <c r="J270" s="775">
        <v>1867</v>
      </c>
      <c r="K270" s="784">
        <v>42736</v>
      </c>
      <c r="L270" s="785">
        <v>44551</v>
      </c>
      <c r="M270" s="775"/>
      <c r="N270" s="775"/>
      <c r="O270" s="773">
        <v>14</v>
      </c>
      <c r="P270" s="775">
        <v>113</v>
      </c>
      <c r="Q270" s="775">
        <v>4</v>
      </c>
      <c r="R270" s="775"/>
      <c r="S270" s="775"/>
      <c r="T270" s="775"/>
      <c r="U270" s="776"/>
      <c r="V270" s="775">
        <v>210</v>
      </c>
      <c r="W270" s="775" t="s">
        <v>130</v>
      </c>
      <c r="X270" s="775"/>
      <c r="Y270" s="775"/>
      <c r="Z270" s="775"/>
      <c r="AA270" s="775"/>
      <c r="AB270" s="775"/>
      <c r="AC270" s="776"/>
      <c r="AD270" s="775"/>
      <c r="AE270" s="775"/>
      <c r="AF270" s="775"/>
      <c r="AG270" s="775"/>
      <c r="AH270" s="775"/>
      <c r="AI270" s="775"/>
      <c r="AJ270" s="773"/>
      <c r="AK270" s="775"/>
      <c r="AL270" s="773"/>
      <c r="AM270" s="773"/>
      <c r="AN270" s="776"/>
      <c r="AO270" s="769"/>
      <c r="AP270" s="769"/>
      <c r="AQ270" s="773"/>
      <c r="AR270" s="773"/>
      <c r="AS270" s="773"/>
      <c r="AT27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70" s="779">
        <f>WWWW[[#This Row],[%Equitable and continuous access to sufficient quantity of safe drinking water]]*WWWW[[#This Row],[Total PoP ]]</f>
        <v>1867</v>
      </c>
      <c r="AV27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70" s="779">
        <f>WWWW[[#This Row],[% Access to unimproved water points]]*WWWW[[#This Row],[Total PoP ]]</f>
        <v>1867</v>
      </c>
      <c r="AX27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7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1867</v>
      </c>
      <c r="AZ270" s="779">
        <f>WWWW[[#This Row],[HRP1]]/250</f>
        <v>7.468</v>
      </c>
      <c r="BA270" s="780">
        <f>1-WWWW[[#This Row],[% Equitable and continuous access to sufficient quantity of domestic water]]</f>
        <v>0</v>
      </c>
      <c r="BB270" s="779">
        <f>WWWW[[#This Row],[%equitable and continuous access to sufficient quantity of safe drinking and domestic water''s GAP]]*WWWW[[#This Row],[Total PoP ]]</f>
        <v>0</v>
      </c>
      <c r="BC270" s="781">
        <f>IF(WWWW[[#This Row],[Total required water points]]-WWWW[[#This Row],['#Water points coverage]]&lt;0,0,WWWW[[#This Row],[Total required water points]]-WWWW[[#This Row],['#Water points coverage]])</f>
        <v>0</v>
      </c>
      <c r="BD270" s="781">
        <f>ROUND(IF(WWWW[[#This Row],[Total PoP ]]&lt;250,1,WWWW[[#This Row],[Total PoP ]]/250),0)</f>
        <v>7</v>
      </c>
      <c r="BE27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0.67487948580610602</v>
      </c>
      <c r="BF270" s="779">
        <f>WWWW[[#This Row],[% people access to functioning Latrine]]*WWWW[[#This Row],[Total PoP ]]</f>
        <v>1260</v>
      </c>
      <c r="BG270" s="781">
        <f>WWWW[[#This Row],['#_of_Functioning_latrines_in_school]]*50</f>
        <v>0</v>
      </c>
      <c r="BH270" s="781">
        <f>ROUND((WWWW[[#This Row],[Total PoP ]]/6),0)</f>
        <v>311</v>
      </c>
      <c r="BI270" s="781">
        <f>IF(WWWW[[#This Row],[Total required Latrines]]-(WWWW[[#This Row],['#_of_sanitary_fly-proof_HH_latrines]])&lt;0,0,WWWW[[#This Row],[Total required Latrines]]-(WWWW[[#This Row],['#_of_sanitary_fly-proof_HH_latrines]]))</f>
        <v>101</v>
      </c>
      <c r="BJ270" s="778">
        <f>1-WWWW[[#This Row],[% people access to functioning Latrine]]</f>
        <v>0.32512051419389398</v>
      </c>
      <c r="BK27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70" s="772">
        <f>IF(WWWW[[#This Row],['#_of_functional_handwashing_facilities_at_HH_level]]*6&gt;WWWW[[#This Row],[Total PoP ]],WWWW[[#This Row],[Total PoP ]],WWWW[[#This Row],['#_of_functional_handwashing_facilities_at_HH_level]]*6)</f>
        <v>0</v>
      </c>
      <c r="BM270" s="781">
        <f>IF(WWWW[[#This Row],['# people reached by regular dedicated hygiene promotion]]&gt;WWWW[[#This Row],['# People received regular supply of hygiene items]],WWWW[[#This Row],['# people reached by regular dedicated hygiene promotion]],WWWW[[#This Row],['# People received regular supply of hygiene items]])</f>
        <v>0</v>
      </c>
      <c r="BN270" s="780">
        <f>IF(WWWW[[#This Row],[HRP3]]/WWWW[[#This Row],[Total PoP ]]&gt;100%,100%,WWWW[[#This Row],[HRP3]]/WWWW[[#This Row],[Total PoP ]])</f>
        <v>0</v>
      </c>
      <c r="BO270" s="778">
        <f>1-WWWW[[#This Row],[Hygiene Coverage%]]</f>
        <v>1</v>
      </c>
      <c r="BP270" s="777">
        <f>WWWW[[#This Row],['# people reached by regular dedicated hygiene promotion]]/WWWW[[#This Row],[Total PoP ]]</f>
        <v>0</v>
      </c>
      <c r="BQ27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70" s="770">
        <f>WWWW[[#This Row],['#_of_affected_women_and_girls_receiving_a_sufficient_quantity_of_sanitary_pads]]</f>
        <v>0</v>
      </c>
      <c r="BS270" s="773">
        <f>IF(WWWW[[#This Row],['# People with access to soap]]&gt;WWWW[[#This Row],['# People with access to Sanity Pads]],WWWW[[#This Row],['# People with access to soap]],WWWW[[#This Row],['# People with access to Sanity Pads]])</f>
        <v>0</v>
      </c>
      <c r="BT270" s="772" t="str">
        <f>IF(OR(WWWW[[#This Row],['#of students in school]]="",WWWW[[#This Row],['#of students in school]]=0),"No","Yes")</f>
        <v>No</v>
      </c>
      <c r="BU270" s="782" t="str">
        <f>VLOOKUP(WWWW[[#This Row],[Village  Name]],SiteDB6[[Site Name]:[Location Type 1]],9,FALSE)</f>
        <v>Village</v>
      </c>
      <c r="BV270" s="782" t="str">
        <f>VLOOKUP(WWWW[[#This Row],[Village  Name]],SiteDB6[[Site Name]:[Type of Accommodation]],10,FALSE)</f>
        <v>Village</v>
      </c>
      <c r="BW270" s="782">
        <f>VLOOKUP(WWWW[[#This Row],[Village  Name]],SiteDB6[[Site Name]:[Ethnic or GCA/NGCA]],11,FALSE)</f>
        <v>0</v>
      </c>
      <c r="BX270" s="782">
        <f>VLOOKUP(WWWW[[#This Row],[Village  Name]],SiteDB6[[Site Name]:[Lat]],12,FALSE)</f>
        <v>20.170469284057599</v>
      </c>
      <c r="BY270" s="782">
        <f>VLOOKUP(WWWW[[#This Row],[Village  Name]],SiteDB6[[Site Name]:[Long]],13,FALSE)</f>
        <v>92.8343505859375</v>
      </c>
      <c r="BZ270" s="782">
        <f>VLOOKUP(WWWW[[#This Row],[Village  Name]],SiteDB6[[Site Name]:[Pcode]],3,FALSE)</f>
        <v>196202</v>
      </c>
      <c r="CA270" s="782" t="str">
        <f t="shared" ref="CA270:CA301" si="18">IF(C270="none","Notcovered","Covered")</f>
        <v>Covered</v>
      </c>
      <c r="CB270" s="783"/>
    </row>
    <row r="271" spans="1:80">
      <c r="A271" s="774" t="s">
        <v>3199</v>
      </c>
      <c r="B271" s="727" t="s">
        <v>314</v>
      </c>
      <c r="C271" s="728" t="s">
        <v>314</v>
      </c>
      <c r="D271" s="728" t="s">
        <v>307</v>
      </c>
      <c r="E271" s="728" t="s">
        <v>2648</v>
      </c>
      <c r="F271" s="728" t="s">
        <v>295</v>
      </c>
      <c r="G271" s="644" t="str">
        <f>VLOOKUP(WWWW[[#This Row],[Village  Name]],SiteDB6[[Site Name]:[Location Type]],8,FALSE)</f>
        <v>Village</v>
      </c>
      <c r="H271" s="728" t="s">
        <v>1743</v>
      </c>
      <c r="I271" s="775">
        <v>863</v>
      </c>
      <c r="J271" s="775">
        <v>3768</v>
      </c>
      <c r="K271" s="784">
        <v>42736</v>
      </c>
      <c r="L271" s="785">
        <v>44551</v>
      </c>
      <c r="M271" s="775"/>
      <c r="N271" s="775"/>
      <c r="O271" s="773">
        <v>19</v>
      </c>
      <c r="P271" s="775">
        <v>128</v>
      </c>
      <c r="Q271" s="775">
        <v>6</v>
      </c>
      <c r="R271" s="775"/>
      <c r="S271" s="775"/>
      <c r="T271" s="775"/>
      <c r="U271" s="776"/>
      <c r="V271" s="775">
        <v>199</v>
      </c>
      <c r="W271" s="775" t="s">
        <v>130</v>
      </c>
      <c r="X271" s="775"/>
      <c r="Y271" s="775"/>
      <c r="Z271" s="775"/>
      <c r="AA271" s="775"/>
      <c r="AB271" s="775"/>
      <c r="AC271" s="776"/>
      <c r="AD271" s="775"/>
      <c r="AE271" s="775"/>
      <c r="AF271" s="775"/>
      <c r="AG271" s="775"/>
      <c r="AH271" s="775"/>
      <c r="AI271" s="775"/>
      <c r="AJ271" s="773"/>
      <c r="AK271" s="775"/>
      <c r="AL271" s="773"/>
      <c r="AM271" s="773"/>
      <c r="AN271" s="776"/>
      <c r="AO271" s="769"/>
      <c r="AP271" s="769"/>
      <c r="AQ271" s="773"/>
      <c r="AR271" s="773"/>
      <c r="AS271" s="773"/>
      <c r="AT27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71" s="779">
        <f>WWWW[[#This Row],[%Equitable and continuous access to sufficient quantity of safe drinking water]]*WWWW[[#This Row],[Total PoP ]]</f>
        <v>3768</v>
      </c>
      <c r="AV27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71" s="779">
        <f>WWWW[[#This Row],[% Access to unimproved water points]]*WWWW[[#This Row],[Total PoP ]]</f>
        <v>3768</v>
      </c>
      <c r="AX27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7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3768</v>
      </c>
      <c r="AZ271" s="779">
        <f>WWWW[[#This Row],[HRP1]]/250</f>
        <v>15.071999999999999</v>
      </c>
      <c r="BA271" s="780">
        <f>1-WWWW[[#This Row],[% Equitable and continuous access to sufficient quantity of domestic water]]</f>
        <v>0</v>
      </c>
      <c r="BB271" s="779">
        <f>WWWW[[#This Row],[%equitable and continuous access to sufficient quantity of safe drinking and domestic water''s GAP]]*WWWW[[#This Row],[Total PoP ]]</f>
        <v>0</v>
      </c>
      <c r="BC271" s="781">
        <f>IF(WWWW[[#This Row],[Total required water points]]-WWWW[[#This Row],['#Water points coverage]]&lt;0,0,WWWW[[#This Row],[Total required water points]]-WWWW[[#This Row],['#Water points coverage]])</f>
        <v>0</v>
      </c>
      <c r="BD271" s="781">
        <f>ROUND(IF(WWWW[[#This Row],[Total PoP ]]&lt;250,1,WWWW[[#This Row],[Total PoP ]]/250),0)</f>
        <v>15</v>
      </c>
      <c r="BE27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0.31687898089171973</v>
      </c>
      <c r="BF271" s="779">
        <f>WWWW[[#This Row],[% people access to functioning Latrine]]*WWWW[[#This Row],[Total PoP ]]</f>
        <v>1194</v>
      </c>
      <c r="BG271" s="781">
        <f>WWWW[[#This Row],['#_of_Functioning_latrines_in_school]]*50</f>
        <v>0</v>
      </c>
      <c r="BH271" s="781">
        <f>ROUND((WWWW[[#This Row],[Total PoP ]]/6),0)</f>
        <v>628</v>
      </c>
      <c r="BI271" s="781">
        <f>IF(WWWW[[#This Row],[Total required Latrines]]-(WWWW[[#This Row],['#_of_sanitary_fly-proof_HH_latrines]])&lt;0,0,WWWW[[#This Row],[Total required Latrines]]-(WWWW[[#This Row],['#_of_sanitary_fly-proof_HH_latrines]]))</f>
        <v>429</v>
      </c>
      <c r="BJ271" s="778">
        <f>1-WWWW[[#This Row],[% people access to functioning Latrine]]</f>
        <v>0.68312101910828027</v>
      </c>
      <c r="BK27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71" s="772">
        <f>IF(WWWW[[#This Row],['#_of_functional_handwashing_facilities_at_HH_level]]*6&gt;WWWW[[#This Row],[Total PoP ]],WWWW[[#This Row],[Total PoP ]],WWWW[[#This Row],['#_of_functional_handwashing_facilities_at_HH_level]]*6)</f>
        <v>0</v>
      </c>
      <c r="BM271" s="781">
        <f>IF(WWWW[[#This Row],['# people reached by regular dedicated hygiene promotion]]&gt;WWWW[[#This Row],['# People received regular supply of hygiene items]],WWWW[[#This Row],['# people reached by regular dedicated hygiene promotion]],WWWW[[#This Row],['# People received regular supply of hygiene items]])</f>
        <v>0</v>
      </c>
      <c r="BN271" s="780">
        <f>IF(WWWW[[#This Row],[HRP3]]/WWWW[[#This Row],[Total PoP ]]&gt;100%,100%,WWWW[[#This Row],[HRP3]]/WWWW[[#This Row],[Total PoP ]])</f>
        <v>0</v>
      </c>
      <c r="BO271" s="778">
        <f>1-WWWW[[#This Row],[Hygiene Coverage%]]</f>
        <v>1</v>
      </c>
      <c r="BP271" s="777">
        <f>WWWW[[#This Row],['# people reached by regular dedicated hygiene promotion]]/WWWW[[#This Row],[Total PoP ]]</f>
        <v>0</v>
      </c>
      <c r="BQ27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71" s="770">
        <f>WWWW[[#This Row],['#_of_affected_women_and_girls_receiving_a_sufficient_quantity_of_sanitary_pads]]</f>
        <v>0</v>
      </c>
      <c r="BS271" s="773">
        <f>IF(WWWW[[#This Row],['# People with access to soap]]&gt;WWWW[[#This Row],['# People with access to Sanity Pads]],WWWW[[#This Row],['# People with access to soap]],WWWW[[#This Row],['# People with access to Sanity Pads]])</f>
        <v>0</v>
      </c>
      <c r="BT271" s="772" t="str">
        <f>IF(OR(WWWW[[#This Row],['#of students in school]]="",WWWW[[#This Row],['#of students in school]]=0),"No","Yes")</f>
        <v>No</v>
      </c>
      <c r="BU271" s="782" t="str">
        <f>VLOOKUP(WWWW[[#This Row],[Village  Name]],SiteDB6[[Site Name]:[Location Type 1]],9,FALSE)</f>
        <v>Village</v>
      </c>
      <c r="BV271" s="782" t="str">
        <f>VLOOKUP(WWWW[[#This Row],[Village  Name]],SiteDB6[[Site Name]:[Type of Accommodation]],10,FALSE)</f>
        <v>Village</v>
      </c>
      <c r="BW271" s="782">
        <f>VLOOKUP(WWWW[[#This Row],[Village  Name]],SiteDB6[[Site Name]:[Ethnic or GCA/NGCA]],11,FALSE)</f>
        <v>0</v>
      </c>
      <c r="BX271" s="782">
        <f>VLOOKUP(WWWW[[#This Row],[Village  Name]],SiteDB6[[Site Name]:[Lat]],12,FALSE)</f>
        <v>20.168970108032202</v>
      </c>
      <c r="BY271" s="782">
        <f>VLOOKUP(WWWW[[#This Row],[Village  Name]],SiteDB6[[Site Name]:[Long]],13,FALSE)</f>
        <v>92.826896667480497</v>
      </c>
      <c r="BZ271" s="782">
        <f>VLOOKUP(WWWW[[#This Row],[Village  Name]],SiteDB6[[Site Name]:[Pcode]],3,FALSE)</f>
        <v>196206</v>
      </c>
      <c r="CA271" s="782" t="str">
        <f t="shared" si="18"/>
        <v>Covered</v>
      </c>
      <c r="CB271" s="783"/>
    </row>
    <row r="272" spans="1:80">
      <c r="A272" s="774" t="s">
        <v>3199</v>
      </c>
      <c r="B272" s="727" t="s">
        <v>314</v>
      </c>
      <c r="C272" s="728" t="s">
        <v>314</v>
      </c>
      <c r="D272" s="728" t="s">
        <v>307</v>
      </c>
      <c r="E272" s="728" t="s">
        <v>2648</v>
      </c>
      <c r="F272" s="728" t="s">
        <v>295</v>
      </c>
      <c r="G272" s="644" t="str">
        <f>VLOOKUP(WWWW[[#This Row],[Village  Name]],SiteDB6[[Site Name]:[Location Type]],8,FALSE)</f>
        <v>Village</v>
      </c>
      <c r="H272" s="728" t="s">
        <v>2592</v>
      </c>
      <c r="I272" s="775">
        <v>310</v>
      </c>
      <c r="J272" s="775">
        <v>1750</v>
      </c>
      <c r="K272" s="784">
        <v>42736</v>
      </c>
      <c r="L272" s="785">
        <v>44551</v>
      </c>
      <c r="M272" s="775"/>
      <c r="N272" s="775"/>
      <c r="O272" s="773">
        <v>193</v>
      </c>
      <c r="P272" s="775">
        <v>89</v>
      </c>
      <c r="Q272" s="775">
        <v>5</v>
      </c>
      <c r="R272" s="775"/>
      <c r="S272" s="775"/>
      <c r="T272" s="775"/>
      <c r="U272" s="776"/>
      <c r="V272" s="775">
        <v>198</v>
      </c>
      <c r="W272" s="775" t="s">
        <v>130</v>
      </c>
      <c r="X272" s="775"/>
      <c r="Y272" s="775"/>
      <c r="Z272" s="775"/>
      <c r="AA272" s="775"/>
      <c r="AB272" s="775"/>
      <c r="AC272" s="776"/>
      <c r="AD272" s="775"/>
      <c r="AE272" s="775"/>
      <c r="AF272" s="775"/>
      <c r="AG272" s="775"/>
      <c r="AH272" s="775"/>
      <c r="AI272" s="775"/>
      <c r="AJ272" s="773"/>
      <c r="AK272" s="775"/>
      <c r="AL272" s="773"/>
      <c r="AM272" s="773"/>
      <c r="AN272" s="776"/>
      <c r="AO272" s="769"/>
      <c r="AP272" s="769"/>
      <c r="AQ272" s="773"/>
      <c r="AR272" s="773"/>
      <c r="AS272" s="773"/>
      <c r="AT27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72" s="779">
        <f>WWWW[[#This Row],[%Equitable and continuous access to sufficient quantity of safe drinking water]]*WWWW[[#This Row],[Total PoP ]]</f>
        <v>1750</v>
      </c>
      <c r="AV27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72" s="779">
        <f>WWWW[[#This Row],[% Access to unimproved water points]]*WWWW[[#This Row],[Total PoP ]]</f>
        <v>1750</v>
      </c>
      <c r="AX27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7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1750</v>
      </c>
      <c r="AZ272" s="779">
        <f>WWWW[[#This Row],[HRP1]]/250</f>
        <v>7</v>
      </c>
      <c r="BA272" s="780">
        <f>1-WWWW[[#This Row],[% Equitable and continuous access to sufficient quantity of domestic water]]</f>
        <v>0</v>
      </c>
      <c r="BB272" s="779">
        <f>WWWW[[#This Row],[%equitable and continuous access to sufficient quantity of safe drinking and domestic water''s GAP]]*WWWW[[#This Row],[Total PoP ]]</f>
        <v>0</v>
      </c>
      <c r="BC272" s="781">
        <f>IF(WWWW[[#This Row],[Total required water points]]-WWWW[[#This Row],['#Water points coverage]]&lt;0,0,WWWW[[#This Row],[Total required water points]]-WWWW[[#This Row],['#Water points coverage]])</f>
        <v>0</v>
      </c>
      <c r="BD272" s="781">
        <f>ROUND(IF(WWWW[[#This Row],[Total PoP ]]&lt;250,1,WWWW[[#This Row],[Total PoP ]]/250),0)</f>
        <v>7</v>
      </c>
      <c r="BE27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0.67885714285714283</v>
      </c>
      <c r="BF272" s="779">
        <f>WWWW[[#This Row],[% people access to functioning Latrine]]*WWWW[[#This Row],[Total PoP ]]</f>
        <v>1188</v>
      </c>
      <c r="BG272" s="781">
        <f>WWWW[[#This Row],['#_of_Functioning_latrines_in_school]]*50</f>
        <v>0</v>
      </c>
      <c r="BH272" s="781">
        <f>ROUND((WWWW[[#This Row],[Total PoP ]]/6),0)</f>
        <v>292</v>
      </c>
      <c r="BI272" s="781">
        <f>IF(WWWW[[#This Row],[Total required Latrines]]-(WWWW[[#This Row],['#_of_sanitary_fly-proof_HH_latrines]])&lt;0,0,WWWW[[#This Row],[Total required Latrines]]-(WWWW[[#This Row],['#_of_sanitary_fly-proof_HH_latrines]]))</f>
        <v>94</v>
      </c>
      <c r="BJ272" s="778">
        <f>1-WWWW[[#This Row],[% people access to functioning Latrine]]</f>
        <v>0.32114285714285717</v>
      </c>
      <c r="BK27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72" s="772">
        <f>IF(WWWW[[#This Row],['#_of_functional_handwashing_facilities_at_HH_level]]*6&gt;WWWW[[#This Row],[Total PoP ]],WWWW[[#This Row],[Total PoP ]],WWWW[[#This Row],['#_of_functional_handwashing_facilities_at_HH_level]]*6)</f>
        <v>0</v>
      </c>
      <c r="BM272" s="781">
        <f>IF(WWWW[[#This Row],['# people reached by regular dedicated hygiene promotion]]&gt;WWWW[[#This Row],['# People received regular supply of hygiene items]],WWWW[[#This Row],['# people reached by regular dedicated hygiene promotion]],WWWW[[#This Row],['# People received regular supply of hygiene items]])</f>
        <v>0</v>
      </c>
      <c r="BN272" s="780">
        <f>IF(WWWW[[#This Row],[HRP3]]/WWWW[[#This Row],[Total PoP ]]&gt;100%,100%,WWWW[[#This Row],[HRP3]]/WWWW[[#This Row],[Total PoP ]])</f>
        <v>0</v>
      </c>
      <c r="BO272" s="778">
        <f>1-WWWW[[#This Row],[Hygiene Coverage%]]</f>
        <v>1</v>
      </c>
      <c r="BP272" s="777">
        <f>WWWW[[#This Row],['# people reached by regular dedicated hygiene promotion]]/WWWW[[#This Row],[Total PoP ]]</f>
        <v>0</v>
      </c>
      <c r="BQ27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72" s="770">
        <f>WWWW[[#This Row],['#_of_affected_women_and_girls_receiving_a_sufficient_quantity_of_sanitary_pads]]</f>
        <v>0</v>
      </c>
      <c r="BS272" s="773">
        <f>IF(WWWW[[#This Row],['# People with access to soap]]&gt;WWWW[[#This Row],['# People with access to Sanity Pads]],WWWW[[#This Row],['# People with access to soap]],WWWW[[#This Row],['# People with access to Sanity Pads]])</f>
        <v>0</v>
      </c>
      <c r="BT272" s="772" t="str">
        <f>IF(OR(WWWW[[#This Row],['#of students in school]]="",WWWW[[#This Row],['#of students in school]]=0),"No","Yes")</f>
        <v>No</v>
      </c>
      <c r="BU272" s="782" t="str">
        <f>VLOOKUP(WWWW[[#This Row],[Village  Name]],SiteDB6[[Site Name]:[Location Type 1]],9,FALSE)</f>
        <v>Village</v>
      </c>
      <c r="BV272" s="782" t="str">
        <f>VLOOKUP(WWWW[[#This Row],[Village  Name]],SiteDB6[[Site Name]:[Type of Accommodation]],10,FALSE)</f>
        <v>Village</v>
      </c>
      <c r="BW272" s="782">
        <f>VLOOKUP(WWWW[[#This Row],[Village  Name]],SiteDB6[[Site Name]:[Ethnic or GCA/NGCA]],11,FALSE)</f>
        <v>0</v>
      </c>
      <c r="BX272" s="782">
        <f>VLOOKUP(WWWW[[#This Row],[Village  Name]],SiteDB6[[Site Name]:[Lat]],12,FALSE)</f>
        <v>0</v>
      </c>
      <c r="BY272" s="782">
        <f>VLOOKUP(WWWW[[#This Row],[Village  Name]],SiteDB6[[Site Name]:[Long]],13,FALSE)</f>
        <v>0</v>
      </c>
      <c r="BZ272" s="782">
        <f>VLOOKUP(WWWW[[#This Row],[Village  Name]],SiteDB6[[Site Name]:[Pcode]],3,FALSE)</f>
        <v>0</v>
      </c>
      <c r="CA272" s="782" t="str">
        <f t="shared" si="18"/>
        <v>Covered</v>
      </c>
      <c r="CB272" s="783"/>
    </row>
    <row r="273" spans="1:80">
      <c r="A273" s="774" t="s">
        <v>3199</v>
      </c>
      <c r="B273" s="727" t="s">
        <v>314</v>
      </c>
      <c r="C273" s="728" t="s">
        <v>314</v>
      </c>
      <c r="D273" s="728" t="s">
        <v>307</v>
      </c>
      <c r="E273" s="728" t="s">
        <v>2648</v>
      </c>
      <c r="F273" s="728" t="s">
        <v>312</v>
      </c>
      <c r="G273" s="644" t="str">
        <f>VLOOKUP(WWWW[[#This Row],[Village  Name]],SiteDB6[[Site Name]:[Location Type]],8,FALSE)</f>
        <v>Village</v>
      </c>
      <c r="H273" s="728" t="s">
        <v>465</v>
      </c>
      <c r="I273" s="775">
        <v>125</v>
      </c>
      <c r="J273" s="775">
        <v>513</v>
      </c>
      <c r="K273" s="784">
        <v>42736</v>
      </c>
      <c r="L273" s="785">
        <v>44551</v>
      </c>
      <c r="M273" s="775"/>
      <c r="N273" s="775"/>
      <c r="O273" s="773">
        <v>16</v>
      </c>
      <c r="P273" s="775">
        <v>96</v>
      </c>
      <c r="Q273" s="775">
        <v>4</v>
      </c>
      <c r="R273" s="775"/>
      <c r="S273" s="775"/>
      <c r="T273" s="775"/>
      <c r="U273" s="776"/>
      <c r="V273" s="775">
        <v>300</v>
      </c>
      <c r="W273" s="775" t="s">
        <v>130</v>
      </c>
      <c r="X273" s="775"/>
      <c r="Y273" s="775"/>
      <c r="Z273" s="775"/>
      <c r="AA273" s="775"/>
      <c r="AB273" s="775"/>
      <c r="AC273" s="776"/>
      <c r="AD273" s="775"/>
      <c r="AE273" s="775"/>
      <c r="AF273" s="775"/>
      <c r="AG273" s="775"/>
      <c r="AH273" s="775"/>
      <c r="AI273" s="775"/>
      <c r="AJ273" s="773"/>
      <c r="AK273" s="775"/>
      <c r="AL273" s="773"/>
      <c r="AM273" s="773"/>
      <c r="AN273" s="776"/>
      <c r="AO273" s="769"/>
      <c r="AP273" s="769"/>
      <c r="AQ273" s="773"/>
      <c r="AR273" s="773"/>
      <c r="AS273" s="773"/>
      <c r="AT27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73" s="779">
        <f>WWWW[[#This Row],[%Equitable and continuous access to sufficient quantity of safe drinking water]]*WWWW[[#This Row],[Total PoP ]]</f>
        <v>513</v>
      </c>
      <c r="AV27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73" s="779">
        <f>WWWW[[#This Row],[% Access to unimproved water points]]*WWWW[[#This Row],[Total PoP ]]</f>
        <v>513</v>
      </c>
      <c r="AX27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7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513</v>
      </c>
      <c r="AZ273" s="779">
        <f>WWWW[[#This Row],[HRP1]]/250</f>
        <v>2.052</v>
      </c>
      <c r="BA273" s="780">
        <f>1-WWWW[[#This Row],[% Equitable and continuous access to sufficient quantity of domestic water]]</f>
        <v>0</v>
      </c>
      <c r="BB273" s="779">
        <f>WWWW[[#This Row],[%equitable and continuous access to sufficient quantity of safe drinking and domestic water''s GAP]]*WWWW[[#This Row],[Total PoP ]]</f>
        <v>0</v>
      </c>
      <c r="BC273" s="781">
        <f>IF(WWWW[[#This Row],[Total required water points]]-WWWW[[#This Row],['#Water points coverage]]&lt;0,0,WWWW[[#This Row],[Total required water points]]-WWWW[[#This Row],['#Water points coverage]])</f>
        <v>0</v>
      </c>
      <c r="BD273" s="781">
        <f>ROUND(IF(WWWW[[#This Row],[Total PoP ]]&lt;250,1,WWWW[[#This Row],[Total PoP ]]/250),0)</f>
        <v>2</v>
      </c>
      <c r="BE27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73" s="779">
        <f>WWWW[[#This Row],[% people access to functioning Latrine]]*WWWW[[#This Row],[Total PoP ]]</f>
        <v>513</v>
      </c>
      <c r="BG273" s="781">
        <f>WWWW[[#This Row],['#_of_Functioning_latrines_in_school]]*50</f>
        <v>0</v>
      </c>
      <c r="BH273" s="781">
        <f>ROUND((WWWW[[#This Row],[Total PoP ]]/6),0)</f>
        <v>86</v>
      </c>
      <c r="BI273" s="781">
        <f>IF(WWWW[[#This Row],[Total required Latrines]]-(WWWW[[#This Row],['#_of_sanitary_fly-proof_HH_latrines]])&lt;0,0,WWWW[[#This Row],[Total required Latrines]]-(WWWW[[#This Row],['#_of_sanitary_fly-proof_HH_latrines]]))</f>
        <v>0</v>
      </c>
      <c r="BJ273" s="778">
        <f>1-WWWW[[#This Row],[% people access to functioning Latrine]]</f>
        <v>0</v>
      </c>
      <c r="BK27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73" s="772">
        <f>IF(WWWW[[#This Row],['#_of_functional_handwashing_facilities_at_HH_level]]*6&gt;WWWW[[#This Row],[Total PoP ]],WWWW[[#This Row],[Total PoP ]],WWWW[[#This Row],['#_of_functional_handwashing_facilities_at_HH_level]]*6)</f>
        <v>0</v>
      </c>
      <c r="BM273" s="781">
        <f>IF(WWWW[[#This Row],['# people reached by regular dedicated hygiene promotion]]&gt;WWWW[[#This Row],['# People received regular supply of hygiene items]],WWWW[[#This Row],['# people reached by regular dedicated hygiene promotion]],WWWW[[#This Row],['# People received regular supply of hygiene items]])</f>
        <v>0</v>
      </c>
      <c r="BN273" s="780">
        <f>IF(WWWW[[#This Row],[HRP3]]/WWWW[[#This Row],[Total PoP ]]&gt;100%,100%,WWWW[[#This Row],[HRP3]]/WWWW[[#This Row],[Total PoP ]])</f>
        <v>0</v>
      </c>
      <c r="BO273" s="778">
        <f>1-WWWW[[#This Row],[Hygiene Coverage%]]</f>
        <v>1</v>
      </c>
      <c r="BP273" s="777">
        <f>WWWW[[#This Row],['# people reached by regular dedicated hygiene promotion]]/WWWW[[#This Row],[Total PoP ]]</f>
        <v>0</v>
      </c>
      <c r="BQ27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73" s="770">
        <f>WWWW[[#This Row],['#_of_affected_women_and_girls_receiving_a_sufficient_quantity_of_sanitary_pads]]</f>
        <v>0</v>
      </c>
      <c r="BS273" s="773">
        <f>IF(WWWW[[#This Row],['# People with access to soap]]&gt;WWWW[[#This Row],['# People with access to Sanity Pads]],WWWW[[#This Row],['# People with access to soap]],WWWW[[#This Row],['# People with access to Sanity Pads]])</f>
        <v>0</v>
      </c>
      <c r="BT273" s="772" t="str">
        <f>IF(OR(WWWW[[#This Row],['#of students in school]]="",WWWW[[#This Row],['#of students in school]]=0),"No","Yes")</f>
        <v>No</v>
      </c>
      <c r="BU273" s="782" t="str">
        <f>VLOOKUP(WWWW[[#This Row],[Village  Name]],SiteDB6[[Site Name]:[Location Type 1]],9,FALSE)</f>
        <v>Village</v>
      </c>
      <c r="BV273" s="782" t="str">
        <f>VLOOKUP(WWWW[[#This Row],[Village  Name]],SiteDB6[[Site Name]:[Type of Accommodation]],10,FALSE)</f>
        <v>Returned</v>
      </c>
      <c r="BW273" s="782" t="str">
        <f>VLOOKUP(WWWW[[#This Row],[Village  Name]],SiteDB6[[Site Name]:[Ethnic or GCA/NGCA]],11,FALSE)</f>
        <v>Muslim</v>
      </c>
      <c r="BX273" s="782">
        <f>VLOOKUP(WWWW[[#This Row],[Village  Name]],SiteDB6[[Site Name]:[Lat]],12,FALSE)</f>
        <v>20.39902</v>
      </c>
      <c r="BY273" s="782">
        <f>VLOOKUP(WWWW[[#This Row],[Village  Name]],SiteDB6[[Site Name]:[Long]],13,FALSE)</f>
        <v>93.249669999999995</v>
      </c>
      <c r="BZ273" s="782" t="str">
        <f>VLOOKUP(WWWW[[#This Row],[Village  Name]],SiteDB6[[Site Name]:[Pcode]],3,FALSE)</f>
        <v>MMR012CMP003</v>
      </c>
      <c r="CA273" s="782" t="str">
        <f t="shared" si="18"/>
        <v>Covered</v>
      </c>
      <c r="CB273" s="783"/>
    </row>
    <row r="274" spans="1:80">
      <c r="A274" s="774" t="s">
        <v>3199</v>
      </c>
      <c r="B274" s="727" t="s">
        <v>314</v>
      </c>
      <c r="C274" s="728" t="s">
        <v>314</v>
      </c>
      <c r="D274" s="728" t="s">
        <v>327</v>
      </c>
      <c r="E274" s="728" t="s">
        <v>2648</v>
      </c>
      <c r="F274" s="728" t="s">
        <v>295</v>
      </c>
      <c r="G274" s="644" t="str">
        <f>VLOOKUP(WWWW[[#This Row],[Village  Name]],SiteDB6[[Site Name]:[Location Type]],8,FALSE)</f>
        <v>Village</v>
      </c>
      <c r="H274" s="728" t="s">
        <v>2593</v>
      </c>
      <c r="I274" s="775">
        <v>92</v>
      </c>
      <c r="J274" s="775">
        <v>715</v>
      </c>
      <c r="K274" s="784">
        <v>42736</v>
      </c>
      <c r="L274" s="785">
        <v>44551</v>
      </c>
      <c r="M274" s="775"/>
      <c r="N274" s="775"/>
      <c r="O274" s="773">
        <v>114</v>
      </c>
      <c r="P274" s="775">
        <v>348</v>
      </c>
      <c r="Q274" s="775">
        <v>4</v>
      </c>
      <c r="R274" s="775"/>
      <c r="S274" s="775"/>
      <c r="T274" s="775"/>
      <c r="U274" s="776"/>
      <c r="V274" s="775">
        <v>514</v>
      </c>
      <c r="W274" s="775" t="s">
        <v>130</v>
      </c>
      <c r="X274" s="775"/>
      <c r="Y274" s="775"/>
      <c r="Z274" s="775"/>
      <c r="AA274" s="775"/>
      <c r="AB274" s="775"/>
      <c r="AC274" s="776"/>
      <c r="AD274" s="775"/>
      <c r="AE274" s="775"/>
      <c r="AF274" s="775"/>
      <c r="AG274" s="775"/>
      <c r="AH274" s="775"/>
      <c r="AI274" s="775"/>
      <c r="AJ274" s="773"/>
      <c r="AK274" s="775"/>
      <c r="AL274" s="773"/>
      <c r="AM274" s="773"/>
      <c r="AN274" s="776"/>
      <c r="AO274" s="769"/>
      <c r="AP274" s="769"/>
      <c r="AQ274" s="773"/>
      <c r="AR274" s="773"/>
      <c r="AS274" s="773"/>
      <c r="AT27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74" s="779">
        <f>WWWW[[#This Row],[%Equitable and continuous access to sufficient quantity of safe drinking water]]*WWWW[[#This Row],[Total PoP ]]</f>
        <v>715</v>
      </c>
      <c r="AV27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74" s="779">
        <f>WWWW[[#This Row],[% Access to unimproved water points]]*WWWW[[#This Row],[Total PoP ]]</f>
        <v>715</v>
      </c>
      <c r="AX27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7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715</v>
      </c>
      <c r="AZ274" s="779">
        <f>WWWW[[#This Row],[HRP1]]/250</f>
        <v>2.86</v>
      </c>
      <c r="BA274" s="780">
        <f>1-WWWW[[#This Row],[% Equitable and continuous access to sufficient quantity of domestic water]]</f>
        <v>0</v>
      </c>
      <c r="BB274" s="779">
        <f>WWWW[[#This Row],[%equitable and continuous access to sufficient quantity of safe drinking and domestic water''s GAP]]*WWWW[[#This Row],[Total PoP ]]</f>
        <v>0</v>
      </c>
      <c r="BC274" s="781">
        <f>IF(WWWW[[#This Row],[Total required water points]]-WWWW[[#This Row],['#Water points coverage]]&lt;0,0,WWWW[[#This Row],[Total required water points]]-WWWW[[#This Row],['#Water points coverage]])</f>
        <v>0.14000000000000012</v>
      </c>
      <c r="BD274" s="781">
        <f>ROUND(IF(WWWW[[#This Row],[Total PoP ]]&lt;250,1,WWWW[[#This Row],[Total PoP ]]/250),0)</f>
        <v>3</v>
      </c>
      <c r="BE27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74" s="779">
        <f>WWWW[[#This Row],[% people access to functioning Latrine]]*WWWW[[#This Row],[Total PoP ]]</f>
        <v>715</v>
      </c>
      <c r="BG274" s="781">
        <f>WWWW[[#This Row],['#_of_Functioning_latrines_in_school]]*50</f>
        <v>0</v>
      </c>
      <c r="BH274" s="781">
        <f>ROUND((WWWW[[#This Row],[Total PoP ]]/6),0)</f>
        <v>119</v>
      </c>
      <c r="BI274" s="781">
        <f>IF(WWWW[[#This Row],[Total required Latrines]]-(WWWW[[#This Row],['#_of_sanitary_fly-proof_HH_latrines]])&lt;0,0,WWWW[[#This Row],[Total required Latrines]]-(WWWW[[#This Row],['#_of_sanitary_fly-proof_HH_latrines]]))</f>
        <v>0</v>
      </c>
      <c r="BJ274" s="778">
        <f>1-WWWW[[#This Row],[% people access to functioning Latrine]]</f>
        <v>0</v>
      </c>
      <c r="BK27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74" s="772">
        <f>IF(WWWW[[#This Row],['#_of_functional_handwashing_facilities_at_HH_level]]*6&gt;WWWW[[#This Row],[Total PoP ]],WWWW[[#This Row],[Total PoP ]],WWWW[[#This Row],['#_of_functional_handwashing_facilities_at_HH_level]]*6)</f>
        <v>0</v>
      </c>
      <c r="BM274" s="781">
        <f>IF(WWWW[[#This Row],['# people reached by regular dedicated hygiene promotion]]&gt;WWWW[[#This Row],['# People received regular supply of hygiene items]],WWWW[[#This Row],['# people reached by regular dedicated hygiene promotion]],WWWW[[#This Row],['# People received regular supply of hygiene items]])</f>
        <v>0</v>
      </c>
      <c r="BN274" s="780">
        <f>IF(WWWW[[#This Row],[HRP3]]/WWWW[[#This Row],[Total PoP ]]&gt;100%,100%,WWWW[[#This Row],[HRP3]]/WWWW[[#This Row],[Total PoP ]])</f>
        <v>0</v>
      </c>
      <c r="BO274" s="778">
        <f>1-WWWW[[#This Row],[Hygiene Coverage%]]</f>
        <v>1</v>
      </c>
      <c r="BP274" s="777">
        <f>WWWW[[#This Row],['# people reached by regular dedicated hygiene promotion]]/WWWW[[#This Row],[Total PoP ]]</f>
        <v>0</v>
      </c>
      <c r="BQ27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74" s="770">
        <f>WWWW[[#This Row],['#_of_affected_women_and_girls_receiving_a_sufficient_quantity_of_sanitary_pads]]</f>
        <v>0</v>
      </c>
      <c r="BS274" s="773">
        <f>IF(WWWW[[#This Row],['# People with access to soap]]&gt;WWWW[[#This Row],['# People with access to Sanity Pads]],WWWW[[#This Row],['# People with access to soap]],WWWW[[#This Row],['# People with access to Sanity Pads]])</f>
        <v>0</v>
      </c>
      <c r="BT274" s="772" t="str">
        <f>IF(OR(WWWW[[#This Row],['#of students in school]]="",WWWW[[#This Row],['#of students in school]]=0),"No","Yes")</f>
        <v>No</v>
      </c>
      <c r="BU274" s="782" t="str">
        <f>VLOOKUP(WWWW[[#This Row],[Village  Name]],SiteDB6[[Site Name]:[Location Type 1]],9,FALSE)</f>
        <v>Village</v>
      </c>
      <c r="BV274" s="782" t="str">
        <f>VLOOKUP(WWWW[[#This Row],[Village  Name]],SiteDB6[[Site Name]:[Type of Accommodation]],10,FALSE)</f>
        <v>Village</v>
      </c>
      <c r="BW274" s="782">
        <f>VLOOKUP(WWWW[[#This Row],[Village  Name]],SiteDB6[[Site Name]:[Ethnic or GCA/NGCA]],11,FALSE)</f>
        <v>0</v>
      </c>
      <c r="BX274" s="782">
        <f>VLOOKUP(WWWW[[#This Row],[Village  Name]],SiteDB6[[Site Name]:[Lat]],12,FALSE)</f>
        <v>20.172649383544901</v>
      </c>
      <c r="BY274" s="782">
        <f>VLOOKUP(WWWW[[#This Row],[Village  Name]],SiteDB6[[Site Name]:[Long]],13,FALSE)</f>
        <v>92.874351501464801</v>
      </c>
      <c r="BZ274" s="782">
        <f>VLOOKUP(WWWW[[#This Row],[Village  Name]],SiteDB6[[Site Name]:[Pcode]],3,FALSE)</f>
        <v>196195</v>
      </c>
      <c r="CA274" s="782" t="str">
        <f t="shared" si="18"/>
        <v>Covered</v>
      </c>
      <c r="CB274" s="783"/>
    </row>
    <row r="275" spans="1:80">
      <c r="A275" s="774" t="s">
        <v>3199</v>
      </c>
      <c r="B275" s="727" t="s">
        <v>314</v>
      </c>
      <c r="C275" s="728" t="s">
        <v>314</v>
      </c>
      <c r="D275" s="728" t="s">
        <v>327</v>
      </c>
      <c r="E275" s="728" t="s">
        <v>2648</v>
      </c>
      <c r="F275" s="728" t="s">
        <v>295</v>
      </c>
      <c r="G275" s="644" t="str">
        <f>VLOOKUP(WWWW[[#This Row],[Village  Name]],SiteDB6[[Site Name]:[Location Type]],8,FALSE)</f>
        <v>Village</v>
      </c>
      <c r="H275" s="728" t="s">
        <v>2595</v>
      </c>
      <c r="I275" s="775">
        <v>2100</v>
      </c>
      <c r="J275" s="775">
        <v>12993</v>
      </c>
      <c r="K275" s="784">
        <v>42736</v>
      </c>
      <c r="L275" s="785">
        <v>44551</v>
      </c>
      <c r="M275" s="775"/>
      <c r="N275" s="775"/>
      <c r="O275" s="773">
        <v>12</v>
      </c>
      <c r="P275" s="775">
        <v>97</v>
      </c>
      <c r="Q275" s="775">
        <v>2</v>
      </c>
      <c r="R275" s="775"/>
      <c r="S275" s="775"/>
      <c r="T275" s="775"/>
      <c r="U275" s="776"/>
      <c r="V275" s="775">
        <v>218</v>
      </c>
      <c r="W275" s="775" t="s">
        <v>130</v>
      </c>
      <c r="X275" s="775"/>
      <c r="Y275" s="775"/>
      <c r="Z275" s="775"/>
      <c r="AA275" s="775"/>
      <c r="AB275" s="775"/>
      <c r="AC275" s="776"/>
      <c r="AD275" s="775"/>
      <c r="AE275" s="775"/>
      <c r="AF275" s="775"/>
      <c r="AG275" s="775"/>
      <c r="AH275" s="775"/>
      <c r="AI275" s="775"/>
      <c r="AJ275" s="773"/>
      <c r="AK275" s="775"/>
      <c r="AL275" s="773"/>
      <c r="AM275" s="773"/>
      <c r="AN275" s="776"/>
      <c r="AO275" s="769"/>
      <c r="AP275" s="769"/>
      <c r="AQ275" s="773"/>
      <c r="AR275" s="773"/>
      <c r="AS275" s="773"/>
      <c r="AT27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75" s="779">
        <f>WWWW[[#This Row],[%Equitable and continuous access to sufficient quantity of safe drinking water]]*WWWW[[#This Row],[Total PoP ]]</f>
        <v>12993</v>
      </c>
      <c r="AV27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75" s="779">
        <f>WWWW[[#This Row],[% Access to unimproved water points]]*WWWW[[#This Row],[Total PoP ]]</f>
        <v>12993</v>
      </c>
      <c r="AX27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7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12993</v>
      </c>
      <c r="AZ275" s="779">
        <f>WWWW[[#This Row],[HRP1]]/250</f>
        <v>51.972000000000001</v>
      </c>
      <c r="BA275" s="780">
        <f>1-WWWW[[#This Row],[% Equitable and continuous access to sufficient quantity of domestic water]]</f>
        <v>0</v>
      </c>
      <c r="BB275" s="779">
        <f>WWWW[[#This Row],[%equitable and continuous access to sufficient quantity of safe drinking and domestic water''s GAP]]*WWWW[[#This Row],[Total PoP ]]</f>
        <v>0</v>
      </c>
      <c r="BC275" s="781">
        <f>IF(WWWW[[#This Row],[Total required water points]]-WWWW[[#This Row],['#Water points coverage]]&lt;0,0,WWWW[[#This Row],[Total required water points]]-WWWW[[#This Row],['#Water points coverage]])</f>
        <v>2.7999999999998693E-2</v>
      </c>
      <c r="BD275" s="781">
        <f>ROUND(IF(WWWW[[#This Row],[Total PoP ]]&lt;250,1,WWWW[[#This Row],[Total PoP ]]/250),0)</f>
        <v>52</v>
      </c>
      <c r="BE27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0.10066959131840221</v>
      </c>
      <c r="BF275" s="779">
        <f>WWWW[[#This Row],[% people access to functioning Latrine]]*WWWW[[#This Row],[Total PoP ]]</f>
        <v>1308</v>
      </c>
      <c r="BG275" s="781">
        <f>WWWW[[#This Row],['#_of_Functioning_latrines_in_school]]*50</f>
        <v>0</v>
      </c>
      <c r="BH275" s="781">
        <f>ROUND((WWWW[[#This Row],[Total PoP ]]/6),0)</f>
        <v>2166</v>
      </c>
      <c r="BI275" s="781">
        <f>IF(WWWW[[#This Row],[Total required Latrines]]-(WWWW[[#This Row],['#_of_sanitary_fly-proof_HH_latrines]])&lt;0,0,WWWW[[#This Row],[Total required Latrines]]-(WWWW[[#This Row],['#_of_sanitary_fly-proof_HH_latrines]]))</f>
        <v>1948</v>
      </c>
      <c r="BJ275" s="778">
        <f>1-WWWW[[#This Row],[% people access to functioning Latrine]]</f>
        <v>0.89933040868159775</v>
      </c>
      <c r="BK27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75" s="772">
        <f>IF(WWWW[[#This Row],['#_of_functional_handwashing_facilities_at_HH_level]]*6&gt;WWWW[[#This Row],[Total PoP ]],WWWW[[#This Row],[Total PoP ]],WWWW[[#This Row],['#_of_functional_handwashing_facilities_at_HH_level]]*6)</f>
        <v>0</v>
      </c>
      <c r="BM275" s="781">
        <f>IF(WWWW[[#This Row],['# people reached by regular dedicated hygiene promotion]]&gt;WWWW[[#This Row],['# People received regular supply of hygiene items]],WWWW[[#This Row],['# people reached by regular dedicated hygiene promotion]],WWWW[[#This Row],['# People received regular supply of hygiene items]])</f>
        <v>0</v>
      </c>
      <c r="BN275" s="780">
        <f>IF(WWWW[[#This Row],[HRP3]]/WWWW[[#This Row],[Total PoP ]]&gt;100%,100%,WWWW[[#This Row],[HRP3]]/WWWW[[#This Row],[Total PoP ]])</f>
        <v>0</v>
      </c>
      <c r="BO275" s="778">
        <f>1-WWWW[[#This Row],[Hygiene Coverage%]]</f>
        <v>1</v>
      </c>
      <c r="BP275" s="777">
        <f>WWWW[[#This Row],['# people reached by regular dedicated hygiene promotion]]/WWWW[[#This Row],[Total PoP ]]</f>
        <v>0</v>
      </c>
      <c r="BQ27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75" s="770">
        <f>WWWW[[#This Row],['#_of_affected_women_and_girls_receiving_a_sufficient_quantity_of_sanitary_pads]]</f>
        <v>0</v>
      </c>
      <c r="BS275" s="773">
        <f>IF(WWWW[[#This Row],['# People with access to soap]]&gt;WWWW[[#This Row],['# People with access to Sanity Pads]],WWWW[[#This Row],['# People with access to soap]],WWWW[[#This Row],['# People with access to Sanity Pads]])</f>
        <v>0</v>
      </c>
      <c r="BT275" s="772" t="str">
        <f>IF(OR(WWWW[[#This Row],['#of students in school]]="",WWWW[[#This Row],['#of students in school]]=0),"No","Yes")</f>
        <v>No</v>
      </c>
      <c r="BU275" s="782" t="str">
        <f>VLOOKUP(WWWW[[#This Row],[Village  Name]],SiteDB6[[Site Name]:[Location Type 1]],9,FALSE)</f>
        <v>Village</v>
      </c>
      <c r="BV275" s="782" t="str">
        <f>VLOOKUP(WWWW[[#This Row],[Village  Name]],SiteDB6[[Site Name]:[Type of Accommodation]],10,FALSE)</f>
        <v>Village</v>
      </c>
      <c r="BW275" s="782" t="str">
        <f>VLOOKUP(WWWW[[#This Row],[Village  Name]],SiteDB6[[Site Name]:[Ethnic or GCA/NGCA]],11,FALSE)</f>
        <v>Muslim</v>
      </c>
      <c r="BX275" s="782">
        <f>VLOOKUP(WWWW[[#This Row],[Village  Name]],SiteDB6[[Site Name]:[Lat]],12,FALSE)</f>
        <v>0</v>
      </c>
      <c r="BY275" s="782">
        <f>VLOOKUP(WWWW[[#This Row],[Village  Name]],SiteDB6[[Site Name]:[Long]],13,FALSE)</f>
        <v>0</v>
      </c>
      <c r="BZ275" s="782">
        <f>VLOOKUP(WWWW[[#This Row],[Village  Name]],SiteDB6[[Site Name]:[Pcode]],3,FALSE)</f>
        <v>0</v>
      </c>
      <c r="CA275" s="782" t="str">
        <f t="shared" si="18"/>
        <v>Covered</v>
      </c>
      <c r="CB275" s="783"/>
    </row>
    <row r="276" spans="1:80">
      <c r="A276" s="774" t="s">
        <v>3199</v>
      </c>
      <c r="B276" s="727" t="s">
        <v>314</v>
      </c>
      <c r="C276" s="728" t="s">
        <v>314</v>
      </c>
      <c r="D276" s="728" t="s">
        <v>307</v>
      </c>
      <c r="E276" s="728" t="s">
        <v>2648</v>
      </c>
      <c r="F276" s="728" t="s">
        <v>312</v>
      </c>
      <c r="G276" s="644" t="str">
        <f>VLOOKUP(WWWW[[#This Row],[Village  Name]],SiteDB6[[Site Name]:[Location Type]],8,FALSE)</f>
        <v>Village</v>
      </c>
      <c r="H276" s="728" t="s">
        <v>1133</v>
      </c>
      <c r="I276" s="775">
        <v>325</v>
      </c>
      <c r="J276" s="775">
        <v>1923</v>
      </c>
      <c r="K276" s="784">
        <v>42736</v>
      </c>
      <c r="L276" s="785">
        <v>44551</v>
      </c>
      <c r="M276" s="775"/>
      <c r="N276" s="775"/>
      <c r="O276" s="773">
        <v>14</v>
      </c>
      <c r="P276" s="775">
        <v>48</v>
      </c>
      <c r="Q276" s="775">
        <v>3</v>
      </c>
      <c r="R276" s="775"/>
      <c r="S276" s="775"/>
      <c r="T276" s="775"/>
      <c r="U276" s="776"/>
      <c r="V276" s="775">
        <v>112</v>
      </c>
      <c r="W276" s="775" t="s">
        <v>130</v>
      </c>
      <c r="X276" s="775"/>
      <c r="Y276" s="775"/>
      <c r="Z276" s="775"/>
      <c r="AA276" s="775"/>
      <c r="AB276" s="775"/>
      <c r="AC276" s="776"/>
      <c r="AD276" s="775"/>
      <c r="AE276" s="775"/>
      <c r="AF276" s="775"/>
      <c r="AG276" s="775"/>
      <c r="AH276" s="775"/>
      <c r="AI276" s="775"/>
      <c r="AJ276" s="773"/>
      <c r="AK276" s="775"/>
      <c r="AL276" s="773"/>
      <c r="AM276" s="773"/>
      <c r="AN276" s="776"/>
      <c r="AO276" s="769"/>
      <c r="AP276" s="769"/>
      <c r="AQ276" s="773"/>
      <c r="AR276" s="773"/>
      <c r="AS276" s="773"/>
      <c r="AT27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76" s="779">
        <f>WWWW[[#This Row],[%Equitable and continuous access to sufficient quantity of safe drinking water]]*WWWW[[#This Row],[Total PoP ]]</f>
        <v>1923</v>
      </c>
      <c r="AV27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76" s="779">
        <f>WWWW[[#This Row],[% Access to unimproved water points]]*WWWW[[#This Row],[Total PoP ]]</f>
        <v>1923</v>
      </c>
      <c r="AX27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7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1923</v>
      </c>
      <c r="AZ276" s="779">
        <f>WWWW[[#This Row],[HRP1]]/250</f>
        <v>7.6920000000000002</v>
      </c>
      <c r="BA276" s="780">
        <f>1-WWWW[[#This Row],[% Equitable and continuous access to sufficient quantity of domestic water]]</f>
        <v>0</v>
      </c>
      <c r="BB276" s="779">
        <f>WWWW[[#This Row],[%equitable and continuous access to sufficient quantity of safe drinking and domestic water''s GAP]]*WWWW[[#This Row],[Total PoP ]]</f>
        <v>0</v>
      </c>
      <c r="BC276" s="781">
        <f>IF(WWWW[[#This Row],[Total required water points]]-WWWW[[#This Row],['#Water points coverage]]&lt;0,0,WWWW[[#This Row],[Total required water points]]-WWWW[[#This Row],['#Water points coverage]])</f>
        <v>0.30799999999999983</v>
      </c>
      <c r="BD276" s="781">
        <f>ROUND(IF(WWWW[[#This Row],[Total PoP ]]&lt;250,1,WWWW[[#This Row],[Total PoP ]]/250),0)</f>
        <v>8</v>
      </c>
      <c r="BE27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0.34945397815912638</v>
      </c>
      <c r="BF276" s="779">
        <f>WWWW[[#This Row],[% people access to functioning Latrine]]*WWWW[[#This Row],[Total PoP ]]</f>
        <v>672</v>
      </c>
      <c r="BG276" s="781">
        <f>WWWW[[#This Row],['#_of_Functioning_latrines_in_school]]*50</f>
        <v>0</v>
      </c>
      <c r="BH276" s="781">
        <f>ROUND((WWWW[[#This Row],[Total PoP ]]/6),0)</f>
        <v>321</v>
      </c>
      <c r="BI276" s="781">
        <f>IF(WWWW[[#This Row],[Total required Latrines]]-(WWWW[[#This Row],['#_of_sanitary_fly-proof_HH_latrines]])&lt;0,0,WWWW[[#This Row],[Total required Latrines]]-(WWWW[[#This Row],['#_of_sanitary_fly-proof_HH_latrines]]))</f>
        <v>209</v>
      </c>
      <c r="BJ276" s="778">
        <f>1-WWWW[[#This Row],[% people access to functioning Latrine]]</f>
        <v>0.65054602184087362</v>
      </c>
      <c r="BK27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76" s="772">
        <f>IF(WWWW[[#This Row],['#_of_functional_handwashing_facilities_at_HH_level]]*6&gt;WWWW[[#This Row],[Total PoP ]],WWWW[[#This Row],[Total PoP ]],WWWW[[#This Row],['#_of_functional_handwashing_facilities_at_HH_level]]*6)</f>
        <v>0</v>
      </c>
      <c r="BM276" s="781">
        <f>IF(WWWW[[#This Row],['# people reached by regular dedicated hygiene promotion]]&gt;WWWW[[#This Row],['# People received regular supply of hygiene items]],WWWW[[#This Row],['# people reached by regular dedicated hygiene promotion]],WWWW[[#This Row],['# People received regular supply of hygiene items]])</f>
        <v>0</v>
      </c>
      <c r="BN276" s="780">
        <f>IF(WWWW[[#This Row],[HRP3]]/WWWW[[#This Row],[Total PoP ]]&gt;100%,100%,WWWW[[#This Row],[HRP3]]/WWWW[[#This Row],[Total PoP ]])</f>
        <v>0</v>
      </c>
      <c r="BO276" s="778">
        <f>1-WWWW[[#This Row],[Hygiene Coverage%]]</f>
        <v>1</v>
      </c>
      <c r="BP276" s="777">
        <f>WWWW[[#This Row],['# people reached by regular dedicated hygiene promotion]]/WWWW[[#This Row],[Total PoP ]]</f>
        <v>0</v>
      </c>
      <c r="BQ27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76" s="770">
        <f>WWWW[[#This Row],['#_of_affected_women_and_girls_receiving_a_sufficient_quantity_of_sanitary_pads]]</f>
        <v>0</v>
      </c>
      <c r="BS276" s="773">
        <f>IF(WWWW[[#This Row],['# People with access to soap]]&gt;WWWW[[#This Row],['# People with access to Sanity Pads]],WWWW[[#This Row],['# People with access to soap]],WWWW[[#This Row],['# People with access to Sanity Pads]])</f>
        <v>0</v>
      </c>
      <c r="BT276" s="772" t="str">
        <f>IF(OR(WWWW[[#This Row],['#of students in school]]="",WWWW[[#This Row],['#of students in school]]=0),"No","Yes")</f>
        <v>No</v>
      </c>
      <c r="BU276" s="782" t="str">
        <f>VLOOKUP(WWWW[[#This Row],[Village  Name]],SiteDB6[[Site Name]:[Location Type 1]],9,FALSE)</f>
        <v>Village</v>
      </c>
      <c r="BV276" s="782" t="str">
        <f>VLOOKUP(WWWW[[#This Row],[Village  Name]],SiteDB6[[Site Name]:[Type of Accommodation]],10,FALSE)</f>
        <v>Village</v>
      </c>
      <c r="BW276" s="782" t="str">
        <f>VLOOKUP(WWWW[[#This Row],[Village  Name]],SiteDB6[[Site Name]:[Ethnic or GCA/NGCA]],11,FALSE)</f>
        <v>Muslim</v>
      </c>
      <c r="BX276" s="782">
        <f>VLOOKUP(WWWW[[#This Row],[Village  Name]],SiteDB6[[Site Name]:[Lat]],12,FALSE)</f>
        <v>0</v>
      </c>
      <c r="BY276" s="782">
        <f>VLOOKUP(WWWW[[#This Row],[Village  Name]],SiteDB6[[Site Name]:[Long]],13,FALSE)</f>
        <v>0</v>
      </c>
      <c r="BZ276" s="782">
        <f>VLOOKUP(WWWW[[#This Row],[Village  Name]],SiteDB6[[Site Name]:[Pcode]],3,FALSE)</f>
        <v>196999</v>
      </c>
      <c r="CA276" s="782" t="str">
        <f t="shared" si="18"/>
        <v>Covered</v>
      </c>
      <c r="CB276" s="783"/>
    </row>
    <row r="277" spans="1:80">
      <c r="A277" s="774" t="s">
        <v>3199</v>
      </c>
      <c r="B277" s="727" t="s">
        <v>314</v>
      </c>
      <c r="C277" s="728" t="s">
        <v>314</v>
      </c>
      <c r="D277" s="728" t="s">
        <v>307</v>
      </c>
      <c r="E277" s="728" t="s">
        <v>2648</v>
      </c>
      <c r="F277" s="728" t="s">
        <v>312</v>
      </c>
      <c r="G277" s="644" t="str">
        <f>VLOOKUP(WWWW[[#This Row],[Village  Name]],SiteDB6[[Site Name]:[Location Type]],8,FALSE)</f>
        <v>Village</v>
      </c>
      <c r="H277" s="728" t="s">
        <v>2596</v>
      </c>
      <c r="I277" s="775">
        <v>146</v>
      </c>
      <c r="J277" s="775">
        <v>801</v>
      </c>
      <c r="K277" s="784">
        <v>42736</v>
      </c>
      <c r="L277" s="785">
        <v>44551</v>
      </c>
      <c r="M277" s="775"/>
      <c r="N277" s="775"/>
      <c r="O277" s="773">
        <v>17</v>
      </c>
      <c r="P277" s="775">
        <v>43</v>
      </c>
      <c r="Q277" s="775">
        <v>2</v>
      </c>
      <c r="R277" s="775"/>
      <c r="S277" s="775"/>
      <c r="T277" s="775"/>
      <c r="U277" s="776"/>
      <c r="V277" s="775">
        <v>78</v>
      </c>
      <c r="W277" s="775" t="s">
        <v>130</v>
      </c>
      <c r="X277" s="775"/>
      <c r="Y277" s="775"/>
      <c r="Z277" s="775"/>
      <c r="AA277" s="775"/>
      <c r="AB277" s="775"/>
      <c r="AC277" s="776"/>
      <c r="AD277" s="775"/>
      <c r="AE277" s="775"/>
      <c r="AF277" s="775"/>
      <c r="AG277" s="775"/>
      <c r="AH277" s="775"/>
      <c r="AI277" s="775"/>
      <c r="AJ277" s="773"/>
      <c r="AK277" s="775"/>
      <c r="AL277" s="773"/>
      <c r="AM277" s="773"/>
      <c r="AN277" s="776"/>
      <c r="AO277" s="769"/>
      <c r="AP277" s="769"/>
      <c r="AQ277" s="773"/>
      <c r="AR277" s="773"/>
      <c r="AS277" s="773"/>
      <c r="AT27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77" s="779">
        <f>WWWW[[#This Row],[%Equitable and continuous access to sufficient quantity of safe drinking water]]*WWWW[[#This Row],[Total PoP ]]</f>
        <v>801</v>
      </c>
      <c r="AV27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77" s="779">
        <f>WWWW[[#This Row],[% Access to unimproved water points]]*WWWW[[#This Row],[Total PoP ]]</f>
        <v>801</v>
      </c>
      <c r="AX27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7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801</v>
      </c>
      <c r="AZ277" s="779">
        <f>WWWW[[#This Row],[HRP1]]/250</f>
        <v>3.2040000000000002</v>
      </c>
      <c r="BA277" s="780">
        <f>1-WWWW[[#This Row],[% Equitable and continuous access to sufficient quantity of domestic water]]</f>
        <v>0</v>
      </c>
      <c r="BB277" s="779">
        <f>WWWW[[#This Row],[%equitable and continuous access to sufficient quantity of safe drinking and domestic water''s GAP]]*WWWW[[#This Row],[Total PoP ]]</f>
        <v>0</v>
      </c>
      <c r="BC277" s="781">
        <f>IF(WWWW[[#This Row],[Total required water points]]-WWWW[[#This Row],['#Water points coverage]]&lt;0,0,WWWW[[#This Row],[Total required water points]]-WWWW[[#This Row],['#Water points coverage]])</f>
        <v>0</v>
      </c>
      <c r="BD277" s="781">
        <f>ROUND(IF(WWWW[[#This Row],[Total PoP ]]&lt;250,1,WWWW[[#This Row],[Total PoP ]]/250),0)</f>
        <v>3</v>
      </c>
      <c r="BE27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0.5842696629213483</v>
      </c>
      <c r="BF277" s="779">
        <f>WWWW[[#This Row],[% people access to functioning Latrine]]*WWWW[[#This Row],[Total PoP ]]</f>
        <v>468</v>
      </c>
      <c r="BG277" s="781">
        <f>WWWW[[#This Row],['#_of_Functioning_latrines_in_school]]*50</f>
        <v>0</v>
      </c>
      <c r="BH277" s="781">
        <f>ROUND((WWWW[[#This Row],[Total PoP ]]/6),0)</f>
        <v>134</v>
      </c>
      <c r="BI277" s="781">
        <f>IF(WWWW[[#This Row],[Total required Latrines]]-(WWWW[[#This Row],['#_of_sanitary_fly-proof_HH_latrines]])&lt;0,0,WWWW[[#This Row],[Total required Latrines]]-(WWWW[[#This Row],['#_of_sanitary_fly-proof_HH_latrines]]))</f>
        <v>56</v>
      </c>
      <c r="BJ277" s="778">
        <f>1-WWWW[[#This Row],[% people access to functioning Latrine]]</f>
        <v>0.4157303370786517</v>
      </c>
      <c r="BK27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77" s="772">
        <f>IF(WWWW[[#This Row],['#_of_functional_handwashing_facilities_at_HH_level]]*6&gt;WWWW[[#This Row],[Total PoP ]],WWWW[[#This Row],[Total PoP ]],WWWW[[#This Row],['#_of_functional_handwashing_facilities_at_HH_level]]*6)</f>
        <v>0</v>
      </c>
      <c r="BM277" s="781">
        <f>IF(WWWW[[#This Row],['# people reached by regular dedicated hygiene promotion]]&gt;WWWW[[#This Row],['# People received regular supply of hygiene items]],WWWW[[#This Row],['# people reached by regular dedicated hygiene promotion]],WWWW[[#This Row],['# People received regular supply of hygiene items]])</f>
        <v>0</v>
      </c>
      <c r="BN277" s="780">
        <f>IF(WWWW[[#This Row],[HRP3]]/WWWW[[#This Row],[Total PoP ]]&gt;100%,100%,WWWW[[#This Row],[HRP3]]/WWWW[[#This Row],[Total PoP ]])</f>
        <v>0</v>
      </c>
      <c r="BO277" s="778">
        <f>1-WWWW[[#This Row],[Hygiene Coverage%]]</f>
        <v>1</v>
      </c>
      <c r="BP277" s="777">
        <f>WWWW[[#This Row],['# people reached by regular dedicated hygiene promotion]]/WWWW[[#This Row],[Total PoP ]]</f>
        <v>0</v>
      </c>
      <c r="BQ27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77" s="770">
        <f>WWWW[[#This Row],['#_of_affected_women_and_girls_receiving_a_sufficient_quantity_of_sanitary_pads]]</f>
        <v>0</v>
      </c>
      <c r="BS277" s="773">
        <f>IF(WWWW[[#This Row],['# People with access to soap]]&gt;WWWW[[#This Row],['# People with access to Sanity Pads]],WWWW[[#This Row],['# People with access to soap]],WWWW[[#This Row],['# People with access to Sanity Pads]])</f>
        <v>0</v>
      </c>
      <c r="BT277" s="772" t="str">
        <f>IF(OR(WWWW[[#This Row],['#of students in school]]="",WWWW[[#This Row],['#of students in school]]=0),"No","Yes")</f>
        <v>No</v>
      </c>
      <c r="BU277" s="782" t="str">
        <f>VLOOKUP(WWWW[[#This Row],[Village  Name]],SiteDB6[[Site Name]:[Location Type 1]],9,FALSE)</f>
        <v>Village</v>
      </c>
      <c r="BV277" s="782" t="str">
        <f>VLOOKUP(WWWW[[#This Row],[Village  Name]],SiteDB6[[Site Name]:[Type of Accommodation]],10,FALSE)</f>
        <v>Village</v>
      </c>
      <c r="BW277" s="782">
        <f>VLOOKUP(WWWW[[#This Row],[Village  Name]],SiteDB6[[Site Name]:[Ethnic or GCA/NGCA]],11,FALSE)</f>
        <v>0</v>
      </c>
      <c r="BX277" s="782">
        <f>VLOOKUP(WWWW[[#This Row],[Village  Name]],SiteDB6[[Site Name]:[Lat]],12,FALSE)</f>
        <v>20.3927307128906</v>
      </c>
      <c r="BY277" s="782">
        <f>VLOOKUP(WWWW[[#This Row],[Village  Name]],SiteDB6[[Site Name]:[Long]],13,FALSE)</f>
        <v>93.304817199707003</v>
      </c>
      <c r="BZ277" s="782">
        <f>VLOOKUP(WWWW[[#This Row],[Village  Name]],SiteDB6[[Site Name]:[Pcode]],3,FALSE)</f>
        <v>197017</v>
      </c>
      <c r="CA277" s="782" t="str">
        <f t="shared" si="18"/>
        <v>Covered</v>
      </c>
      <c r="CB277" s="783"/>
    </row>
    <row r="278" spans="1:80">
      <c r="A278" s="774" t="s">
        <v>3199</v>
      </c>
      <c r="B278" s="727" t="s">
        <v>314</v>
      </c>
      <c r="C278" s="728" t="s">
        <v>314</v>
      </c>
      <c r="D278" s="728" t="s">
        <v>307</v>
      </c>
      <c r="E278" s="728" t="s">
        <v>2648</v>
      </c>
      <c r="F278" s="728" t="s">
        <v>312</v>
      </c>
      <c r="G278" s="644" t="str">
        <f>VLOOKUP(WWWW[[#This Row],[Village  Name]],SiteDB6[[Site Name]:[Location Type]],8,FALSE)</f>
        <v>Village</v>
      </c>
      <c r="H278" s="728" t="s">
        <v>2597</v>
      </c>
      <c r="I278" s="775">
        <v>31</v>
      </c>
      <c r="J278" s="775">
        <v>156</v>
      </c>
      <c r="K278" s="784">
        <v>42736</v>
      </c>
      <c r="L278" s="785">
        <v>44551</v>
      </c>
      <c r="M278" s="775"/>
      <c r="N278" s="775"/>
      <c r="O278" s="773">
        <v>18</v>
      </c>
      <c r="P278" s="775">
        <v>116</v>
      </c>
      <c r="Q278" s="775">
        <v>4</v>
      </c>
      <c r="R278" s="775"/>
      <c r="S278" s="775"/>
      <c r="T278" s="775"/>
      <c r="U278" s="776"/>
      <c r="V278" s="775">
        <v>298</v>
      </c>
      <c r="W278" s="775" t="s">
        <v>130</v>
      </c>
      <c r="X278" s="775"/>
      <c r="Y278" s="775"/>
      <c r="Z278" s="775"/>
      <c r="AA278" s="775"/>
      <c r="AB278" s="775"/>
      <c r="AC278" s="776"/>
      <c r="AD278" s="775"/>
      <c r="AE278" s="775"/>
      <c r="AF278" s="775"/>
      <c r="AG278" s="775"/>
      <c r="AH278" s="775"/>
      <c r="AI278" s="775"/>
      <c r="AJ278" s="773"/>
      <c r="AK278" s="775"/>
      <c r="AL278" s="773"/>
      <c r="AM278" s="773"/>
      <c r="AN278" s="776"/>
      <c r="AO278" s="769"/>
      <c r="AP278" s="769"/>
      <c r="AQ278" s="773"/>
      <c r="AR278" s="773"/>
      <c r="AS278" s="773"/>
      <c r="AT27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78" s="779">
        <f>WWWW[[#This Row],[%Equitable and continuous access to sufficient quantity of safe drinking water]]*WWWW[[#This Row],[Total PoP ]]</f>
        <v>156</v>
      </c>
      <c r="AV27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78" s="779">
        <f>WWWW[[#This Row],[% Access to unimproved water points]]*WWWW[[#This Row],[Total PoP ]]</f>
        <v>156</v>
      </c>
      <c r="AX27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7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156</v>
      </c>
      <c r="AZ278" s="779">
        <f>WWWW[[#This Row],[HRP1]]/250</f>
        <v>0.624</v>
      </c>
      <c r="BA278" s="780">
        <f>1-WWWW[[#This Row],[% Equitable and continuous access to sufficient quantity of domestic water]]</f>
        <v>0</v>
      </c>
      <c r="BB278" s="779">
        <f>WWWW[[#This Row],[%equitable and continuous access to sufficient quantity of safe drinking and domestic water''s GAP]]*WWWW[[#This Row],[Total PoP ]]</f>
        <v>0</v>
      </c>
      <c r="BC278" s="781">
        <f>IF(WWWW[[#This Row],[Total required water points]]-WWWW[[#This Row],['#Water points coverage]]&lt;0,0,WWWW[[#This Row],[Total required water points]]-WWWW[[#This Row],['#Water points coverage]])</f>
        <v>0.376</v>
      </c>
      <c r="BD278" s="781">
        <f>ROUND(IF(WWWW[[#This Row],[Total PoP ]]&lt;250,1,WWWW[[#This Row],[Total PoP ]]/250),0)</f>
        <v>1</v>
      </c>
      <c r="BE27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78" s="779">
        <f>WWWW[[#This Row],[% people access to functioning Latrine]]*WWWW[[#This Row],[Total PoP ]]</f>
        <v>156</v>
      </c>
      <c r="BG278" s="781">
        <f>WWWW[[#This Row],['#_of_Functioning_latrines_in_school]]*50</f>
        <v>0</v>
      </c>
      <c r="BH278" s="781">
        <f>ROUND((WWWW[[#This Row],[Total PoP ]]/6),0)</f>
        <v>26</v>
      </c>
      <c r="BI278" s="781">
        <f>IF(WWWW[[#This Row],[Total required Latrines]]-(WWWW[[#This Row],['#_of_sanitary_fly-proof_HH_latrines]])&lt;0,0,WWWW[[#This Row],[Total required Latrines]]-(WWWW[[#This Row],['#_of_sanitary_fly-proof_HH_latrines]]))</f>
        <v>0</v>
      </c>
      <c r="BJ278" s="778">
        <f>1-WWWW[[#This Row],[% people access to functioning Latrine]]</f>
        <v>0</v>
      </c>
      <c r="BK27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78" s="772">
        <f>IF(WWWW[[#This Row],['#_of_functional_handwashing_facilities_at_HH_level]]*6&gt;WWWW[[#This Row],[Total PoP ]],WWWW[[#This Row],[Total PoP ]],WWWW[[#This Row],['#_of_functional_handwashing_facilities_at_HH_level]]*6)</f>
        <v>0</v>
      </c>
      <c r="BM278" s="781">
        <f>IF(WWWW[[#This Row],['# people reached by regular dedicated hygiene promotion]]&gt;WWWW[[#This Row],['# People received regular supply of hygiene items]],WWWW[[#This Row],['# people reached by regular dedicated hygiene promotion]],WWWW[[#This Row],['# People received regular supply of hygiene items]])</f>
        <v>0</v>
      </c>
      <c r="BN278" s="780">
        <f>IF(WWWW[[#This Row],[HRP3]]/WWWW[[#This Row],[Total PoP ]]&gt;100%,100%,WWWW[[#This Row],[HRP3]]/WWWW[[#This Row],[Total PoP ]])</f>
        <v>0</v>
      </c>
      <c r="BO278" s="778">
        <f>1-WWWW[[#This Row],[Hygiene Coverage%]]</f>
        <v>1</v>
      </c>
      <c r="BP278" s="777">
        <f>WWWW[[#This Row],['# people reached by regular dedicated hygiene promotion]]/WWWW[[#This Row],[Total PoP ]]</f>
        <v>0</v>
      </c>
      <c r="BQ27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78" s="770">
        <f>WWWW[[#This Row],['#_of_affected_women_and_girls_receiving_a_sufficient_quantity_of_sanitary_pads]]</f>
        <v>0</v>
      </c>
      <c r="BS278" s="773">
        <f>IF(WWWW[[#This Row],['# People with access to soap]]&gt;WWWW[[#This Row],['# People with access to Sanity Pads]],WWWW[[#This Row],['# People with access to soap]],WWWW[[#This Row],['# People with access to Sanity Pads]])</f>
        <v>0</v>
      </c>
      <c r="BT278" s="772" t="str">
        <f>IF(OR(WWWW[[#This Row],['#of students in school]]="",WWWW[[#This Row],['#of students in school]]=0),"No","Yes")</f>
        <v>No</v>
      </c>
      <c r="BU278" s="782" t="str">
        <f>VLOOKUP(WWWW[[#This Row],[Village  Name]],SiteDB6[[Site Name]:[Location Type 1]],9,FALSE)</f>
        <v>Village</v>
      </c>
      <c r="BV278" s="782" t="str">
        <f>VLOOKUP(WWWW[[#This Row],[Village  Name]],SiteDB6[[Site Name]:[Type of Accommodation]],10,FALSE)</f>
        <v>Village</v>
      </c>
      <c r="BW278" s="782">
        <f>VLOOKUP(WWWW[[#This Row],[Village  Name]],SiteDB6[[Site Name]:[Ethnic or GCA/NGCA]],11,FALSE)</f>
        <v>0</v>
      </c>
      <c r="BX278" s="782">
        <f>VLOOKUP(WWWW[[#This Row],[Village  Name]],SiteDB6[[Site Name]:[Lat]],12,FALSE)</f>
        <v>20.406982421875</v>
      </c>
      <c r="BY278" s="782">
        <f>VLOOKUP(WWWW[[#This Row],[Village  Name]],SiteDB6[[Site Name]:[Long]],13,FALSE)</f>
        <v>93.312507629394503</v>
      </c>
      <c r="BZ278" s="782">
        <f>VLOOKUP(WWWW[[#This Row],[Village  Name]],SiteDB6[[Site Name]:[Pcode]],3,FALSE)</f>
        <v>197022</v>
      </c>
      <c r="CA278" s="782" t="str">
        <f t="shared" si="18"/>
        <v>Covered</v>
      </c>
      <c r="CB278" s="783"/>
    </row>
    <row r="279" spans="1:80">
      <c r="A279" s="774" t="s">
        <v>3199</v>
      </c>
      <c r="B279" s="727" t="s">
        <v>314</v>
      </c>
      <c r="C279" s="728" t="s">
        <v>314</v>
      </c>
      <c r="D279" s="728" t="s">
        <v>307</v>
      </c>
      <c r="E279" s="728" t="s">
        <v>2648</v>
      </c>
      <c r="F279" s="728" t="s">
        <v>312</v>
      </c>
      <c r="G279" s="644" t="str">
        <f>VLOOKUP(WWWW[[#This Row],[Village  Name]],SiteDB6[[Site Name]:[Location Type]],8,FALSE)</f>
        <v>Village</v>
      </c>
      <c r="H279" s="728" t="s">
        <v>2598</v>
      </c>
      <c r="I279" s="775">
        <v>96</v>
      </c>
      <c r="J279" s="775">
        <v>329</v>
      </c>
      <c r="K279" s="784">
        <v>42736</v>
      </c>
      <c r="L279" s="785">
        <v>44551</v>
      </c>
      <c r="M279" s="775"/>
      <c r="N279" s="775"/>
      <c r="O279" s="773">
        <v>28</v>
      </c>
      <c r="P279" s="775">
        <v>826</v>
      </c>
      <c r="Q279" s="775">
        <v>7</v>
      </c>
      <c r="R279" s="775"/>
      <c r="S279" s="775"/>
      <c r="T279" s="775"/>
      <c r="U279" s="776"/>
      <c r="V279" s="775">
        <v>1408</v>
      </c>
      <c r="W279" s="775" t="s">
        <v>130</v>
      </c>
      <c r="X279" s="775"/>
      <c r="Y279" s="775"/>
      <c r="Z279" s="775"/>
      <c r="AA279" s="775"/>
      <c r="AB279" s="775"/>
      <c r="AC279" s="776"/>
      <c r="AD279" s="775"/>
      <c r="AE279" s="775"/>
      <c r="AF279" s="775"/>
      <c r="AG279" s="775"/>
      <c r="AH279" s="775"/>
      <c r="AI279" s="775"/>
      <c r="AJ279" s="773"/>
      <c r="AK279" s="775"/>
      <c r="AL279" s="773"/>
      <c r="AM279" s="773"/>
      <c r="AN279" s="776"/>
      <c r="AO279" s="769"/>
      <c r="AP279" s="769"/>
      <c r="AQ279" s="773"/>
      <c r="AR279" s="773"/>
      <c r="AS279" s="773"/>
      <c r="AT27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79" s="779">
        <f>WWWW[[#This Row],[%Equitable and continuous access to sufficient quantity of safe drinking water]]*WWWW[[#This Row],[Total PoP ]]</f>
        <v>329</v>
      </c>
      <c r="AV27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79" s="779">
        <f>WWWW[[#This Row],[% Access to unimproved water points]]*WWWW[[#This Row],[Total PoP ]]</f>
        <v>329</v>
      </c>
      <c r="AX27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7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329</v>
      </c>
      <c r="AZ279" s="779">
        <f>WWWW[[#This Row],[HRP1]]/250</f>
        <v>1.3160000000000001</v>
      </c>
      <c r="BA279" s="780">
        <f>1-WWWW[[#This Row],[% Equitable and continuous access to sufficient quantity of domestic water]]</f>
        <v>0</v>
      </c>
      <c r="BB279" s="779">
        <f>WWWW[[#This Row],[%equitable and continuous access to sufficient quantity of safe drinking and domestic water''s GAP]]*WWWW[[#This Row],[Total PoP ]]</f>
        <v>0</v>
      </c>
      <c r="BC279" s="781">
        <f>IF(WWWW[[#This Row],[Total required water points]]-WWWW[[#This Row],['#Water points coverage]]&lt;0,0,WWWW[[#This Row],[Total required water points]]-WWWW[[#This Row],['#Water points coverage]])</f>
        <v>0</v>
      </c>
      <c r="BD279" s="781">
        <f>ROUND(IF(WWWW[[#This Row],[Total PoP ]]&lt;250,1,WWWW[[#This Row],[Total PoP ]]/250),0)</f>
        <v>1</v>
      </c>
      <c r="BE27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79" s="779">
        <f>WWWW[[#This Row],[% people access to functioning Latrine]]*WWWW[[#This Row],[Total PoP ]]</f>
        <v>329</v>
      </c>
      <c r="BG279" s="781">
        <f>WWWW[[#This Row],['#_of_Functioning_latrines_in_school]]*50</f>
        <v>0</v>
      </c>
      <c r="BH279" s="781">
        <f>ROUND((WWWW[[#This Row],[Total PoP ]]/6),0)</f>
        <v>55</v>
      </c>
      <c r="BI279" s="781">
        <f>IF(WWWW[[#This Row],[Total required Latrines]]-(WWWW[[#This Row],['#_of_sanitary_fly-proof_HH_latrines]])&lt;0,0,WWWW[[#This Row],[Total required Latrines]]-(WWWW[[#This Row],['#_of_sanitary_fly-proof_HH_latrines]]))</f>
        <v>0</v>
      </c>
      <c r="BJ279" s="778">
        <f>1-WWWW[[#This Row],[% people access to functioning Latrine]]</f>
        <v>0</v>
      </c>
      <c r="BK27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79" s="772">
        <f>IF(WWWW[[#This Row],['#_of_functional_handwashing_facilities_at_HH_level]]*6&gt;WWWW[[#This Row],[Total PoP ]],WWWW[[#This Row],[Total PoP ]],WWWW[[#This Row],['#_of_functional_handwashing_facilities_at_HH_level]]*6)</f>
        <v>0</v>
      </c>
      <c r="BM279" s="781">
        <f>IF(WWWW[[#This Row],['# people reached by regular dedicated hygiene promotion]]&gt;WWWW[[#This Row],['# People received regular supply of hygiene items]],WWWW[[#This Row],['# people reached by regular dedicated hygiene promotion]],WWWW[[#This Row],['# People received regular supply of hygiene items]])</f>
        <v>0</v>
      </c>
      <c r="BN279" s="780">
        <f>IF(WWWW[[#This Row],[HRP3]]/WWWW[[#This Row],[Total PoP ]]&gt;100%,100%,WWWW[[#This Row],[HRP3]]/WWWW[[#This Row],[Total PoP ]])</f>
        <v>0</v>
      </c>
      <c r="BO279" s="778">
        <f>1-WWWW[[#This Row],[Hygiene Coverage%]]</f>
        <v>1</v>
      </c>
      <c r="BP279" s="777">
        <f>WWWW[[#This Row],['# people reached by regular dedicated hygiene promotion]]/WWWW[[#This Row],[Total PoP ]]</f>
        <v>0</v>
      </c>
      <c r="BQ27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79" s="770">
        <f>WWWW[[#This Row],['#_of_affected_women_and_girls_receiving_a_sufficient_quantity_of_sanitary_pads]]</f>
        <v>0</v>
      </c>
      <c r="BS279" s="773">
        <f>IF(WWWW[[#This Row],['# People with access to soap]]&gt;WWWW[[#This Row],['# People with access to Sanity Pads]],WWWW[[#This Row],['# People with access to soap]],WWWW[[#This Row],['# People with access to Sanity Pads]])</f>
        <v>0</v>
      </c>
      <c r="BT279" s="772" t="str">
        <f>IF(OR(WWWW[[#This Row],['#of students in school]]="",WWWW[[#This Row],['#of students in school]]=0),"No","Yes")</f>
        <v>No</v>
      </c>
      <c r="BU279" s="782" t="str">
        <f>VLOOKUP(WWWW[[#This Row],[Village  Name]],SiteDB6[[Site Name]:[Location Type 1]],9,FALSE)</f>
        <v>Village</v>
      </c>
      <c r="BV279" s="782" t="str">
        <f>VLOOKUP(WWWW[[#This Row],[Village  Name]],SiteDB6[[Site Name]:[Type of Accommodation]],10,FALSE)</f>
        <v>Village</v>
      </c>
      <c r="BW279" s="782">
        <f>VLOOKUP(WWWW[[#This Row],[Village  Name]],SiteDB6[[Site Name]:[Ethnic or GCA/NGCA]],11,FALSE)</f>
        <v>0</v>
      </c>
      <c r="BX279" s="782">
        <f>VLOOKUP(WWWW[[#This Row],[Village  Name]],SiteDB6[[Site Name]:[Lat]],12,FALSE)</f>
        <v>20.404491424560501</v>
      </c>
      <c r="BY279" s="782">
        <f>VLOOKUP(WWWW[[#This Row],[Village  Name]],SiteDB6[[Site Name]:[Long]],13,FALSE)</f>
        <v>93.321144104003906</v>
      </c>
      <c r="BZ279" s="782">
        <f>VLOOKUP(WWWW[[#This Row],[Village  Name]],SiteDB6[[Site Name]:[Pcode]],3,FALSE)</f>
        <v>197020</v>
      </c>
      <c r="CA279" s="782" t="str">
        <f t="shared" si="18"/>
        <v>Covered</v>
      </c>
      <c r="CB279" s="783"/>
    </row>
    <row r="280" spans="1:80">
      <c r="A280" s="774" t="s">
        <v>3199</v>
      </c>
      <c r="B280" s="727" t="s">
        <v>314</v>
      </c>
      <c r="C280" s="728" t="s">
        <v>314</v>
      </c>
      <c r="D280" s="728" t="s">
        <v>307</v>
      </c>
      <c r="E280" s="728" t="s">
        <v>2648</v>
      </c>
      <c r="F280" s="728" t="s">
        <v>312</v>
      </c>
      <c r="G280" s="644" t="str">
        <f>VLOOKUP(WWWW[[#This Row],[Village  Name]],SiteDB6[[Site Name]:[Location Type]],8,FALSE)</f>
        <v>Village</v>
      </c>
      <c r="H280" s="728" t="s">
        <v>2599</v>
      </c>
      <c r="I280" s="775">
        <v>37</v>
      </c>
      <c r="J280" s="775">
        <v>119</v>
      </c>
      <c r="K280" s="784">
        <v>42736</v>
      </c>
      <c r="L280" s="785">
        <v>44551</v>
      </c>
      <c r="M280" s="775"/>
      <c r="N280" s="775"/>
      <c r="O280" s="773">
        <v>12</v>
      </c>
      <c r="P280" s="775">
        <v>208</v>
      </c>
      <c r="Q280" s="775">
        <v>3</v>
      </c>
      <c r="R280" s="775"/>
      <c r="S280" s="775"/>
      <c r="T280" s="775"/>
      <c r="U280" s="776"/>
      <c r="V280" s="775">
        <v>255</v>
      </c>
      <c r="W280" s="775" t="s">
        <v>130</v>
      </c>
      <c r="X280" s="775"/>
      <c r="Y280" s="775"/>
      <c r="Z280" s="775"/>
      <c r="AA280" s="775"/>
      <c r="AB280" s="775"/>
      <c r="AC280" s="776"/>
      <c r="AD280" s="775"/>
      <c r="AE280" s="775"/>
      <c r="AF280" s="775"/>
      <c r="AG280" s="775"/>
      <c r="AH280" s="775"/>
      <c r="AI280" s="775"/>
      <c r="AJ280" s="773"/>
      <c r="AK280" s="775"/>
      <c r="AL280" s="773"/>
      <c r="AM280" s="773"/>
      <c r="AN280" s="776"/>
      <c r="AO280" s="769"/>
      <c r="AP280" s="769"/>
      <c r="AQ280" s="773"/>
      <c r="AR280" s="773"/>
      <c r="AS280" s="773"/>
      <c r="AT28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80" s="779">
        <f>WWWW[[#This Row],[%Equitable and continuous access to sufficient quantity of safe drinking water]]*WWWW[[#This Row],[Total PoP ]]</f>
        <v>119</v>
      </c>
      <c r="AV28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80" s="779">
        <f>WWWW[[#This Row],[% Access to unimproved water points]]*WWWW[[#This Row],[Total PoP ]]</f>
        <v>119</v>
      </c>
      <c r="AX28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8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119</v>
      </c>
      <c r="AZ280" s="779">
        <f>WWWW[[#This Row],[HRP1]]/250</f>
        <v>0.47599999999999998</v>
      </c>
      <c r="BA280" s="780">
        <f>1-WWWW[[#This Row],[% Equitable and continuous access to sufficient quantity of domestic water]]</f>
        <v>0</v>
      </c>
      <c r="BB280" s="779">
        <f>WWWW[[#This Row],[%equitable and continuous access to sufficient quantity of safe drinking and domestic water''s GAP]]*WWWW[[#This Row],[Total PoP ]]</f>
        <v>0</v>
      </c>
      <c r="BC280" s="781">
        <f>IF(WWWW[[#This Row],[Total required water points]]-WWWW[[#This Row],['#Water points coverage]]&lt;0,0,WWWW[[#This Row],[Total required water points]]-WWWW[[#This Row],['#Water points coverage]])</f>
        <v>0.52400000000000002</v>
      </c>
      <c r="BD280" s="781">
        <f>ROUND(IF(WWWW[[#This Row],[Total PoP ]]&lt;250,1,WWWW[[#This Row],[Total PoP ]]/250),0)</f>
        <v>1</v>
      </c>
      <c r="BE28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80" s="779">
        <f>WWWW[[#This Row],[% people access to functioning Latrine]]*WWWW[[#This Row],[Total PoP ]]</f>
        <v>119</v>
      </c>
      <c r="BG280" s="781">
        <f>WWWW[[#This Row],['#_of_Functioning_latrines_in_school]]*50</f>
        <v>0</v>
      </c>
      <c r="BH280" s="781">
        <f>ROUND((WWWW[[#This Row],[Total PoP ]]/6),0)</f>
        <v>20</v>
      </c>
      <c r="BI280" s="781">
        <f>IF(WWWW[[#This Row],[Total required Latrines]]-(WWWW[[#This Row],['#_of_sanitary_fly-proof_HH_latrines]])&lt;0,0,WWWW[[#This Row],[Total required Latrines]]-(WWWW[[#This Row],['#_of_sanitary_fly-proof_HH_latrines]]))</f>
        <v>0</v>
      </c>
      <c r="BJ280" s="778">
        <f>1-WWWW[[#This Row],[% people access to functioning Latrine]]</f>
        <v>0</v>
      </c>
      <c r="BK28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80" s="772">
        <f>IF(WWWW[[#This Row],['#_of_functional_handwashing_facilities_at_HH_level]]*6&gt;WWWW[[#This Row],[Total PoP ]],WWWW[[#This Row],[Total PoP ]],WWWW[[#This Row],['#_of_functional_handwashing_facilities_at_HH_level]]*6)</f>
        <v>0</v>
      </c>
      <c r="BM280" s="781">
        <f>IF(WWWW[[#This Row],['# people reached by regular dedicated hygiene promotion]]&gt;WWWW[[#This Row],['# People received regular supply of hygiene items]],WWWW[[#This Row],['# people reached by regular dedicated hygiene promotion]],WWWW[[#This Row],['# People received regular supply of hygiene items]])</f>
        <v>0</v>
      </c>
      <c r="BN280" s="780">
        <f>IF(WWWW[[#This Row],[HRP3]]/WWWW[[#This Row],[Total PoP ]]&gt;100%,100%,WWWW[[#This Row],[HRP3]]/WWWW[[#This Row],[Total PoP ]])</f>
        <v>0</v>
      </c>
      <c r="BO280" s="778">
        <f>1-WWWW[[#This Row],[Hygiene Coverage%]]</f>
        <v>1</v>
      </c>
      <c r="BP280" s="777">
        <f>WWWW[[#This Row],['# people reached by regular dedicated hygiene promotion]]/WWWW[[#This Row],[Total PoP ]]</f>
        <v>0</v>
      </c>
      <c r="BQ28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80" s="770">
        <f>WWWW[[#This Row],['#_of_affected_women_and_girls_receiving_a_sufficient_quantity_of_sanitary_pads]]</f>
        <v>0</v>
      </c>
      <c r="BS280" s="773">
        <f>IF(WWWW[[#This Row],['# People with access to soap]]&gt;WWWW[[#This Row],['# People with access to Sanity Pads]],WWWW[[#This Row],['# People with access to soap]],WWWW[[#This Row],['# People with access to Sanity Pads]])</f>
        <v>0</v>
      </c>
      <c r="BT280" s="772" t="str">
        <f>IF(OR(WWWW[[#This Row],['#of students in school]]="",WWWW[[#This Row],['#of students in school]]=0),"No","Yes")</f>
        <v>No</v>
      </c>
      <c r="BU280" s="782" t="str">
        <f>VLOOKUP(WWWW[[#This Row],[Village  Name]],SiteDB6[[Site Name]:[Location Type 1]],9,FALSE)</f>
        <v>Village</v>
      </c>
      <c r="BV280" s="782" t="str">
        <f>VLOOKUP(WWWW[[#This Row],[Village  Name]],SiteDB6[[Site Name]:[Type of Accommodation]],10,FALSE)</f>
        <v>Village</v>
      </c>
      <c r="BW280" s="782">
        <f>VLOOKUP(WWWW[[#This Row],[Village  Name]],SiteDB6[[Site Name]:[Ethnic or GCA/NGCA]],11,FALSE)</f>
        <v>0</v>
      </c>
      <c r="BX280" s="782">
        <f>VLOOKUP(WWWW[[#This Row],[Village  Name]],SiteDB6[[Site Name]:[Lat]],12,FALSE)</f>
        <v>20.428560256958001</v>
      </c>
      <c r="BY280" s="782">
        <f>VLOOKUP(WWWW[[#This Row],[Village  Name]],SiteDB6[[Site Name]:[Long]],13,FALSE)</f>
        <v>93.305938720703097</v>
      </c>
      <c r="BZ280" s="782">
        <f>VLOOKUP(WWWW[[#This Row],[Village  Name]],SiteDB6[[Site Name]:[Pcode]],3,FALSE)</f>
        <v>197027</v>
      </c>
      <c r="CA280" s="782" t="str">
        <f t="shared" si="18"/>
        <v>Covered</v>
      </c>
      <c r="CB280" s="783"/>
    </row>
    <row r="281" spans="1:80">
      <c r="A281" s="774" t="s">
        <v>3199</v>
      </c>
      <c r="B281" s="727" t="s">
        <v>314</v>
      </c>
      <c r="C281" s="728" t="s">
        <v>314</v>
      </c>
      <c r="D281" s="728" t="s">
        <v>307</v>
      </c>
      <c r="E281" s="728" t="s">
        <v>2648</v>
      </c>
      <c r="F281" s="728" t="s">
        <v>312</v>
      </c>
      <c r="G281" s="644" t="str">
        <f>VLOOKUP(WWWW[[#This Row],[Village  Name]],SiteDB6[[Site Name]:[Location Type]],8,FALSE)</f>
        <v>Village</v>
      </c>
      <c r="H281" s="728" t="s">
        <v>2600</v>
      </c>
      <c r="I281" s="775">
        <v>167</v>
      </c>
      <c r="J281" s="775">
        <v>1027</v>
      </c>
      <c r="K281" s="784">
        <v>42736</v>
      </c>
      <c r="L281" s="785">
        <v>44551</v>
      </c>
      <c r="M281" s="775"/>
      <c r="N281" s="775"/>
      <c r="O281" s="773">
        <v>6</v>
      </c>
      <c r="P281" s="775">
        <v>49</v>
      </c>
      <c r="Q281" s="775">
        <v>2</v>
      </c>
      <c r="R281" s="775"/>
      <c r="S281" s="775"/>
      <c r="T281" s="775"/>
      <c r="U281" s="776"/>
      <c r="V281" s="775">
        <v>66</v>
      </c>
      <c r="W281" s="775" t="s">
        <v>130</v>
      </c>
      <c r="X281" s="775"/>
      <c r="Y281" s="775"/>
      <c r="Z281" s="775"/>
      <c r="AA281" s="775"/>
      <c r="AB281" s="775"/>
      <c r="AC281" s="776"/>
      <c r="AD281" s="775"/>
      <c r="AE281" s="775"/>
      <c r="AF281" s="775"/>
      <c r="AG281" s="775"/>
      <c r="AH281" s="775"/>
      <c r="AI281" s="775"/>
      <c r="AJ281" s="773"/>
      <c r="AK281" s="775"/>
      <c r="AL281" s="773"/>
      <c r="AM281" s="773"/>
      <c r="AN281" s="776"/>
      <c r="AO281" s="769"/>
      <c r="AP281" s="769"/>
      <c r="AQ281" s="773"/>
      <c r="AR281" s="773"/>
      <c r="AS281" s="773"/>
      <c r="AT28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81" s="779">
        <f>WWWW[[#This Row],[%Equitable and continuous access to sufficient quantity of safe drinking water]]*WWWW[[#This Row],[Total PoP ]]</f>
        <v>1027</v>
      </c>
      <c r="AV28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81" s="779">
        <f>WWWW[[#This Row],[% Access to unimproved water points]]*WWWW[[#This Row],[Total PoP ]]</f>
        <v>1027</v>
      </c>
      <c r="AX28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8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1027</v>
      </c>
      <c r="AZ281" s="779">
        <f>WWWW[[#This Row],[HRP1]]/250</f>
        <v>4.1079999999999997</v>
      </c>
      <c r="BA281" s="780">
        <f>1-WWWW[[#This Row],[% Equitable and continuous access to sufficient quantity of domestic water]]</f>
        <v>0</v>
      </c>
      <c r="BB281" s="779">
        <f>WWWW[[#This Row],[%equitable and continuous access to sufficient quantity of safe drinking and domestic water''s GAP]]*WWWW[[#This Row],[Total PoP ]]</f>
        <v>0</v>
      </c>
      <c r="BC281" s="781">
        <f>IF(WWWW[[#This Row],[Total required water points]]-WWWW[[#This Row],['#Water points coverage]]&lt;0,0,WWWW[[#This Row],[Total required water points]]-WWWW[[#This Row],['#Water points coverage]])</f>
        <v>0</v>
      </c>
      <c r="BD281" s="781">
        <f>ROUND(IF(WWWW[[#This Row],[Total PoP ]]&lt;250,1,WWWW[[#This Row],[Total PoP ]]/250),0)</f>
        <v>4</v>
      </c>
      <c r="BE28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0.38558909444985395</v>
      </c>
      <c r="BF281" s="779">
        <f>WWWW[[#This Row],[% people access to functioning Latrine]]*WWWW[[#This Row],[Total PoP ]]</f>
        <v>396</v>
      </c>
      <c r="BG281" s="781">
        <f>WWWW[[#This Row],['#_of_Functioning_latrines_in_school]]*50</f>
        <v>0</v>
      </c>
      <c r="BH281" s="781">
        <f>ROUND((WWWW[[#This Row],[Total PoP ]]/6),0)</f>
        <v>171</v>
      </c>
      <c r="BI281" s="781">
        <f>IF(WWWW[[#This Row],[Total required Latrines]]-(WWWW[[#This Row],['#_of_sanitary_fly-proof_HH_latrines]])&lt;0,0,WWWW[[#This Row],[Total required Latrines]]-(WWWW[[#This Row],['#_of_sanitary_fly-proof_HH_latrines]]))</f>
        <v>105</v>
      </c>
      <c r="BJ281" s="778">
        <f>1-WWWW[[#This Row],[% people access to functioning Latrine]]</f>
        <v>0.6144109055501461</v>
      </c>
      <c r="BK28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81" s="772">
        <f>IF(WWWW[[#This Row],['#_of_functional_handwashing_facilities_at_HH_level]]*6&gt;WWWW[[#This Row],[Total PoP ]],WWWW[[#This Row],[Total PoP ]],WWWW[[#This Row],['#_of_functional_handwashing_facilities_at_HH_level]]*6)</f>
        <v>0</v>
      </c>
      <c r="BM281" s="781">
        <f>IF(WWWW[[#This Row],['# people reached by regular dedicated hygiene promotion]]&gt;WWWW[[#This Row],['# People received regular supply of hygiene items]],WWWW[[#This Row],['# people reached by regular dedicated hygiene promotion]],WWWW[[#This Row],['# People received regular supply of hygiene items]])</f>
        <v>0</v>
      </c>
      <c r="BN281" s="780">
        <f>IF(WWWW[[#This Row],[HRP3]]/WWWW[[#This Row],[Total PoP ]]&gt;100%,100%,WWWW[[#This Row],[HRP3]]/WWWW[[#This Row],[Total PoP ]])</f>
        <v>0</v>
      </c>
      <c r="BO281" s="778">
        <f>1-WWWW[[#This Row],[Hygiene Coverage%]]</f>
        <v>1</v>
      </c>
      <c r="BP281" s="777">
        <f>WWWW[[#This Row],['# people reached by regular dedicated hygiene promotion]]/WWWW[[#This Row],[Total PoP ]]</f>
        <v>0</v>
      </c>
      <c r="BQ28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81" s="770">
        <f>WWWW[[#This Row],['#_of_affected_women_and_girls_receiving_a_sufficient_quantity_of_sanitary_pads]]</f>
        <v>0</v>
      </c>
      <c r="BS281" s="773">
        <f>IF(WWWW[[#This Row],['# People with access to soap]]&gt;WWWW[[#This Row],['# People with access to Sanity Pads]],WWWW[[#This Row],['# People with access to soap]],WWWW[[#This Row],['# People with access to Sanity Pads]])</f>
        <v>0</v>
      </c>
      <c r="BT281" s="772" t="str">
        <f>IF(OR(WWWW[[#This Row],['#of students in school]]="",WWWW[[#This Row],['#of students in school]]=0),"No","Yes")</f>
        <v>No</v>
      </c>
      <c r="BU281" s="782" t="str">
        <f>VLOOKUP(WWWW[[#This Row],[Village  Name]],SiteDB6[[Site Name]:[Location Type 1]],9,FALSE)</f>
        <v>Village</v>
      </c>
      <c r="BV281" s="782" t="str">
        <f>VLOOKUP(WWWW[[#This Row],[Village  Name]],SiteDB6[[Site Name]:[Type of Accommodation]],10,FALSE)</f>
        <v>Village</v>
      </c>
      <c r="BW281" s="782">
        <f>VLOOKUP(WWWW[[#This Row],[Village  Name]],SiteDB6[[Site Name]:[Ethnic or GCA/NGCA]],11,FALSE)</f>
        <v>0</v>
      </c>
      <c r="BX281" s="782">
        <f>VLOOKUP(WWWW[[#This Row],[Village  Name]],SiteDB6[[Site Name]:[Lat]],12,FALSE)</f>
        <v>20.4226398468018</v>
      </c>
      <c r="BY281" s="782">
        <f>VLOOKUP(WWWW[[#This Row],[Village  Name]],SiteDB6[[Site Name]:[Long]],13,FALSE)</f>
        <v>93.307182312011705</v>
      </c>
      <c r="BZ281" s="782">
        <f>VLOOKUP(WWWW[[#This Row],[Village  Name]],SiteDB6[[Site Name]:[Pcode]],3,FALSE)</f>
        <v>197028</v>
      </c>
      <c r="CA281" s="782" t="str">
        <f t="shared" si="18"/>
        <v>Covered</v>
      </c>
      <c r="CB281" s="783"/>
    </row>
    <row r="282" spans="1:80">
      <c r="A282" s="774" t="s">
        <v>3199</v>
      </c>
      <c r="B282" s="727" t="s">
        <v>314</v>
      </c>
      <c r="C282" s="728" t="s">
        <v>314</v>
      </c>
      <c r="D282" s="728" t="s">
        <v>307</v>
      </c>
      <c r="E282" s="728" t="s">
        <v>2648</v>
      </c>
      <c r="F282" s="728" t="s">
        <v>312</v>
      </c>
      <c r="G282" s="644" t="str">
        <f>VLOOKUP(WWWW[[#This Row],[Village  Name]],SiteDB6[[Site Name]:[Location Type]],8,FALSE)</f>
        <v>Village</v>
      </c>
      <c r="H282" s="728" t="s">
        <v>2601</v>
      </c>
      <c r="I282" s="775">
        <v>90</v>
      </c>
      <c r="J282" s="775">
        <v>414</v>
      </c>
      <c r="K282" s="784">
        <v>42736</v>
      </c>
      <c r="L282" s="785">
        <v>44551</v>
      </c>
      <c r="M282" s="775"/>
      <c r="N282" s="775"/>
      <c r="O282" s="773">
        <v>0</v>
      </c>
      <c r="P282" s="775">
        <v>9</v>
      </c>
      <c r="Q282" s="775">
        <v>1</v>
      </c>
      <c r="R282" s="775"/>
      <c r="S282" s="775"/>
      <c r="T282" s="775"/>
      <c r="U282" s="776"/>
      <c r="V282" s="775">
        <v>12</v>
      </c>
      <c r="W282" s="775" t="s">
        <v>130</v>
      </c>
      <c r="X282" s="775"/>
      <c r="Y282" s="775"/>
      <c r="Z282" s="775"/>
      <c r="AA282" s="775"/>
      <c r="AB282" s="775"/>
      <c r="AC282" s="776"/>
      <c r="AD282" s="775"/>
      <c r="AE282" s="775"/>
      <c r="AF282" s="775"/>
      <c r="AG282" s="775"/>
      <c r="AH282" s="775"/>
      <c r="AI282" s="775"/>
      <c r="AJ282" s="773"/>
      <c r="AK282" s="775"/>
      <c r="AL282" s="773"/>
      <c r="AM282" s="773"/>
      <c r="AN282" s="776"/>
      <c r="AO282" s="769"/>
      <c r="AP282" s="769"/>
      <c r="AQ282" s="773"/>
      <c r="AR282" s="773"/>
      <c r="AS282" s="773"/>
      <c r="AT28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82" s="779">
        <f>WWWW[[#This Row],[%Equitable and continuous access to sufficient quantity of safe drinking water]]*WWWW[[#This Row],[Total PoP ]]</f>
        <v>414</v>
      </c>
      <c r="AV28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82" s="779">
        <f>WWWW[[#This Row],[% Access to unimproved water points]]*WWWW[[#This Row],[Total PoP ]]</f>
        <v>414</v>
      </c>
      <c r="AX28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8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414</v>
      </c>
      <c r="AZ282" s="779">
        <f>WWWW[[#This Row],[HRP1]]/250</f>
        <v>1.6559999999999999</v>
      </c>
      <c r="BA282" s="780">
        <f>1-WWWW[[#This Row],[% Equitable and continuous access to sufficient quantity of domestic water]]</f>
        <v>0</v>
      </c>
      <c r="BB282" s="779">
        <f>WWWW[[#This Row],[%equitable and continuous access to sufficient quantity of safe drinking and domestic water''s GAP]]*WWWW[[#This Row],[Total PoP ]]</f>
        <v>0</v>
      </c>
      <c r="BC282" s="781">
        <f>IF(WWWW[[#This Row],[Total required water points]]-WWWW[[#This Row],['#Water points coverage]]&lt;0,0,WWWW[[#This Row],[Total required water points]]-WWWW[[#This Row],['#Water points coverage]])</f>
        <v>0.34400000000000008</v>
      </c>
      <c r="BD282" s="781">
        <f>ROUND(IF(WWWW[[#This Row],[Total PoP ]]&lt;250,1,WWWW[[#This Row],[Total PoP ]]/250),0)</f>
        <v>2</v>
      </c>
      <c r="BE28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0.17391304347826086</v>
      </c>
      <c r="BF282" s="779">
        <f>WWWW[[#This Row],[% people access to functioning Latrine]]*WWWW[[#This Row],[Total PoP ]]</f>
        <v>72</v>
      </c>
      <c r="BG282" s="781">
        <f>WWWW[[#This Row],['#_of_Functioning_latrines_in_school]]*50</f>
        <v>0</v>
      </c>
      <c r="BH282" s="781">
        <f>ROUND((WWWW[[#This Row],[Total PoP ]]/6),0)</f>
        <v>69</v>
      </c>
      <c r="BI282" s="781">
        <f>IF(WWWW[[#This Row],[Total required Latrines]]-(WWWW[[#This Row],['#_of_sanitary_fly-proof_HH_latrines]])&lt;0,0,WWWW[[#This Row],[Total required Latrines]]-(WWWW[[#This Row],['#_of_sanitary_fly-proof_HH_latrines]]))</f>
        <v>57</v>
      </c>
      <c r="BJ282" s="778">
        <f>1-WWWW[[#This Row],[% people access to functioning Latrine]]</f>
        <v>0.82608695652173914</v>
      </c>
      <c r="BK28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82" s="772">
        <f>IF(WWWW[[#This Row],['#_of_functional_handwashing_facilities_at_HH_level]]*6&gt;WWWW[[#This Row],[Total PoP ]],WWWW[[#This Row],[Total PoP ]],WWWW[[#This Row],['#_of_functional_handwashing_facilities_at_HH_level]]*6)</f>
        <v>0</v>
      </c>
      <c r="BM282" s="781">
        <f>IF(WWWW[[#This Row],['# people reached by regular dedicated hygiene promotion]]&gt;WWWW[[#This Row],['# People received regular supply of hygiene items]],WWWW[[#This Row],['# people reached by regular dedicated hygiene promotion]],WWWW[[#This Row],['# People received regular supply of hygiene items]])</f>
        <v>0</v>
      </c>
      <c r="BN282" s="780">
        <f>IF(WWWW[[#This Row],[HRP3]]/WWWW[[#This Row],[Total PoP ]]&gt;100%,100%,WWWW[[#This Row],[HRP3]]/WWWW[[#This Row],[Total PoP ]])</f>
        <v>0</v>
      </c>
      <c r="BO282" s="778">
        <f>1-WWWW[[#This Row],[Hygiene Coverage%]]</f>
        <v>1</v>
      </c>
      <c r="BP282" s="777">
        <f>WWWW[[#This Row],['# people reached by regular dedicated hygiene promotion]]/WWWW[[#This Row],[Total PoP ]]</f>
        <v>0</v>
      </c>
      <c r="BQ28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82" s="770">
        <f>WWWW[[#This Row],['#_of_affected_women_and_girls_receiving_a_sufficient_quantity_of_sanitary_pads]]</f>
        <v>0</v>
      </c>
      <c r="BS282" s="773">
        <f>IF(WWWW[[#This Row],['# People with access to soap]]&gt;WWWW[[#This Row],['# People with access to Sanity Pads]],WWWW[[#This Row],['# People with access to soap]],WWWW[[#This Row],['# People with access to Sanity Pads]])</f>
        <v>0</v>
      </c>
      <c r="BT282" s="772" t="str">
        <f>IF(OR(WWWW[[#This Row],['#of students in school]]="",WWWW[[#This Row],['#of students in school]]=0),"No","Yes")</f>
        <v>No</v>
      </c>
      <c r="BU282" s="782" t="str">
        <f>VLOOKUP(WWWW[[#This Row],[Village  Name]],SiteDB6[[Site Name]:[Location Type 1]],9,FALSE)</f>
        <v>Village</v>
      </c>
      <c r="BV282" s="782" t="str">
        <f>VLOOKUP(WWWW[[#This Row],[Village  Name]],SiteDB6[[Site Name]:[Type of Accommodation]],10,FALSE)</f>
        <v>Village</v>
      </c>
      <c r="BW282" s="782">
        <f>VLOOKUP(WWWW[[#This Row],[Village  Name]],SiteDB6[[Site Name]:[Ethnic or GCA/NGCA]],11,FALSE)</f>
        <v>0</v>
      </c>
      <c r="BX282" s="782">
        <f>VLOOKUP(WWWW[[#This Row],[Village  Name]],SiteDB6[[Site Name]:[Lat]],12,FALSE)</f>
        <v>20.437318801879901</v>
      </c>
      <c r="BY282" s="782">
        <f>VLOOKUP(WWWW[[#This Row],[Village  Name]],SiteDB6[[Site Name]:[Long]],13,FALSE)</f>
        <v>93.302917480468807</v>
      </c>
      <c r="BZ282" s="782">
        <f>VLOOKUP(WWWW[[#This Row],[Village  Name]],SiteDB6[[Site Name]:[Pcode]],3,FALSE)</f>
        <v>197034</v>
      </c>
      <c r="CA282" s="782" t="str">
        <f t="shared" si="18"/>
        <v>Covered</v>
      </c>
      <c r="CB282" s="783"/>
    </row>
    <row r="283" spans="1:80">
      <c r="A283" s="774" t="s">
        <v>3199</v>
      </c>
      <c r="B283" s="727" t="s">
        <v>314</v>
      </c>
      <c r="C283" s="728" t="s">
        <v>314</v>
      </c>
      <c r="D283" s="728" t="s">
        <v>307</v>
      </c>
      <c r="E283" s="728" t="s">
        <v>2648</v>
      </c>
      <c r="F283" s="728" t="s">
        <v>312</v>
      </c>
      <c r="G283" s="644" t="str">
        <f>VLOOKUP(WWWW[[#This Row],[Village  Name]],SiteDB6[[Site Name]:[Location Type]],8,FALSE)</f>
        <v>Village</v>
      </c>
      <c r="H283" s="728" t="s">
        <v>2602</v>
      </c>
      <c r="I283" s="775">
        <v>78</v>
      </c>
      <c r="J283" s="775">
        <v>308</v>
      </c>
      <c r="K283" s="784">
        <v>42736</v>
      </c>
      <c r="L283" s="785">
        <v>44551</v>
      </c>
      <c r="M283" s="775"/>
      <c r="N283" s="775"/>
      <c r="O283" s="773">
        <v>4</v>
      </c>
      <c r="P283" s="775">
        <v>46</v>
      </c>
      <c r="Q283" s="775">
        <v>2</v>
      </c>
      <c r="R283" s="775"/>
      <c r="S283" s="775"/>
      <c r="T283" s="775"/>
      <c r="U283" s="776"/>
      <c r="V283" s="775">
        <v>54</v>
      </c>
      <c r="W283" s="775" t="s">
        <v>130</v>
      </c>
      <c r="X283" s="775"/>
      <c r="Y283" s="775"/>
      <c r="Z283" s="775"/>
      <c r="AA283" s="775"/>
      <c r="AB283" s="775"/>
      <c r="AC283" s="776"/>
      <c r="AD283" s="775"/>
      <c r="AE283" s="775"/>
      <c r="AF283" s="775"/>
      <c r="AG283" s="775"/>
      <c r="AH283" s="775"/>
      <c r="AI283" s="775"/>
      <c r="AJ283" s="773"/>
      <c r="AK283" s="775"/>
      <c r="AL283" s="773"/>
      <c r="AM283" s="773"/>
      <c r="AN283" s="776"/>
      <c r="AO283" s="769"/>
      <c r="AP283" s="769"/>
      <c r="AQ283" s="773"/>
      <c r="AR283" s="773"/>
      <c r="AS283" s="773"/>
      <c r="AT28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83" s="779">
        <f>WWWW[[#This Row],[%Equitable and continuous access to sufficient quantity of safe drinking water]]*WWWW[[#This Row],[Total PoP ]]</f>
        <v>308</v>
      </c>
      <c r="AV28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83" s="779">
        <f>WWWW[[#This Row],[% Access to unimproved water points]]*WWWW[[#This Row],[Total PoP ]]</f>
        <v>308</v>
      </c>
      <c r="AX28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8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308</v>
      </c>
      <c r="AZ283" s="779">
        <f>WWWW[[#This Row],[HRP1]]/250</f>
        <v>1.232</v>
      </c>
      <c r="BA283" s="780">
        <f>1-WWWW[[#This Row],[% Equitable and continuous access to sufficient quantity of domestic water]]</f>
        <v>0</v>
      </c>
      <c r="BB283" s="779">
        <f>WWWW[[#This Row],[%equitable and continuous access to sufficient quantity of safe drinking and domestic water''s GAP]]*WWWW[[#This Row],[Total PoP ]]</f>
        <v>0</v>
      </c>
      <c r="BC283" s="781">
        <f>IF(WWWW[[#This Row],[Total required water points]]-WWWW[[#This Row],['#Water points coverage]]&lt;0,0,WWWW[[#This Row],[Total required water points]]-WWWW[[#This Row],['#Water points coverage]])</f>
        <v>0</v>
      </c>
      <c r="BD283" s="781">
        <f>ROUND(IF(WWWW[[#This Row],[Total PoP ]]&lt;250,1,WWWW[[#This Row],[Total PoP ]]/250),0)</f>
        <v>1</v>
      </c>
      <c r="BE28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83" s="779">
        <f>WWWW[[#This Row],[% people access to functioning Latrine]]*WWWW[[#This Row],[Total PoP ]]</f>
        <v>308</v>
      </c>
      <c r="BG283" s="781">
        <f>WWWW[[#This Row],['#_of_Functioning_latrines_in_school]]*50</f>
        <v>0</v>
      </c>
      <c r="BH283" s="781">
        <f>ROUND((WWWW[[#This Row],[Total PoP ]]/6),0)</f>
        <v>51</v>
      </c>
      <c r="BI283" s="781">
        <f>IF(WWWW[[#This Row],[Total required Latrines]]-(WWWW[[#This Row],['#_of_sanitary_fly-proof_HH_latrines]])&lt;0,0,WWWW[[#This Row],[Total required Latrines]]-(WWWW[[#This Row],['#_of_sanitary_fly-proof_HH_latrines]]))</f>
        <v>0</v>
      </c>
      <c r="BJ283" s="778">
        <f>1-WWWW[[#This Row],[% people access to functioning Latrine]]</f>
        <v>0</v>
      </c>
      <c r="BK28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83" s="772">
        <f>IF(WWWW[[#This Row],['#_of_functional_handwashing_facilities_at_HH_level]]*6&gt;WWWW[[#This Row],[Total PoP ]],WWWW[[#This Row],[Total PoP ]],WWWW[[#This Row],['#_of_functional_handwashing_facilities_at_HH_level]]*6)</f>
        <v>0</v>
      </c>
      <c r="BM283" s="781">
        <f>IF(WWWW[[#This Row],['# people reached by regular dedicated hygiene promotion]]&gt;WWWW[[#This Row],['# People received regular supply of hygiene items]],WWWW[[#This Row],['# people reached by regular dedicated hygiene promotion]],WWWW[[#This Row],['# People received regular supply of hygiene items]])</f>
        <v>0</v>
      </c>
      <c r="BN283" s="780">
        <f>IF(WWWW[[#This Row],[HRP3]]/WWWW[[#This Row],[Total PoP ]]&gt;100%,100%,WWWW[[#This Row],[HRP3]]/WWWW[[#This Row],[Total PoP ]])</f>
        <v>0</v>
      </c>
      <c r="BO283" s="778">
        <f>1-WWWW[[#This Row],[Hygiene Coverage%]]</f>
        <v>1</v>
      </c>
      <c r="BP283" s="777">
        <f>WWWW[[#This Row],['# people reached by regular dedicated hygiene promotion]]/WWWW[[#This Row],[Total PoP ]]</f>
        <v>0</v>
      </c>
      <c r="BQ28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83" s="770">
        <f>WWWW[[#This Row],['#_of_affected_women_and_girls_receiving_a_sufficient_quantity_of_sanitary_pads]]</f>
        <v>0</v>
      </c>
      <c r="BS283" s="773">
        <f>IF(WWWW[[#This Row],['# People with access to soap]]&gt;WWWW[[#This Row],['# People with access to Sanity Pads]],WWWW[[#This Row],['# People with access to soap]],WWWW[[#This Row],['# People with access to Sanity Pads]])</f>
        <v>0</v>
      </c>
      <c r="BT283" s="772" t="str">
        <f>IF(OR(WWWW[[#This Row],['#of students in school]]="",WWWW[[#This Row],['#of students in school]]=0),"No","Yes")</f>
        <v>No</v>
      </c>
      <c r="BU283" s="782" t="str">
        <f>VLOOKUP(WWWW[[#This Row],[Village  Name]],SiteDB6[[Site Name]:[Location Type 1]],9,FALSE)</f>
        <v>Village</v>
      </c>
      <c r="BV283" s="782" t="str">
        <f>VLOOKUP(WWWW[[#This Row],[Village  Name]],SiteDB6[[Site Name]:[Type of Accommodation]],10,FALSE)</f>
        <v>Village</v>
      </c>
      <c r="BW283" s="782">
        <f>VLOOKUP(WWWW[[#This Row],[Village  Name]],SiteDB6[[Site Name]:[Ethnic or GCA/NGCA]],11,FALSE)</f>
        <v>0</v>
      </c>
      <c r="BX283" s="782">
        <f>VLOOKUP(WWWW[[#This Row],[Village  Name]],SiteDB6[[Site Name]:[Lat]],12,FALSE)</f>
        <v>20.442419052123999</v>
      </c>
      <c r="BY283" s="782">
        <f>VLOOKUP(WWWW[[#This Row],[Village  Name]],SiteDB6[[Site Name]:[Long]],13,FALSE)</f>
        <v>93.300033569335895</v>
      </c>
      <c r="BZ283" s="782">
        <f>VLOOKUP(WWWW[[#This Row],[Village  Name]],SiteDB6[[Site Name]:[Pcode]],3,FALSE)</f>
        <v>197036</v>
      </c>
      <c r="CA283" s="782" t="str">
        <f t="shared" si="18"/>
        <v>Covered</v>
      </c>
      <c r="CB283" s="783"/>
    </row>
    <row r="284" spans="1:80">
      <c r="A284" s="774" t="s">
        <v>3199</v>
      </c>
      <c r="B284" s="727" t="s">
        <v>314</v>
      </c>
      <c r="C284" s="728" t="s">
        <v>314</v>
      </c>
      <c r="D284" s="728" t="s">
        <v>307</v>
      </c>
      <c r="E284" s="728" t="s">
        <v>2648</v>
      </c>
      <c r="F284" s="728" t="s">
        <v>312</v>
      </c>
      <c r="G284" s="644" t="str">
        <f>VLOOKUP(WWWW[[#This Row],[Village  Name]],SiteDB6[[Site Name]:[Location Type]],8,FALSE)</f>
        <v>Village</v>
      </c>
      <c r="H284" s="728" t="s">
        <v>2603</v>
      </c>
      <c r="I284" s="775">
        <v>85</v>
      </c>
      <c r="J284" s="775">
        <v>413</v>
      </c>
      <c r="K284" s="784">
        <v>42736</v>
      </c>
      <c r="L284" s="785">
        <v>44551</v>
      </c>
      <c r="M284" s="775"/>
      <c r="N284" s="775"/>
      <c r="O284" s="773">
        <v>0</v>
      </c>
      <c r="P284" s="775">
        <v>23</v>
      </c>
      <c r="Q284" s="775">
        <v>1</v>
      </c>
      <c r="R284" s="775"/>
      <c r="S284" s="775"/>
      <c r="T284" s="775"/>
      <c r="U284" s="776"/>
      <c r="V284" s="775">
        <v>27</v>
      </c>
      <c r="W284" s="775" t="s">
        <v>130</v>
      </c>
      <c r="X284" s="775"/>
      <c r="Y284" s="775"/>
      <c r="Z284" s="775"/>
      <c r="AA284" s="775"/>
      <c r="AB284" s="775"/>
      <c r="AC284" s="776"/>
      <c r="AD284" s="775"/>
      <c r="AE284" s="775"/>
      <c r="AF284" s="775"/>
      <c r="AG284" s="775"/>
      <c r="AH284" s="775"/>
      <c r="AI284" s="775"/>
      <c r="AJ284" s="773"/>
      <c r="AK284" s="775"/>
      <c r="AL284" s="773"/>
      <c r="AM284" s="773"/>
      <c r="AN284" s="776"/>
      <c r="AO284" s="769"/>
      <c r="AP284" s="769"/>
      <c r="AQ284" s="773"/>
      <c r="AR284" s="773"/>
      <c r="AS284" s="773"/>
      <c r="AT28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84" s="779">
        <f>WWWW[[#This Row],[%Equitable and continuous access to sufficient quantity of safe drinking water]]*WWWW[[#This Row],[Total PoP ]]</f>
        <v>413</v>
      </c>
      <c r="AV28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84" s="779">
        <f>WWWW[[#This Row],[% Access to unimproved water points]]*WWWW[[#This Row],[Total PoP ]]</f>
        <v>413</v>
      </c>
      <c r="AX28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8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413</v>
      </c>
      <c r="AZ284" s="779">
        <f>WWWW[[#This Row],[HRP1]]/250</f>
        <v>1.6519999999999999</v>
      </c>
      <c r="BA284" s="780">
        <f>1-WWWW[[#This Row],[% Equitable and continuous access to sufficient quantity of domestic water]]</f>
        <v>0</v>
      </c>
      <c r="BB284" s="779">
        <f>WWWW[[#This Row],[%equitable and continuous access to sufficient quantity of safe drinking and domestic water''s GAP]]*WWWW[[#This Row],[Total PoP ]]</f>
        <v>0</v>
      </c>
      <c r="BC284" s="781">
        <f>IF(WWWW[[#This Row],[Total required water points]]-WWWW[[#This Row],['#Water points coverage]]&lt;0,0,WWWW[[#This Row],[Total required water points]]-WWWW[[#This Row],['#Water points coverage]])</f>
        <v>0.34800000000000009</v>
      </c>
      <c r="BD284" s="781">
        <f>ROUND(IF(WWWW[[#This Row],[Total PoP ]]&lt;250,1,WWWW[[#This Row],[Total PoP ]]/250),0)</f>
        <v>2</v>
      </c>
      <c r="BE28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0.39225181598062953</v>
      </c>
      <c r="BF284" s="779">
        <f>WWWW[[#This Row],[% people access to functioning Latrine]]*WWWW[[#This Row],[Total PoP ]]</f>
        <v>162</v>
      </c>
      <c r="BG284" s="781">
        <f>WWWW[[#This Row],['#_of_Functioning_latrines_in_school]]*50</f>
        <v>0</v>
      </c>
      <c r="BH284" s="781">
        <f>ROUND((WWWW[[#This Row],[Total PoP ]]/6),0)</f>
        <v>69</v>
      </c>
      <c r="BI284" s="781">
        <f>IF(WWWW[[#This Row],[Total required Latrines]]-(WWWW[[#This Row],['#_of_sanitary_fly-proof_HH_latrines]])&lt;0,0,WWWW[[#This Row],[Total required Latrines]]-(WWWW[[#This Row],['#_of_sanitary_fly-proof_HH_latrines]]))</f>
        <v>42</v>
      </c>
      <c r="BJ284" s="778">
        <f>1-WWWW[[#This Row],[% people access to functioning Latrine]]</f>
        <v>0.60774818401937047</v>
      </c>
      <c r="BK28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84" s="772">
        <f>IF(WWWW[[#This Row],['#_of_functional_handwashing_facilities_at_HH_level]]*6&gt;WWWW[[#This Row],[Total PoP ]],WWWW[[#This Row],[Total PoP ]],WWWW[[#This Row],['#_of_functional_handwashing_facilities_at_HH_level]]*6)</f>
        <v>0</v>
      </c>
      <c r="BM284" s="781">
        <f>IF(WWWW[[#This Row],['# people reached by regular dedicated hygiene promotion]]&gt;WWWW[[#This Row],['# People received regular supply of hygiene items]],WWWW[[#This Row],['# people reached by regular dedicated hygiene promotion]],WWWW[[#This Row],['# People received regular supply of hygiene items]])</f>
        <v>0</v>
      </c>
      <c r="BN284" s="780">
        <f>IF(WWWW[[#This Row],[HRP3]]/WWWW[[#This Row],[Total PoP ]]&gt;100%,100%,WWWW[[#This Row],[HRP3]]/WWWW[[#This Row],[Total PoP ]])</f>
        <v>0</v>
      </c>
      <c r="BO284" s="778">
        <f>1-WWWW[[#This Row],[Hygiene Coverage%]]</f>
        <v>1</v>
      </c>
      <c r="BP284" s="777">
        <f>WWWW[[#This Row],['# people reached by regular dedicated hygiene promotion]]/WWWW[[#This Row],[Total PoP ]]</f>
        <v>0</v>
      </c>
      <c r="BQ28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84" s="770">
        <f>WWWW[[#This Row],['#_of_affected_women_and_girls_receiving_a_sufficient_quantity_of_sanitary_pads]]</f>
        <v>0</v>
      </c>
      <c r="BS284" s="773">
        <f>IF(WWWW[[#This Row],['# People with access to soap]]&gt;WWWW[[#This Row],['# People with access to Sanity Pads]],WWWW[[#This Row],['# People with access to soap]],WWWW[[#This Row],['# People with access to Sanity Pads]])</f>
        <v>0</v>
      </c>
      <c r="BT284" s="772" t="str">
        <f>IF(OR(WWWW[[#This Row],['#of students in school]]="",WWWW[[#This Row],['#of students in school]]=0),"No","Yes")</f>
        <v>No</v>
      </c>
      <c r="BU284" s="782" t="str">
        <f>VLOOKUP(WWWW[[#This Row],[Village  Name]],SiteDB6[[Site Name]:[Location Type 1]],9,FALSE)</f>
        <v>Village</v>
      </c>
      <c r="BV284" s="782" t="str">
        <f>VLOOKUP(WWWW[[#This Row],[Village  Name]],SiteDB6[[Site Name]:[Type of Accommodation]],10,FALSE)</f>
        <v>Village</v>
      </c>
      <c r="BW284" s="782">
        <f>VLOOKUP(WWWW[[#This Row],[Village  Name]],SiteDB6[[Site Name]:[Ethnic or GCA/NGCA]],11,FALSE)</f>
        <v>0</v>
      </c>
      <c r="BX284" s="782">
        <f>VLOOKUP(WWWW[[#This Row],[Village  Name]],SiteDB6[[Site Name]:[Lat]],12,FALSE)</f>
        <v>20.430749893188501</v>
      </c>
      <c r="BY284" s="782">
        <f>VLOOKUP(WWWW[[#This Row],[Village  Name]],SiteDB6[[Site Name]:[Long]],13,FALSE)</f>
        <v>93.304450988769503</v>
      </c>
      <c r="BZ284" s="782">
        <f>VLOOKUP(WWWW[[#This Row],[Village  Name]],SiteDB6[[Site Name]:[Pcode]],3,FALSE)</f>
        <v>197033</v>
      </c>
      <c r="CA284" s="782" t="str">
        <f t="shared" si="18"/>
        <v>Covered</v>
      </c>
      <c r="CB284" s="783"/>
    </row>
    <row r="285" spans="1:80">
      <c r="A285" s="774" t="s">
        <v>3199</v>
      </c>
      <c r="B285" s="727" t="s">
        <v>314</v>
      </c>
      <c r="C285" s="728" t="s">
        <v>314</v>
      </c>
      <c r="D285" s="728" t="s">
        <v>307</v>
      </c>
      <c r="E285" s="728" t="s">
        <v>2648</v>
      </c>
      <c r="F285" s="728" t="s">
        <v>312</v>
      </c>
      <c r="G285" s="644" t="str">
        <f>VLOOKUP(WWWW[[#This Row],[Village  Name]],SiteDB6[[Site Name]:[Location Type]],8,FALSE)</f>
        <v>Village</v>
      </c>
      <c r="H285" s="728" t="s">
        <v>2604</v>
      </c>
      <c r="I285" s="775">
        <v>353</v>
      </c>
      <c r="J285" s="775">
        <v>2111</v>
      </c>
      <c r="K285" s="784">
        <v>42736</v>
      </c>
      <c r="L285" s="785">
        <v>44551</v>
      </c>
      <c r="M285" s="775"/>
      <c r="N285" s="775"/>
      <c r="O285" s="773">
        <v>3</v>
      </c>
      <c r="P285" s="775">
        <v>87</v>
      </c>
      <c r="Q285" s="775">
        <v>2</v>
      </c>
      <c r="R285" s="775"/>
      <c r="S285" s="775"/>
      <c r="T285" s="775"/>
      <c r="U285" s="776"/>
      <c r="V285" s="775">
        <v>83</v>
      </c>
      <c r="W285" s="775" t="s">
        <v>130</v>
      </c>
      <c r="X285" s="775"/>
      <c r="Y285" s="775"/>
      <c r="Z285" s="775"/>
      <c r="AA285" s="775"/>
      <c r="AB285" s="775"/>
      <c r="AC285" s="776"/>
      <c r="AD285" s="775"/>
      <c r="AE285" s="775"/>
      <c r="AF285" s="775"/>
      <c r="AG285" s="775"/>
      <c r="AH285" s="775"/>
      <c r="AI285" s="775"/>
      <c r="AJ285" s="773"/>
      <c r="AK285" s="775"/>
      <c r="AL285" s="773"/>
      <c r="AM285" s="773"/>
      <c r="AN285" s="776"/>
      <c r="AO285" s="769"/>
      <c r="AP285" s="769"/>
      <c r="AQ285" s="773"/>
      <c r="AR285" s="773"/>
      <c r="AS285" s="773"/>
      <c r="AT28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85" s="779">
        <f>WWWW[[#This Row],[%Equitable and continuous access to sufficient quantity of safe drinking water]]*WWWW[[#This Row],[Total PoP ]]</f>
        <v>2111</v>
      </c>
      <c r="AV28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85" s="779">
        <f>WWWW[[#This Row],[% Access to unimproved water points]]*WWWW[[#This Row],[Total PoP ]]</f>
        <v>2111</v>
      </c>
      <c r="AX28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8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2111</v>
      </c>
      <c r="AZ285" s="779">
        <f>WWWW[[#This Row],[HRP1]]/250</f>
        <v>8.4440000000000008</v>
      </c>
      <c r="BA285" s="780">
        <f>1-WWWW[[#This Row],[% Equitable and continuous access to sufficient quantity of domestic water]]</f>
        <v>0</v>
      </c>
      <c r="BB285" s="779">
        <f>WWWW[[#This Row],[%equitable and continuous access to sufficient quantity of safe drinking and domestic water''s GAP]]*WWWW[[#This Row],[Total PoP ]]</f>
        <v>0</v>
      </c>
      <c r="BC285" s="781">
        <f>IF(WWWW[[#This Row],[Total required water points]]-WWWW[[#This Row],['#Water points coverage]]&lt;0,0,WWWW[[#This Row],[Total required water points]]-WWWW[[#This Row],['#Water points coverage]])</f>
        <v>0</v>
      </c>
      <c r="BD285" s="781">
        <f>ROUND(IF(WWWW[[#This Row],[Total PoP ]]&lt;250,1,WWWW[[#This Row],[Total PoP ]]/250),0)</f>
        <v>8</v>
      </c>
      <c r="BE28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0.23590715300805307</v>
      </c>
      <c r="BF285" s="779">
        <f>WWWW[[#This Row],[% people access to functioning Latrine]]*WWWW[[#This Row],[Total PoP ]]</f>
        <v>498</v>
      </c>
      <c r="BG285" s="781">
        <f>WWWW[[#This Row],['#_of_Functioning_latrines_in_school]]*50</f>
        <v>0</v>
      </c>
      <c r="BH285" s="781">
        <f>ROUND((WWWW[[#This Row],[Total PoP ]]/6),0)</f>
        <v>352</v>
      </c>
      <c r="BI285" s="781">
        <f>IF(WWWW[[#This Row],[Total required Latrines]]-(WWWW[[#This Row],['#_of_sanitary_fly-proof_HH_latrines]])&lt;0,0,WWWW[[#This Row],[Total required Latrines]]-(WWWW[[#This Row],['#_of_sanitary_fly-proof_HH_latrines]]))</f>
        <v>269</v>
      </c>
      <c r="BJ285" s="778">
        <f>1-WWWW[[#This Row],[% people access to functioning Latrine]]</f>
        <v>0.76409284699194691</v>
      </c>
      <c r="BK28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85" s="772">
        <f>IF(WWWW[[#This Row],['#_of_functional_handwashing_facilities_at_HH_level]]*6&gt;WWWW[[#This Row],[Total PoP ]],WWWW[[#This Row],[Total PoP ]],WWWW[[#This Row],['#_of_functional_handwashing_facilities_at_HH_level]]*6)</f>
        <v>0</v>
      </c>
      <c r="BM285" s="781">
        <f>IF(WWWW[[#This Row],['# people reached by regular dedicated hygiene promotion]]&gt;WWWW[[#This Row],['# People received regular supply of hygiene items]],WWWW[[#This Row],['# people reached by regular dedicated hygiene promotion]],WWWW[[#This Row],['# People received regular supply of hygiene items]])</f>
        <v>0</v>
      </c>
      <c r="BN285" s="780">
        <f>IF(WWWW[[#This Row],[HRP3]]/WWWW[[#This Row],[Total PoP ]]&gt;100%,100%,WWWW[[#This Row],[HRP3]]/WWWW[[#This Row],[Total PoP ]])</f>
        <v>0</v>
      </c>
      <c r="BO285" s="778">
        <f>1-WWWW[[#This Row],[Hygiene Coverage%]]</f>
        <v>1</v>
      </c>
      <c r="BP285" s="777">
        <f>WWWW[[#This Row],['# people reached by regular dedicated hygiene promotion]]/WWWW[[#This Row],[Total PoP ]]</f>
        <v>0</v>
      </c>
      <c r="BQ28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85" s="770">
        <f>WWWW[[#This Row],['#_of_affected_women_and_girls_receiving_a_sufficient_quantity_of_sanitary_pads]]</f>
        <v>0</v>
      </c>
      <c r="BS285" s="773">
        <f>IF(WWWW[[#This Row],['# People with access to soap]]&gt;WWWW[[#This Row],['# People with access to Sanity Pads]],WWWW[[#This Row],['# People with access to soap]],WWWW[[#This Row],['# People with access to Sanity Pads]])</f>
        <v>0</v>
      </c>
      <c r="BT285" s="772" t="str">
        <f>IF(OR(WWWW[[#This Row],['#of students in school]]="",WWWW[[#This Row],['#of students in school]]=0),"No","Yes")</f>
        <v>No</v>
      </c>
      <c r="BU285" s="782" t="str">
        <f>VLOOKUP(WWWW[[#This Row],[Village  Name]],SiteDB6[[Site Name]:[Location Type 1]],9,FALSE)</f>
        <v>Village</v>
      </c>
      <c r="BV285" s="782" t="str">
        <f>VLOOKUP(WWWW[[#This Row],[Village  Name]],SiteDB6[[Site Name]:[Type of Accommodation]],10,FALSE)</f>
        <v>Village</v>
      </c>
      <c r="BW285" s="782">
        <f>VLOOKUP(WWWW[[#This Row],[Village  Name]],SiteDB6[[Site Name]:[Ethnic or GCA/NGCA]],11,FALSE)</f>
        <v>0</v>
      </c>
      <c r="BX285" s="782">
        <f>VLOOKUP(WWWW[[#This Row],[Village  Name]],SiteDB6[[Site Name]:[Lat]],12,FALSE)</f>
        <v>20.448799133300799</v>
      </c>
      <c r="BY285" s="782">
        <f>VLOOKUP(WWWW[[#This Row],[Village  Name]],SiteDB6[[Site Name]:[Long]],13,FALSE)</f>
        <v>93.300239562988295</v>
      </c>
      <c r="BZ285" s="782">
        <f>VLOOKUP(WWWW[[#This Row],[Village  Name]],SiteDB6[[Site Name]:[Pcode]],3,FALSE)</f>
        <v>197040</v>
      </c>
      <c r="CA285" s="782" t="str">
        <f t="shared" si="18"/>
        <v>Covered</v>
      </c>
      <c r="CB285" s="783"/>
    </row>
    <row r="286" spans="1:80">
      <c r="A286" s="774" t="s">
        <v>3199</v>
      </c>
      <c r="B286" s="727" t="s">
        <v>314</v>
      </c>
      <c r="C286" s="728" t="s">
        <v>314</v>
      </c>
      <c r="D286" s="728" t="s">
        <v>307</v>
      </c>
      <c r="E286" s="728" t="s">
        <v>2648</v>
      </c>
      <c r="F286" s="728" t="s">
        <v>312</v>
      </c>
      <c r="G286" s="644" t="str">
        <f>VLOOKUP(WWWW[[#This Row],[Village  Name]],SiteDB6[[Site Name]:[Location Type]],8,FALSE)</f>
        <v>Village</v>
      </c>
      <c r="H286" s="728" t="s">
        <v>2605</v>
      </c>
      <c r="I286" s="775">
        <v>295</v>
      </c>
      <c r="J286" s="775">
        <v>1698</v>
      </c>
      <c r="K286" s="784">
        <v>42736</v>
      </c>
      <c r="L286" s="785">
        <v>44551</v>
      </c>
      <c r="M286" s="775"/>
      <c r="N286" s="775"/>
      <c r="O286" s="773">
        <v>2</v>
      </c>
      <c r="P286" s="775">
        <v>53</v>
      </c>
      <c r="Q286" s="775">
        <v>2</v>
      </c>
      <c r="R286" s="775"/>
      <c r="S286" s="775"/>
      <c r="T286" s="775"/>
      <c r="U286" s="776"/>
      <c r="V286" s="775">
        <v>77</v>
      </c>
      <c r="W286" s="775" t="s">
        <v>130</v>
      </c>
      <c r="X286" s="775"/>
      <c r="Y286" s="775"/>
      <c r="Z286" s="775"/>
      <c r="AA286" s="775"/>
      <c r="AB286" s="775"/>
      <c r="AC286" s="776"/>
      <c r="AD286" s="775"/>
      <c r="AE286" s="775"/>
      <c r="AF286" s="775"/>
      <c r="AG286" s="775"/>
      <c r="AH286" s="775"/>
      <c r="AI286" s="775"/>
      <c r="AJ286" s="773"/>
      <c r="AK286" s="775"/>
      <c r="AL286" s="773"/>
      <c r="AM286" s="773"/>
      <c r="AN286" s="776"/>
      <c r="AO286" s="769"/>
      <c r="AP286" s="769"/>
      <c r="AQ286" s="773"/>
      <c r="AR286" s="773"/>
      <c r="AS286" s="773"/>
      <c r="AT28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86" s="779">
        <f>WWWW[[#This Row],[%Equitable and continuous access to sufficient quantity of safe drinking water]]*WWWW[[#This Row],[Total PoP ]]</f>
        <v>1698</v>
      </c>
      <c r="AV28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86" s="779">
        <f>WWWW[[#This Row],[% Access to unimproved water points]]*WWWW[[#This Row],[Total PoP ]]</f>
        <v>1698</v>
      </c>
      <c r="AX28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8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1698</v>
      </c>
      <c r="AZ286" s="779">
        <f>WWWW[[#This Row],[HRP1]]/250</f>
        <v>6.7919999999999998</v>
      </c>
      <c r="BA286" s="780">
        <f>1-WWWW[[#This Row],[% Equitable and continuous access to sufficient quantity of domestic water]]</f>
        <v>0</v>
      </c>
      <c r="BB286" s="779">
        <f>WWWW[[#This Row],[%equitable and continuous access to sufficient quantity of safe drinking and domestic water''s GAP]]*WWWW[[#This Row],[Total PoP ]]</f>
        <v>0</v>
      </c>
      <c r="BC286" s="781">
        <f>IF(WWWW[[#This Row],[Total required water points]]-WWWW[[#This Row],['#Water points coverage]]&lt;0,0,WWWW[[#This Row],[Total required water points]]-WWWW[[#This Row],['#Water points coverage]])</f>
        <v>0.20800000000000018</v>
      </c>
      <c r="BD286" s="781">
        <f>ROUND(IF(WWWW[[#This Row],[Total PoP ]]&lt;250,1,WWWW[[#This Row],[Total PoP ]]/250),0)</f>
        <v>7</v>
      </c>
      <c r="BE28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0.27208480565371024</v>
      </c>
      <c r="BF286" s="779">
        <f>WWWW[[#This Row],[% people access to functioning Latrine]]*WWWW[[#This Row],[Total PoP ]]</f>
        <v>462</v>
      </c>
      <c r="BG286" s="781">
        <f>WWWW[[#This Row],['#_of_Functioning_latrines_in_school]]*50</f>
        <v>0</v>
      </c>
      <c r="BH286" s="781">
        <f>ROUND((WWWW[[#This Row],[Total PoP ]]/6),0)</f>
        <v>283</v>
      </c>
      <c r="BI286" s="781">
        <f>IF(WWWW[[#This Row],[Total required Latrines]]-(WWWW[[#This Row],['#_of_sanitary_fly-proof_HH_latrines]])&lt;0,0,WWWW[[#This Row],[Total required Latrines]]-(WWWW[[#This Row],['#_of_sanitary_fly-proof_HH_latrines]]))</f>
        <v>206</v>
      </c>
      <c r="BJ286" s="778">
        <f>1-WWWW[[#This Row],[% people access to functioning Latrine]]</f>
        <v>0.72791519434628982</v>
      </c>
      <c r="BK28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86" s="772">
        <f>IF(WWWW[[#This Row],['#_of_functional_handwashing_facilities_at_HH_level]]*6&gt;WWWW[[#This Row],[Total PoP ]],WWWW[[#This Row],[Total PoP ]],WWWW[[#This Row],['#_of_functional_handwashing_facilities_at_HH_level]]*6)</f>
        <v>0</v>
      </c>
      <c r="BM286" s="781">
        <f>IF(WWWW[[#This Row],['# people reached by regular dedicated hygiene promotion]]&gt;WWWW[[#This Row],['# People received regular supply of hygiene items]],WWWW[[#This Row],['# people reached by regular dedicated hygiene promotion]],WWWW[[#This Row],['# People received regular supply of hygiene items]])</f>
        <v>0</v>
      </c>
      <c r="BN286" s="780">
        <f>IF(WWWW[[#This Row],[HRP3]]/WWWW[[#This Row],[Total PoP ]]&gt;100%,100%,WWWW[[#This Row],[HRP3]]/WWWW[[#This Row],[Total PoP ]])</f>
        <v>0</v>
      </c>
      <c r="BO286" s="778">
        <f>1-WWWW[[#This Row],[Hygiene Coverage%]]</f>
        <v>1</v>
      </c>
      <c r="BP286" s="777">
        <f>WWWW[[#This Row],['# people reached by regular dedicated hygiene promotion]]/WWWW[[#This Row],[Total PoP ]]</f>
        <v>0</v>
      </c>
      <c r="BQ28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86" s="770">
        <f>WWWW[[#This Row],['#_of_affected_women_and_girls_receiving_a_sufficient_quantity_of_sanitary_pads]]</f>
        <v>0</v>
      </c>
      <c r="BS286" s="773">
        <f>IF(WWWW[[#This Row],['# People with access to soap]]&gt;WWWW[[#This Row],['# People with access to Sanity Pads]],WWWW[[#This Row],['# People with access to soap]],WWWW[[#This Row],['# People with access to Sanity Pads]])</f>
        <v>0</v>
      </c>
      <c r="BT286" s="772" t="str">
        <f>IF(OR(WWWW[[#This Row],['#of students in school]]="",WWWW[[#This Row],['#of students in school]]=0),"No","Yes")</f>
        <v>No</v>
      </c>
      <c r="BU286" s="782" t="str">
        <f>VLOOKUP(WWWW[[#This Row],[Village  Name]],SiteDB6[[Site Name]:[Location Type 1]],9,FALSE)</f>
        <v>Village</v>
      </c>
      <c r="BV286" s="782" t="str">
        <f>VLOOKUP(WWWW[[#This Row],[Village  Name]],SiteDB6[[Site Name]:[Type of Accommodation]],10,FALSE)</f>
        <v>Village</v>
      </c>
      <c r="BW286" s="782">
        <f>VLOOKUP(WWWW[[#This Row],[Village  Name]],SiteDB6[[Site Name]:[Ethnic or GCA/NGCA]],11,FALSE)</f>
        <v>0</v>
      </c>
      <c r="BX286" s="782">
        <f>VLOOKUP(WWWW[[#This Row],[Village  Name]],SiteDB6[[Site Name]:[Lat]],12,FALSE)</f>
        <v>20.463020324706999</v>
      </c>
      <c r="BY286" s="782">
        <f>VLOOKUP(WWWW[[#This Row],[Village  Name]],SiteDB6[[Site Name]:[Long]],13,FALSE)</f>
        <v>93.296417236328097</v>
      </c>
      <c r="BZ286" s="782">
        <f>VLOOKUP(WWWW[[#This Row],[Village  Name]],SiteDB6[[Site Name]:[Pcode]],3,FALSE)</f>
        <v>197039</v>
      </c>
      <c r="CA286" s="782" t="str">
        <f t="shared" si="18"/>
        <v>Covered</v>
      </c>
      <c r="CB286" s="783"/>
    </row>
    <row r="287" spans="1:80">
      <c r="A287" s="774" t="s">
        <v>3199</v>
      </c>
      <c r="B287" s="727" t="s">
        <v>314</v>
      </c>
      <c r="C287" s="728" t="s">
        <v>314</v>
      </c>
      <c r="D287" s="728" t="s">
        <v>307</v>
      </c>
      <c r="E287" s="728" t="s">
        <v>2648</v>
      </c>
      <c r="F287" s="728" t="s">
        <v>312</v>
      </c>
      <c r="G287" s="644" t="str">
        <f>VLOOKUP(WWWW[[#This Row],[Village  Name]],SiteDB6[[Site Name]:[Location Type]],8,FALSE)</f>
        <v>Village</v>
      </c>
      <c r="H287" s="728" t="s">
        <v>2606</v>
      </c>
      <c r="I287" s="775">
        <v>140</v>
      </c>
      <c r="J287" s="775">
        <v>985</v>
      </c>
      <c r="K287" s="784">
        <v>42736</v>
      </c>
      <c r="L287" s="785">
        <v>44551</v>
      </c>
      <c r="M287" s="775"/>
      <c r="N287" s="775"/>
      <c r="O287" s="773">
        <v>7</v>
      </c>
      <c r="P287" s="775">
        <v>27</v>
      </c>
      <c r="Q287" s="775">
        <v>3</v>
      </c>
      <c r="R287" s="775"/>
      <c r="S287" s="775"/>
      <c r="T287" s="775"/>
      <c r="U287" s="776"/>
      <c r="V287" s="775">
        <v>65</v>
      </c>
      <c r="W287" s="775" t="s">
        <v>130</v>
      </c>
      <c r="X287" s="775"/>
      <c r="Y287" s="775"/>
      <c r="Z287" s="775"/>
      <c r="AA287" s="775"/>
      <c r="AB287" s="775"/>
      <c r="AC287" s="776"/>
      <c r="AD287" s="775"/>
      <c r="AE287" s="775"/>
      <c r="AF287" s="775"/>
      <c r="AG287" s="775"/>
      <c r="AH287" s="775"/>
      <c r="AI287" s="775"/>
      <c r="AJ287" s="773"/>
      <c r="AK287" s="775"/>
      <c r="AL287" s="773"/>
      <c r="AM287" s="773"/>
      <c r="AN287" s="776"/>
      <c r="AO287" s="769"/>
      <c r="AP287" s="769"/>
      <c r="AQ287" s="773"/>
      <c r="AR287" s="773"/>
      <c r="AS287" s="773"/>
      <c r="AT28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87" s="779">
        <f>WWWW[[#This Row],[%Equitable and continuous access to sufficient quantity of safe drinking water]]*WWWW[[#This Row],[Total PoP ]]</f>
        <v>985</v>
      </c>
      <c r="AV28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87" s="779">
        <f>WWWW[[#This Row],[% Access to unimproved water points]]*WWWW[[#This Row],[Total PoP ]]</f>
        <v>985</v>
      </c>
      <c r="AX28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8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985</v>
      </c>
      <c r="AZ287" s="779">
        <f>WWWW[[#This Row],[HRP1]]/250</f>
        <v>3.94</v>
      </c>
      <c r="BA287" s="780">
        <f>1-WWWW[[#This Row],[% Equitable and continuous access to sufficient quantity of domestic water]]</f>
        <v>0</v>
      </c>
      <c r="BB287" s="779">
        <f>WWWW[[#This Row],[%equitable and continuous access to sufficient quantity of safe drinking and domestic water''s GAP]]*WWWW[[#This Row],[Total PoP ]]</f>
        <v>0</v>
      </c>
      <c r="BC287" s="781">
        <f>IF(WWWW[[#This Row],[Total required water points]]-WWWW[[#This Row],['#Water points coverage]]&lt;0,0,WWWW[[#This Row],[Total required water points]]-WWWW[[#This Row],['#Water points coverage]])</f>
        <v>6.0000000000000053E-2</v>
      </c>
      <c r="BD287" s="781">
        <f>ROUND(IF(WWWW[[#This Row],[Total PoP ]]&lt;250,1,WWWW[[#This Row],[Total PoP ]]/250),0)</f>
        <v>4</v>
      </c>
      <c r="BE28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0.39593908629441626</v>
      </c>
      <c r="BF287" s="779">
        <f>WWWW[[#This Row],[% people access to functioning Latrine]]*WWWW[[#This Row],[Total PoP ]]</f>
        <v>390</v>
      </c>
      <c r="BG287" s="781">
        <f>WWWW[[#This Row],['#_of_Functioning_latrines_in_school]]*50</f>
        <v>0</v>
      </c>
      <c r="BH287" s="781">
        <f>ROUND((WWWW[[#This Row],[Total PoP ]]/6),0)</f>
        <v>164</v>
      </c>
      <c r="BI287" s="781">
        <f>IF(WWWW[[#This Row],[Total required Latrines]]-(WWWW[[#This Row],['#_of_sanitary_fly-proof_HH_latrines]])&lt;0,0,WWWW[[#This Row],[Total required Latrines]]-(WWWW[[#This Row],['#_of_sanitary_fly-proof_HH_latrines]]))</f>
        <v>99</v>
      </c>
      <c r="BJ287" s="778">
        <f>1-WWWW[[#This Row],[% people access to functioning Latrine]]</f>
        <v>0.60406091370558368</v>
      </c>
      <c r="BK28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87" s="772">
        <f>IF(WWWW[[#This Row],['#_of_functional_handwashing_facilities_at_HH_level]]*6&gt;WWWW[[#This Row],[Total PoP ]],WWWW[[#This Row],[Total PoP ]],WWWW[[#This Row],['#_of_functional_handwashing_facilities_at_HH_level]]*6)</f>
        <v>0</v>
      </c>
      <c r="BM287" s="781">
        <f>IF(WWWW[[#This Row],['# people reached by regular dedicated hygiene promotion]]&gt;WWWW[[#This Row],['# People received regular supply of hygiene items]],WWWW[[#This Row],['# people reached by regular dedicated hygiene promotion]],WWWW[[#This Row],['# People received regular supply of hygiene items]])</f>
        <v>0</v>
      </c>
      <c r="BN287" s="780">
        <f>IF(WWWW[[#This Row],[HRP3]]/WWWW[[#This Row],[Total PoP ]]&gt;100%,100%,WWWW[[#This Row],[HRP3]]/WWWW[[#This Row],[Total PoP ]])</f>
        <v>0</v>
      </c>
      <c r="BO287" s="778">
        <f>1-WWWW[[#This Row],[Hygiene Coverage%]]</f>
        <v>1</v>
      </c>
      <c r="BP287" s="777">
        <f>WWWW[[#This Row],['# people reached by regular dedicated hygiene promotion]]/WWWW[[#This Row],[Total PoP ]]</f>
        <v>0</v>
      </c>
      <c r="BQ28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87" s="770">
        <f>WWWW[[#This Row],['#_of_affected_women_and_girls_receiving_a_sufficient_quantity_of_sanitary_pads]]</f>
        <v>0</v>
      </c>
      <c r="BS287" s="773">
        <f>IF(WWWW[[#This Row],['# People with access to soap]]&gt;WWWW[[#This Row],['# People with access to Sanity Pads]],WWWW[[#This Row],['# People with access to soap]],WWWW[[#This Row],['# People with access to Sanity Pads]])</f>
        <v>0</v>
      </c>
      <c r="BT287" s="772" t="str">
        <f>IF(OR(WWWW[[#This Row],['#of students in school]]="",WWWW[[#This Row],['#of students in school]]=0),"No","Yes")</f>
        <v>No</v>
      </c>
      <c r="BU287" s="782" t="str">
        <f>VLOOKUP(WWWW[[#This Row],[Village  Name]],SiteDB6[[Site Name]:[Location Type 1]],9,FALSE)</f>
        <v>Village</v>
      </c>
      <c r="BV287" s="782" t="str">
        <f>VLOOKUP(WWWW[[#This Row],[Village  Name]],SiteDB6[[Site Name]:[Type of Accommodation]],10,FALSE)</f>
        <v>Village</v>
      </c>
      <c r="BW287" s="782">
        <f>VLOOKUP(WWWW[[#This Row],[Village  Name]],SiteDB6[[Site Name]:[Ethnic or GCA/NGCA]],11,FALSE)</f>
        <v>0</v>
      </c>
      <c r="BX287" s="782">
        <f>VLOOKUP(WWWW[[#This Row],[Village  Name]],SiteDB6[[Site Name]:[Lat]],12,FALSE)</f>
        <v>20.4733695983887</v>
      </c>
      <c r="BY287" s="782">
        <f>VLOOKUP(WWWW[[#This Row],[Village  Name]],SiteDB6[[Site Name]:[Long]],13,FALSE)</f>
        <v>93.291687011718807</v>
      </c>
      <c r="BZ287" s="782">
        <f>VLOOKUP(WWWW[[#This Row],[Village  Name]],SiteDB6[[Site Name]:[Pcode]],3,FALSE)</f>
        <v>197041</v>
      </c>
      <c r="CA287" s="782" t="str">
        <f t="shared" si="18"/>
        <v>Covered</v>
      </c>
      <c r="CB287" s="783"/>
    </row>
    <row r="288" spans="1:80">
      <c r="A288" s="774" t="s">
        <v>3199</v>
      </c>
      <c r="B288" s="727" t="s">
        <v>314</v>
      </c>
      <c r="C288" s="728" t="s">
        <v>314</v>
      </c>
      <c r="D288" s="728" t="s">
        <v>307</v>
      </c>
      <c r="E288" s="728" t="s">
        <v>2648</v>
      </c>
      <c r="F288" s="728" t="s">
        <v>312</v>
      </c>
      <c r="G288" s="644" t="str">
        <f>VLOOKUP(WWWW[[#This Row],[Village  Name]],SiteDB6[[Site Name]:[Location Type]],8,FALSE)</f>
        <v>Village</v>
      </c>
      <c r="H288" s="728" t="s">
        <v>2607</v>
      </c>
      <c r="I288" s="775">
        <v>157</v>
      </c>
      <c r="J288" s="775">
        <v>735</v>
      </c>
      <c r="K288" s="784">
        <v>42736</v>
      </c>
      <c r="L288" s="785">
        <v>44551</v>
      </c>
      <c r="M288" s="775"/>
      <c r="N288" s="775"/>
      <c r="O288" s="773">
        <v>0</v>
      </c>
      <c r="P288" s="775">
        <v>32</v>
      </c>
      <c r="Q288" s="775">
        <v>3</v>
      </c>
      <c r="R288" s="775"/>
      <c r="S288" s="775"/>
      <c r="T288" s="775"/>
      <c r="U288" s="776"/>
      <c r="V288" s="775">
        <v>72</v>
      </c>
      <c r="W288" s="775" t="s">
        <v>130</v>
      </c>
      <c r="X288" s="775"/>
      <c r="Y288" s="775"/>
      <c r="Z288" s="775"/>
      <c r="AA288" s="775"/>
      <c r="AB288" s="775"/>
      <c r="AC288" s="776"/>
      <c r="AD288" s="775"/>
      <c r="AE288" s="775"/>
      <c r="AF288" s="775"/>
      <c r="AG288" s="775"/>
      <c r="AH288" s="775"/>
      <c r="AI288" s="775"/>
      <c r="AJ288" s="773"/>
      <c r="AK288" s="775"/>
      <c r="AL288" s="773"/>
      <c r="AM288" s="773"/>
      <c r="AN288" s="776"/>
      <c r="AO288" s="769"/>
      <c r="AP288" s="769"/>
      <c r="AQ288" s="773"/>
      <c r="AR288" s="773"/>
      <c r="AS288" s="773"/>
      <c r="AT28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88" s="779">
        <f>WWWW[[#This Row],[%Equitable and continuous access to sufficient quantity of safe drinking water]]*WWWW[[#This Row],[Total PoP ]]</f>
        <v>735</v>
      </c>
      <c r="AV28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88" s="779">
        <f>WWWW[[#This Row],[% Access to unimproved water points]]*WWWW[[#This Row],[Total PoP ]]</f>
        <v>735</v>
      </c>
      <c r="AX28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8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735</v>
      </c>
      <c r="AZ288" s="779">
        <f>WWWW[[#This Row],[HRP1]]/250</f>
        <v>2.94</v>
      </c>
      <c r="BA288" s="780">
        <f>1-WWWW[[#This Row],[% Equitable and continuous access to sufficient quantity of domestic water]]</f>
        <v>0</v>
      </c>
      <c r="BB288" s="779">
        <f>WWWW[[#This Row],[%equitable and continuous access to sufficient quantity of safe drinking and domestic water''s GAP]]*WWWW[[#This Row],[Total PoP ]]</f>
        <v>0</v>
      </c>
      <c r="BC288" s="781">
        <f>IF(WWWW[[#This Row],[Total required water points]]-WWWW[[#This Row],['#Water points coverage]]&lt;0,0,WWWW[[#This Row],[Total required water points]]-WWWW[[#This Row],['#Water points coverage]])</f>
        <v>6.0000000000000053E-2</v>
      </c>
      <c r="BD288" s="781">
        <f>ROUND(IF(WWWW[[#This Row],[Total PoP ]]&lt;250,1,WWWW[[#This Row],[Total PoP ]]/250),0)</f>
        <v>3</v>
      </c>
      <c r="BE28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0.58775510204081638</v>
      </c>
      <c r="BF288" s="779">
        <f>WWWW[[#This Row],[% people access to functioning Latrine]]*WWWW[[#This Row],[Total PoP ]]</f>
        <v>432.00000000000006</v>
      </c>
      <c r="BG288" s="781">
        <f>WWWW[[#This Row],['#_of_Functioning_latrines_in_school]]*50</f>
        <v>0</v>
      </c>
      <c r="BH288" s="781">
        <f>ROUND((WWWW[[#This Row],[Total PoP ]]/6),0)</f>
        <v>123</v>
      </c>
      <c r="BI288" s="781">
        <f>IF(WWWW[[#This Row],[Total required Latrines]]-(WWWW[[#This Row],['#_of_sanitary_fly-proof_HH_latrines]])&lt;0,0,WWWW[[#This Row],[Total required Latrines]]-(WWWW[[#This Row],['#_of_sanitary_fly-proof_HH_latrines]]))</f>
        <v>51</v>
      </c>
      <c r="BJ288" s="778">
        <f>1-WWWW[[#This Row],[% people access to functioning Latrine]]</f>
        <v>0.41224489795918362</v>
      </c>
      <c r="BK28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88" s="772">
        <f>IF(WWWW[[#This Row],['#_of_functional_handwashing_facilities_at_HH_level]]*6&gt;WWWW[[#This Row],[Total PoP ]],WWWW[[#This Row],[Total PoP ]],WWWW[[#This Row],['#_of_functional_handwashing_facilities_at_HH_level]]*6)</f>
        <v>0</v>
      </c>
      <c r="BM288" s="781">
        <f>IF(WWWW[[#This Row],['# people reached by regular dedicated hygiene promotion]]&gt;WWWW[[#This Row],['# People received regular supply of hygiene items]],WWWW[[#This Row],['# people reached by regular dedicated hygiene promotion]],WWWW[[#This Row],['# People received regular supply of hygiene items]])</f>
        <v>0</v>
      </c>
      <c r="BN288" s="780">
        <f>IF(WWWW[[#This Row],[HRP3]]/WWWW[[#This Row],[Total PoP ]]&gt;100%,100%,WWWW[[#This Row],[HRP3]]/WWWW[[#This Row],[Total PoP ]])</f>
        <v>0</v>
      </c>
      <c r="BO288" s="778">
        <f>1-WWWW[[#This Row],[Hygiene Coverage%]]</f>
        <v>1</v>
      </c>
      <c r="BP288" s="777">
        <f>WWWW[[#This Row],['# people reached by regular dedicated hygiene promotion]]/WWWW[[#This Row],[Total PoP ]]</f>
        <v>0</v>
      </c>
      <c r="BQ28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88" s="770">
        <f>WWWW[[#This Row],['#_of_affected_women_and_girls_receiving_a_sufficient_quantity_of_sanitary_pads]]</f>
        <v>0</v>
      </c>
      <c r="BS288" s="773">
        <f>IF(WWWW[[#This Row],['# People with access to soap]]&gt;WWWW[[#This Row],['# People with access to Sanity Pads]],WWWW[[#This Row],['# People with access to soap]],WWWW[[#This Row],['# People with access to Sanity Pads]])</f>
        <v>0</v>
      </c>
      <c r="BT288" s="772" t="str">
        <f>IF(OR(WWWW[[#This Row],['#of students in school]]="",WWWW[[#This Row],['#of students in school]]=0),"No","Yes")</f>
        <v>No</v>
      </c>
      <c r="BU288" s="782" t="str">
        <f>VLOOKUP(WWWW[[#This Row],[Village  Name]],SiteDB6[[Site Name]:[Location Type 1]],9,FALSE)</f>
        <v>Village</v>
      </c>
      <c r="BV288" s="782" t="str">
        <f>VLOOKUP(WWWW[[#This Row],[Village  Name]],SiteDB6[[Site Name]:[Type of Accommodation]],10,FALSE)</f>
        <v>Village</v>
      </c>
      <c r="BW288" s="782">
        <f>VLOOKUP(WWWW[[#This Row],[Village  Name]],SiteDB6[[Site Name]:[Ethnic or GCA/NGCA]],11,FALSE)</f>
        <v>0</v>
      </c>
      <c r="BX288" s="782">
        <f>VLOOKUP(WWWW[[#This Row],[Village  Name]],SiteDB6[[Site Name]:[Lat]],12,FALSE)</f>
        <v>20.478410720825199</v>
      </c>
      <c r="BY288" s="782">
        <f>VLOOKUP(WWWW[[#This Row],[Village  Name]],SiteDB6[[Site Name]:[Long]],13,FALSE)</f>
        <v>93.28662109375</v>
      </c>
      <c r="BZ288" s="782">
        <f>VLOOKUP(WWWW[[#This Row],[Village  Name]],SiteDB6[[Site Name]:[Pcode]],3,FALSE)</f>
        <v>197042</v>
      </c>
      <c r="CA288" s="782" t="str">
        <f t="shared" si="18"/>
        <v>Covered</v>
      </c>
      <c r="CB288" s="783"/>
    </row>
    <row r="289" spans="1:80">
      <c r="A289" s="774" t="s">
        <v>3199</v>
      </c>
      <c r="B289" s="727" t="s">
        <v>314</v>
      </c>
      <c r="C289" s="728" t="s">
        <v>314</v>
      </c>
      <c r="D289" s="728" t="s">
        <v>307</v>
      </c>
      <c r="E289" s="728" t="s">
        <v>2648</v>
      </c>
      <c r="F289" s="728" t="s">
        <v>312</v>
      </c>
      <c r="G289" s="644" t="str">
        <f>VLOOKUP(WWWW[[#This Row],[Village  Name]],SiteDB6[[Site Name]:[Location Type]],8,FALSE)</f>
        <v>Village</v>
      </c>
      <c r="H289" s="728" t="s">
        <v>2608</v>
      </c>
      <c r="I289" s="775">
        <v>35</v>
      </c>
      <c r="J289" s="775">
        <v>142</v>
      </c>
      <c r="K289" s="784">
        <v>42736</v>
      </c>
      <c r="L289" s="785">
        <v>44551</v>
      </c>
      <c r="M289" s="775"/>
      <c r="N289" s="775"/>
      <c r="O289" s="773">
        <v>0</v>
      </c>
      <c r="P289" s="775">
        <v>117</v>
      </c>
      <c r="Q289" s="775">
        <v>3</v>
      </c>
      <c r="R289" s="775"/>
      <c r="S289" s="775"/>
      <c r="T289" s="775"/>
      <c r="U289" s="776"/>
      <c r="V289" s="775">
        <v>235</v>
      </c>
      <c r="W289" s="775" t="s">
        <v>130</v>
      </c>
      <c r="X289" s="775"/>
      <c r="Y289" s="775"/>
      <c r="Z289" s="775"/>
      <c r="AA289" s="775"/>
      <c r="AB289" s="775"/>
      <c r="AC289" s="776"/>
      <c r="AD289" s="775"/>
      <c r="AE289" s="775"/>
      <c r="AF289" s="775"/>
      <c r="AG289" s="775"/>
      <c r="AH289" s="775"/>
      <c r="AI289" s="775"/>
      <c r="AJ289" s="773"/>
      <c r="AK289" s="775"/>
      <c r="AL289" s="773"/>
      <c r="AM289" s="773"/>
      <c r="AN289" s="776"/>
      <c r="AO289" s="769"/>
      <c r="AP289" s="769"/>
      <c r="AQ289" s="773"/>
      <c r="AR289" s="773"/>
      <c r="AS289" s="773"/>
      <c r="AT28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89" s="779">
        <f>WWWW[[#This Row],[%Equitable and continuous access to sufficient quantity of safe drinking water]]*WWWW[[#This Row],[Total PoP ]]</f>
        <v>142</v>
      </c>
      <c r="AV28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89" s="779">
        <f>WWWW[[#This Row],[% Access to unimproved water points]]*WWWW[[#This Row],[Total PoP ]]</f>
        <v>142</v>
      </c>
      <c r="AX28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8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142</v>
      </c>
      <c r="AZ289" s="779">
        <f>WWWW[[#This Row],[HRP1]]/250</f>
        <v>0.56799999999999995</v>
      </c>
      <c r="BA289" s="780">
        <f>1-WWWW[[#This Row],[% Equitable and continuous access to sufficient quantity of domestic water]]</f>
        <v>0</v>
      </c>
      <c r="BB289" s="779">
        <f>WWWW[[#This Row],[%equitable and continuous access to sufficient quantity of safe drinking and domestic water''s GAP]]*WWWW[[#This Row],[Total PoP ]]</f>
        <v>0</v>
      </c>
      <c r="BC289" s="781">
        <f>IF(WWWW[[#This Row],[Total required water points]]-WWWW[[#This Row],['#Water points coverage]]&lt;0,0,WWWW[[#This Row],[Total required water points]]-WWWW[[#This Row],['#Water points coverage]])</f>
        <v>0.43200000000000005</v>
      </c>
      <c r="BD289" s="781">
        <f>ROUND(IF(WWWW[[#This Row],[Total PoP ]]&lt;250,1,WWWW[[#This Row],[Total PoP ]]/250),0)</f>
        <v>1</v>
      </c>
      <c r="BE28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89" s="779">
        <f>WWWW[[#This Row],[% people access to functioning Latrine]]*WWWW[[#This Row],[Total PoP ]]</f>
        <v>142</v>
      </c>
      <c r="BG289" s="781">
        <f>WWWW[[#This Row],['#_of_Functioning_latrines_in_school]]*50</f>
        <v>0</v>
      </c>
      <c r="BH289" s="781">
        <f>ROUND((WWWW[[#This Row],[Total PoP ]]/6),0)</f>
        <v>24</v>
      </c>
      <c r="BI289" s="781">
        <f>IF(WWWW[[#This Row],[Total required Latrines]]-(WWWW[[#This Row],['#_of_sanitary_fly-proof_HH_latrines]])&lt;0,0,WWWW[[#This Row],[Total required Latrines]]-(WWWW[[#This Row],['#_of_sanitary_fly-proof_HH_latrines]]))</f>
        <v>0</v>
      </c>
      <c r="BJ289" s="778">
        <f>1-WWWW[[#This Row],[% people access to functioning Latrine]]</f>
        <v>0</v>
      </c>
      <c r="BK28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89" s="772">
        <f>IF(WWWW[[#This Row],['#_of_functional_handwashing_facilities_at_HH_level]]*6&gt;WWWW[[#This Row],[Total PoP ]],WWWW[[#This Row],[Total PoP ]],WWWW[[#This Row],['#_of_functional_handwashing_facilities_at_HH_level]]*6)</f>
        <v>0</v>
      </c>
      <c r="BM289" s="781">
        <f>IF(WWWW[[#This Row],['# people reached by regular dedicated hygiene promotion]]&gt;WWWW[[#This Row],['# People received regular supply of hygiene items]],WWWW[[#This Row],['# people reached by regular dedicated hygiene promotion]],WWWW[[#This Row],['# People received regular supply of hygiene items]])</f>
        <v>0</v>
      </c>
      <c r="BN289" s="780">
        <f>IF(WWWW[[#This Row],[HRP3]]/WWWW[[#This Row],[Total PoP ]]&gt;100%,100%,WWWW[[#This Row],[HRP3]]/WWWW[[#This Row],[Total PoP ]])</f>
        <v>0</v>
      </c>
      <c r="BO289" s="778">
        <f>1-WWWW[[#This Row],[Hygiene Coverage%]]</f>
        <v>1</v>
      </c>
      <c r="BP289" s="777">
        <f>WWWW[[#This Row],['# people reached by regular dedicated hygiene promotion]]/WWWW[[#This Row],[Total PoP ]]</f>
        <v>0</v>
      </c>
      <c r="BQ28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89" s="770">
        <f>WWWW[[#This Row],['#_of_affected_women_and_girls_receiving_a_sufficient_quantity_of_sanitary_pads]]</f>
        <v>0</v>
      </c>
      <c r="BS289" s="773">
        <f>IF(WWWW[[#This Row],['# People with access to soap]]&gt;WWWW[[#This Row],['# People with access to Sanity Pads]],WWWW[[#This Row],['# People with access to soap]],WWWW[[#This Row],['# People with access to Sanity Pads]])</f>
        <v>0</v>
      </c>
      <c r="BT289" s="772" t="str">
        <f>IF(OR(WWWW[[#This Row],['#of students in school]]="",WWWW[[#This Row],['#of students in school]]=0),"No","Yes")</f>
        <v>No</v>
      </c>
      <c r="BU289" s="782" t="str">
        <f>VLOOKUP(WWWW[[#This Row],[Village  Name]],SiteDB6[[Site Name]:[Location Type 1]],9,FALSE)</f>
        <v>Village</v>
      </c>
      <c r="BV289" s="782" t="str">
        <f>VLOOKUP(WWWW[[#This Row],[Village  Name]],SiteDB6[[Site Name]:[Type of Accommodation]],10,FALSE)</f>
        <v>Village</v>
      </c>
      <c r="BW289" s="782">
        <f>VLOOKUP(WWWW[[#This Row],[Village  Name]],SiteDB6[[Site Name]:[Ethnic or GCA/NGCA]],11,FALSE)</f>
        <v>0</v>
      </c>
      <c r="BX289" s="782">
        <f>VLOOKUP(WWWW[[#This Row],[Village  Name]],SiteDB6[[Site Name]:[Lat]],12,FALSE)</f>
        <v>20.481389999389599</v>
      </c>
      <c r="BY289" s="782">
        <f>VLOOKUP(WWWW[[#This Row],[Village  Name]],SiteDB6[[Site Name]:[Long]],13,FALSE)</f>
        <v>93.283447265625</v>
      </c>
      <c r="BZ289" s="782">
        <f>VLOOKUP(WWWW[[#This Row],[Village  Name]],SiteDB6[[Site Name]:[Pcode]],3,FALSE)</f>
        <v>197043</v>
      </c>
      <c r="CA289" s="782" t="str">
        <f t="shared" si="18"/>
        <v>Covered</v>
      </c>
      <c r="CB289" s="783"/>
    </row>
    <row r="290" spans="1:80">
      <c r="A290" s="774" t="s">
        <v>3199</v>
      </c>
      <c r="B290" s="727" t="s">
        <v>314</v>
      </c>
      <c r="C290" s="728" t="s">
        <v>314</v>
      </c>
      <c r="D290" s="728" t="s">
        <v>307</v>
      </c>
      <c r="E290" s="728" t="s">
        <v>2648</v>
      </c>
      <c r="F290" s="728" t="s">
        <v>312</v>
      </c>
      <c r="G290" s="644" t="str">
        <f>VLOOKUP(WWWW[[#This Row],[Village  Name]],SiteDB6[[Site Name]:[Location Type]],8,FALSE)</f>
        <v>Village</v>
      </c>
      <c r="H290" s="728" t="s">
        <v>2609</v>
      </c>
      <c r="I290" s="775">
        <v>148</v>
      </c>
      <c r="J290" s="775">
        <v>630</v>
      </c>
      <c r="K290" s="784">
        <v>42736</v>
      </c>
      <c r="L290" s="785">
        <v>44551</v>
      </c>
      <c r="M290" s="775"/>
      <c r="N290" s="775"/>
      <c r="O290" s="773">
        <v>6</v>
      </c>
      <c r="P290" s="775">
        <v>92</v>
      </c>
      <c r="Q290" s="775">
        <v>3</v>
      </c>
      <c r="R290" s="775"/>
      <c r="S290" s="775"/>
      <c r="T290" s="775"/>
      <c r="U290" s="776"/>
      <c r="V290" s="775">
        <v>204</v>
      </c>
      <c r="W290" s="775" t="s">
        <v>130</v>
      </c>
      <c r="X290" s="775"/>
      <c r="Y290" s="775"/>
      <c r="Z290" s="775"/>
      <c r="AA290" s="775"/>
      <c r="AB290" s="775"/>
      <c r="AC290" s="776"/>
      <c r="AD290" s="775"/>
      <c r="AE290" s="775"/>
      <c r="AF290" s="775"/>
      <c r="AG290" s="775"/>
      <c r="AH290" s="775"/>
      <c r="AI290" s="775"/>
      <c r="AJ290" s="773"/>
      <c r="AK290" s="775"/>
      <c r="AL290" s="773"/>
      <c r="AM290" s="773"/>
      <c r="AN290" s="776"/>
      <c r="AO290" s="769"/>
      <c r="AP290" s="769"/>
      <c r="AQ290" s="773"/>
      <c r="AR290" s="773"/>
      <c r="AS290" s="773"/>
      <c r="AT29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90" s="779">
        <f>WWWW[[#This Row],[%Equitable and continuous access to sufficient quantity of safe drinking water]]*WWWW[[#This Row],[Total PoP ]]</f>
        <v>630</v>
      </c>
      <c r="AV29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90" s="779">
        <f>WWWW[[#This Row],[% Access to unimproved water points]]*WWWW[[#This Row],[Total PoP ]]</f>
        <v>630</v>
      </c>
      <c r="AX29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9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630</v>
      </c>
      <c r="AZ290" s="779">
        <f>WWWW[[#This Row],[HRP1]]/250</f>
        <v>2.52</v>
      </c>
      <c r="BA290" s="780">
        <f>1-WWWW[[#This Row],[% Equitable and continuous access to sufficient quantity of domestic water]]</f>
        <v>0</v>
      </c>
      <c r="BB290" s="779">
        <f>WWWW[[#This Row],[%equitable and continuous access to sufficient quantity of safe drinking and domestic water''s GAP]]*WWWW[[#This Row],[Total PoP ]]</f>
        <v>0</v>
      </c>
      <c r="BC290" s="781">
        <f>IF(WWWW[[#This Row],[Total required water points]]-WWWW[[#This Row],['#Water points coverage]]&lt;0,0,WWWW[[#This Row],[Total required water points]]-WWWW[[#This Row],['#Water points coverage]])</f>
        <v>0.48</v>
      </c>
      <c r="BD290" s="781">
        <f>ROUND(IF(WWWW[[#This Row],[Total PoP ]]&lt;250,1,WWWW[[#This Row],[Total PoP ]]/250),0)</f>
        <v>3</v>
      </c>
      <c r="BE29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90" s="779">
        <f>WWWW[[#This Row],[% people access to functioning Latrine]]*WWWW[[#This Row],[Total PoP ]]</f>
        <v>630</v>
      </c>
      <c r="BG290" s="781">
        <f>WWWW[[#This Row],['#_of_Functioning_latrines_in_school]]*50</f>
        <v>0</v>
      </c>
      <c r="BH290" s="781">
        <f>ROUND((WWWW[[#This Row],[Total PoP ]]/6),0)</f>
        <v>105</v>
      </c>
      <c r="BI290" s="781">
        <f>IF(WWWW[[#This Row],[Total required Latrines]]-(WWWW[[#This Row],['#_of_sanitary_fly-proof_HH_latrines]])&lt;0,0,WWWW[[#This Row],[Total required Latrines]]-(WWWW[[#This Row],['#_of_sanitary_fly-proof_HH_latrines]]))</f>
        <v>0</v>
      </c>
      <c r="BJ290" s="778">
        <f>1-WWWW[[#This Row],[% people access to functioning Latrine]]</f>
        <v>0</v>
      </c>
      <c r="BK29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90" s="772">
        <f>IF(WWWW[[#This Row],['#_of_functional_handwashing_facilities_at_HH_level]]*6&gt;WWWW[[#This Row],[Total PoP ]],WWWW[[#This Row],[Total PoP ]],WWWW[[#This Row],['#_of_functional_handwashing_facilities_at_HH_level]]*6)</f>
        <v>0</v>
      </c>
      <c r="BM290" s="781">
        <f>IF(WWWW[[#This Row],['# people reached by regular dedicated hygiene promotion]]&gt;WWWW[[#This Row],['# People received regular supply of hygiene items]],WWWW[[#This Row],['# people reached by regular dedicated hygiene promotion]],WWWW[[#This Row],['# People received regular supply of hygiene items]])</f>
        <v>0</v>
      </c>
      <c r="BN290" s="780">
        <f>IF(WWWW[[#This Row],[HRP3]]/WWWW[[#This Row],[Total PoP ]]&gt;100%,100%,WWWW[[#This Row],[HRP3]]/WWWW[[#This Row],[Total PoP ]])</f>
        <v>0</v>
      </c>
      <c r="BO290" s="778">
        <f>1-WWWW[[#This Row],[Hygiene Coverage%]]</f>
        <v>1</v>
      </c>
      <c r="BP290" s="777">
        <f>WWWW[[#This Row],['# people reached by regular dedicated hygiene promotion]]/WWWW[[#This Row],[Total PoP ]]</f>
        <v>0</v>
      </c>
      <c r="BQ29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90" s="770">
        <f>WWWW[[#This Row],['#_of_affected_women_and_girls_receiving_a_sufficient_quantity_of_sanitary_pads]]</f>
        <v>0</v>
      </c>
      <c r="BS290" s="773">
        <f>IF(WWWW[[#This Row],['# People with access to soap]]&gt;WWWW[[#This Row],['# People with access to Sanity Pads]],WWWW[[#This Row],['# People with access to soap]],WWWW[[#This Row],['# People with access to Sanity Pads]])</f>
        <v>0</v>
      </c>
      <c r="BT290" s="772" t="str">
        <f>IF(OR(WWWW[[#This Row],['#of students in school]]="",WWWW[[#This Row],['#of students in school]]=0),"No","Yes")</f>
        <v>No</v>
      </c>
      <c r="BU290" s="782" t="str">
        <f>VLOOKUP(WWWW[[#This Row],[Village  Name]],SiteDB6[[Site Name]:[Location Type 1]],9,FALSE)</f>
        <v>Village</v>
      </c>
      <c r="BV290" s="782" t="str">
        <f>VLOOKUP(WWWW[[#This Row],[Village  Name]],SiteDB6[[Site Name]:[Type of Accommodation]],10,FALSE)</f>
        <v>Village</v>
      </c>
      <c r="BW290" s="782">
        <f>VLOOKUP(WWWW[[#This Row],[Village  Name]],SiteDB6[[Site Name]:[Ethnic or GCA/NGCA]],11,FALSE)</f>
        <v>0</v>
      </c>
      <c r="BX290" s="782">
        <f>VLOOKUP(WWWW[[#This Row],[Village  Name]],SiteDB6[[Site Name]:[Lat]],12,FALSE)</f>
        <v>20.422460556030298</v>
      </c>
      <c r="BY290" s="782">
        <f>VLOOKUP(WWWW[[#This Row],[Village  Name]],SiteDB6[[Site Name]:[Long]],13,FALSE)</f>
        <v>93.317733764648395</v>
      </c>
      <c r="BZ290" s="782">
        <f>VLOOKUP(WWWW[[#This Row],[Village  Name]],SiteDB6[[Site Name]:[Pcode]],3,FALSE)</f>
        <v>197089</v>
      </c>
      <c r="CA290" s="782" t="str">
        <f t="shared" si="18"/>
        <v>Covered</v>
      </c>
      <c r="CB290" s="783"/>
    </row>
    <row r="291" spans="1:80">
      <c r="A291" s="774" t="s">
        <v>3199</v>
      </c>
      <c r="B291" s="727" t="s">
        <v>314</v>
      </c>
      <c r="C291" s="728" t="s">
        <v>314</v>
      </c>
      <c r="D291" s="728" t="s">
        <v>307</v>
      </c>
      <c r="E291" s="728" t="s">
        <v>2648</v>
      </c>
      <c r="F291" s="728" t="s">
        <v>312</v>
      </c>
      <c r="G291" s="644" t="str">
        <f>VLOOKUP(WWWW[[#This Row],[Village  Name]],SiteDB6[[Site Name]:[Location Type]],8,FALSE)</f>
        <v>Village</v>
      </c>
      <c r="H291" s="728" t="s">
        <v>2610</v>
      </c>
      <c r="I291" s="775">
        <v>135</v>
      </c>
      <c r="J291" s="775">
        <v>593</v>
      </c>
      <c r="K291" s="784">
        <v>42736</v>
      </c>
      <c r="L291" s="785">
        <v>44551</v>
      </c>
      <c r="M291" s="775"/>
      <c r="N291" s="775"/>
      <c r="O291" s="773">
        <v>7</v>
      </c>
      <c r="P291" s="775">
        <v>55</v>
      </c>
      <c r="Q291" s="775">
        <v>2</v>
      </c>
      <c r="R291" s="775"/>
      <c r="S291" s="775"/>
      <c r="T291" s="775"/>
      <c r="U291" s="776"/>
      <c r="V291" s="775">
        <v>114</v>
      </c>
      <c r="W291" s="775" t="s">
        <v>130</v>
      </c>
      <c r="X291" s="775"/>
      <c r="Y291" s="775"/>
      <c r="Z291" s="775"/>
      <c r="AA291" s="775"/>
      <c r="AB291" s="775"/>
      <c r="AC291" s="776"/>
      <c r="AD291" s="775"/>
      <c r="AE291" s="775"/>
      <c r="AF291" s="775"/>
      <c r="AG291" s="775"/>
      <c r="AH291" s="775"/>
      <c r="AI291" s="775"/>
      <c r="AJ291" s="773"/>
      <c r="AK291" s="775"/>
      <c r="AL291" s="773"/>
      <c r="AM291" s="773"/>
      <c r="AN291" s="776"/>
      <c r="AO291" s="769"/>
      <c r="AP291" s="769"/>
      <c r="AQ291" s="773"/>
      <c r="AR291" s="773"/>
      <c r="AS291" s="773"/>
      <c r="AT29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91" s="779">
        <f>WWWW[[#This Row],[%Equitable and continuous access to sufficient quantity of safe drinking water]]*WWWW[[#This Row],[Total PoP ]]</f>
        <v>593</v>
      </c>
      <c r="AV29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91" s="779">
        <f>WWWW[[#This Row],[% Access to unimproved water points]]*WWWW[[#This Row],[Total PoP ]]</f>
        <v>593</v>
      </c>
      <c r="AX29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9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593</v>
      </c>
      <c r="AZ291" s="779">
        <f>WWWW[[#This Row],[HRP1]]/250</f>
        <v>2.3719999999999999</v>
      </c>
      <c r="BA291" s="780">
        <f>1-WWWW[[#This Row],[% Equitable and continuous access to sufficient quantity of domestic water]]</f>
        <v>0</v>
      </c>
      <c r="BB291" s="779">
        <f>WWWW[[#This Row],[%equitable and continuous access to sufficient quantity of safe drinking and domestic water''s GAP]]*WWWW[[#This Row],[Total PoP ]]</f>
        <v>0</v>
      </c>
      <c r="BC291" s="781">
        <f>IF(WWWW[[#This Row],[Total required water points]]-WWWW[[#This Row],['#Water points coverage]]&lt;0,0,WWWW[[#This Row],[Total required water points]]-WWWW[[#This Row],['#Water points coverage]])</f>
        <v>0</v>
      </c>
      <c r="BD291" s="781">
        <f>ROUND(IF(WWWW[[#This Row],[Total PoP ]]&lt;250,1,WWWW[[#This Row],[Total PoP ]]/250),0)</f>
        <v>2</v>
      </c>
      <c r="BE29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91" s="779">
        <f>WWWW[[#This Row],[% people access to functioning Latrine]]*WWWW[[#This Row],[Total PoP ]]</f>
        <v>593</v>
      </c>
      <c r="BG291" s="781">
        <f>WWWW[[#This Row],['#_of_Functioning_latrines_in_school]]*50</f>
        <v>0</v>
      </c>
      <c r="BH291" s="781">
        <f>ROUND((WWWW[[#This Row],[Total PoP ]]/6),0)</f>
        <v>99</v>
      </c>
      <c r="BI291" s="781">
        <f>IF(WWWW[[#This Row],[Total required Latrines]]-(WWWW[[#This Row],['#_of_sanitary_fly-proof_HH_latrines]])&lt;0,0,WWWW[[#This Row],[Total required Latrines]]-(WWWW[[#This Row],['#_of_sanitary_fly-proof_HH_latrines]]))</f>
        <v>0</v>
      </c>
      <c r="BJ291" s="778">
        <f>1-WWWW[[#This Row],[% people access to functioning Latrine]]</f>
        <v>0</v>
      </c>
      <c r="BK29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91" s="772">
        <f>IF(WWWW[[#This Row],['#_of_functional_handwashing_facilities_at_HH_level]]*6&gt;WWWW[[#This Row],[Total PoP ]],WWWW[[#This Row],[Total PoP ]],WWWW[[#This Row],['#_of_functional_handwashing_facilities_at_HH_level]]*6)</f>
        <v>0</v>
      </c>
      <c r="BM291" s="781">
        <f>IF(WWWW[[#This Row],['# people reached by regular dedicated hygiene promotion]]&gt;WWWW[[#This Row],['# People received regular supply of hygiene items]],WWWW[[#This Row],['# people reached by regular dedicated hygiene promotion]],WWWW[[#This Row],['# People received regular supply of hygiene items]])</f>
        <v>0</v>
      </c>
      <c r="BN291" s="780">
        <f>IF(WWWW[[#This Row],[HRP3]]/WWWW[[#This Row],[Total PoP ]]&gt;100%,100%,WWWW[[#This Row],[HRP3]]/WWWW[[#This Row],[Total PoP ]])</f>
        <v>0</v>
      </c>
      <c r="BO291" s="778">
        <f>1-WWWW[[#This Row],[Hygiene Coverage%]]</f>
        <v>1</v>
      </c>
      <c r="BP291" s="777">
        <f>WWWW[[#This Row],['# people reached by regular dedicated hygiene promotion]]/WWWW[[#This Row],[Total PoP ]]</f>
        <v>0</v>
      </c>
      <c r="BQ29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91" s="770">
        <f>WWWW[[#This Row],['#_of_affected_women_and_girls_receiving_a_sufficient_quantity_of_sanitary_pads]]</f>
        <v>0</v>
      </c>
      <c r="BS291" s="773">
        <f>IF(WWWW[[#This Row],['# People with access to soap]]&gt;WWWW[[#This Row],['# People with access to Sanity Pads]],WWWW[[#This Row],['# People with access to soap]],WWWW[[#This Row],['# People with access to Sanity Pads]])</f>
        <v>0</v>
      </c>
      <c r="BT291" s="772" t="str">
        <f>IF(OR(WWWW[[#This Row],['#of students in school]]="",WWWW[[#This Row],['#of students in school]]=0),"No","Yes")</f>
        <v>No</v>
      </c>
      <c r="BU291" s="782" t="str">
        <f>VLOOKUP(WWWW[[#This Row],[Village  Name]],SiteDB6[[Site Name]:[Location Type 1]],9,FALSE)</f>
        <v>Village</v>
      </c>
      <c r="BV291" s="782" t="str">
        <f>VLOOKUP(WWWW[[#This Row],[Village  Name]],SiteDB6[[Site Name]:[Type of Accommodation]],10,FALSE)</f>
        <v>Village</v>
      </c>
      <c r="BW291" s="782">
        <f>VLOOKUP(WWWW[[#This Row],[Village  Name]],SiteDB6[[Site Name]:[Ethnic or GCA/NGCA]],11,FALSE)</f>
        <v>0</v>
      </c>
      <c r="BX291" s="782">
        <f>VLOOKUP(WWWW[[#This Row],[Village  Name]],SiteDB6[[Site Name]:[Lat]],12,FALSE)</f>
        <v>20.445030212402301</v>
      </c>
      <c r="BY291" s="782">
        <f>VLOOKUP(WWWW[[#This Row],[Village  Name]],SiteDB6[[Site Name]:[Long]],13,FALSE)</f>
        <v>93.312812805175795</v>
      </c>
      <c r="BZ291" s="782">
        <f>VLOOKUP(WWWW[[#This Row],[Village  Name]],SiteDB6[[Site Name]:[Pcode]],3,FALSE)</f>
        <v>197090</v>
      </c>
      <c r="CA291" s="782" t="str">
        <f t="shared" si="18"/>
        <v>Covered</v>
      </c>
      <c r="CB291" s="783"/>
    </row>
    <row r="292" spans="1:80">
      <c r="A292" s="774" t="s">
        <v>3199</v>
      </c>
      <c r="B292" s="727" t="s">
        <v>314</v>
      </c>
      <c r="C292" s="728" t="s">
        <v>314</v>
      </c>
      <c r="D292" s="728" t="s">
        <v>307</v>
      </c>
      <c r="E292" s="728" t="s">
        <v>2648</v>
      </c>
      <c r="F292" s="728" t="s">
        <v>312</v>
      </c>
      <c r="G292" s="644" t="str">
        <f>VLOOKUP(WWWW[[#This Row],[Village  Name]],SiteDB6[[Site Name]:[Location Type]],8,FALSE)</f>
        <v>Village</v>
      </c>
      <c r="H292" s="728" t="s">
        <v>876</v>
      </c>
      <c r="I292" s="775">
        <v>139</v>
      </c>
      <c r="J292" s="775">
        <v>585</v>
      </c>
      <c r="K292" s="784">
        <v>42736</v>
      </c>
      <c r="L292" s="785">
        <v>44551</v>
      </c>
      <c r="M292" s="775"/>
      <c r="N292" s="775"/>
      <c r="O292" s="773">
        <v>3</v>
      </c>
      <c r="P292" s="775">
        <v>69</v>
      </c>
      <c r="Q292" s="775">
        <v>1</v>
      </c>
      <c r="R292" s="775"/>
      <c r="S292" s="775"/>
      <c r="T292" s="775"/>
      <c r="U292" s="776"/>
      <c r="V292" s="775">
        <v>54</v>
      </c>
      <c r="W292" s="775" t="s">
        <v>130</v>
      </c>
      <c r="X292" s="775"/>
      <c r="Y292" s="775"/>
      <c r="Z292" s="775"/>
      <c r="AA292" s="775"/>
      <c r="AB292" s="775"/>
      <c r="AC292" s="776"/>
      <c r="AD292" s="775"/>
      <c r="AE292" s="775"/>
      <c r="AF292" s="775"/>
      <c r="AG292" s="775"/>
      <c r="AH292" s="775"/>
      <c r="AI292" s="775"/>
      <c r="AJ292" s="773"/>
      <c r="AK292" s="775"/>
      <c r="AL292" s="773"/>
      <c r="AM292" s="773"/>
      <c r="AN292" s="776"/>
      <c r="AO292" s="769"/>
      <c r="AP292" s="769"/>
      <c r="AQ292" s="773"/>
      <c r="AR292" s="773"/>
      <c r="AS292" s="773"/>
      <c r="AT29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92" s="779">
        <f>WWWW[[#This Row],[%Equitable and continuous access to sufficient quantity of safe drinking water]]*WWWW[[#This Row],[Total PoP ]]</f>
        <v>585</v>
      </c>
      <c r="AV29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92" s="779">
        <f>WWWW[[#This Row],[% Access to unimproved water points]]*WWWW[[#This Row],[Total PoP ]]</f>
        <v>585</v>
      </c>
      <c r="AX29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9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585</v>
      </c>
      <c r="AZ292" s="779">
        <f>WWWW[[#This Row],[HRP1]]/250</f>
        <v>2.34</v>
      </c>
      <c r="BA292" s="780">
        <f>1-WWWW[[#This Row],[% Equitable and continuous access to sufficient quantity of domestic water]]</f>
        <v>0</v>
      </c>
      <c r="BB292" s="779">
        <f>WWWW[[#This Row],[%equitable and continuous access to sufficient quantity of safe drinking and domestic water''s GAP]]*WWWW[[#This Row],[Total PoP ]]</f>
        <v>0</v>
      </c>
      <c r="BC292" s="781">
        <f>IF(WWWW[[#This Row],[Total required water points]]-WWWW[[#This Row],['#Water points coverage]]&lt;0,0,WWWW[[#This Row],[Total required water points]]-WWWW[[#This Row],['#Water points coverage]])</f>
        <v>0</v>
      </c>
      <c r="BD292" s="781">
        <f>ROUND(IF(WWWW[[#This Row],[Total PoP ]]&lt;250,1,WWWW[[#This Row],[Total PoP ]]/250),0)</f>
        <v>2</v>
      </c>
      <c r="BE29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0.55384615384615388</v>
      </c>
      <c r="BF292" s="779">
        <f>WWWW[[#This Row],[% people access to functioning Latrine]]*WWWW[[#This Row],[Total PoP ]]</f>
        <v>324</v>
      </c>
      <c r="BG292" s="781">
        <f>WWWW[[#This Row],['#_of_Functioning_latrines_in_school]]*50</f>
        <v>0</v>
      </c>
      <c r="BH292" s="781">
        <f>ROUND((WWWW[[#This Row],[Total PoP ]]/6),0)</f>
        <v>98</v>
      </c>
      <c r="BI292" s="781">
        <f>IF(WWWW[[#This Row],[Total required Latrines]]-(WWWW[[#This Row],['#_of_sanitary_fly-proof_HH_latrines]])&lt;0,0,WWWW[[#This Row],[Total required Latrines]]-(WWWW[[#This Row],['#_of_sanitary_fly-proof_HH_latrines]]))</f>
        <v>44</v>
      </c>
      <c r="BJ292" s="778">
        <f>1-WWWW[[#This Row],[% people access to functioning Latrine]]</f>
        <v>0.44615384615384612</v>
      </c>
      <c r="BK29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92" s="772">
        <f>IF(WWWW[[#This Row],['#_of_functional_handwashing_facilities_at_HH_level]]*6&gt;WWWW[[#This Row],[Total PoP ]],WWWW[[#This Row],[Total PoP ]],WWWW[[#This Row],['#_of_functional_handwashing_facilities_at_HH_level]]*6)</f>
        <v>0</v>
      </c>
      <c r="BM292" s="781">
        <f>IF(WWWW[[#This Row],['# people reached by regular dedicated hygiene promotion]]&gt;WWWW[[#This Row],['# People received regular supply of hygiene items]],WWWW[[#This Row],['# people reached by regular dedicated hygiene promotion]],WWWW[[#This Row],['# People received regular supply of hygiene items]])</f>
        <v>0</v>
      </c>
      <c r="BN292" s="780">
        <f>IF(WWWW[[#This Row],[HRP3]]/WWWW[[#This Row],[Total PoP ]]&gt;100%,100%,WWWW[[#This Row],[HRP3]]/WWWW[[#This Row],[Total PoP ]])</f>
        <v>0</v>
      </c>
      <c r="BO292" s="778">
        <f>1-WWWW[[#This Row],[Hygiene Coverage%]]</f>
        <v>1</v>
      </c>
      <c r="BP292" s="777">
        <f>WWWW[[#This Row],['# people reached by regular dedicated hygiene promotion]]/WWWW[[#This Row],[Total PoP ]]</f>
        <v>0</v>
      </c>
      <c r="BQ29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92" s="770">
        <f>WWWW[[#This Row],['#_of_affected_women_and_girls_receiving_a_sufficient_quantity_of_sanitary_pads]]</f>
        <v>0</v>
      </c>
      <c r="BS292" s="773">
        <f>IF(WWWW[[#This Row],['# People with access to soap]]&gt;WWWW[[#This Row],['# People with access to Sanity Pads]],WWWW[[#This Row],['# People with access to soap]],WWWW[[#This Row],['# People with access to Sanity Pads]])</f>
        <v>0</v>
      </c>
      <c r="BT292" s="772" t="str">
        <f>IF(OR(WWWW[[#This Row],['#of students in school]]="",WWWW[[#This Row],['#of students in school]]=0),"No","Yes")</f>
        <v>No</v>
      </c>
      <c r="BU292" s="782" t="str">
        <f>VLOOKUP(WWWW[[#This Row],[Village  Name]],SiteDB6[[Site Name]:[Location Type 1]],9,FALSE)</f>
        <v>Village</v>
      </c>
      <c r="BV292" s="782" t="str">
        <f>VLOOKUP(WWWW[[#This Row],[Village  Name]],SiteDB6[[Site Name]:[Type of Accommodation]],10,FALSE)</f>
        <v>Village</v>
      </c>
      <c r="BW292" s="782">
        <f>VLOOKUP(WWWW[[#This Row],[Village  Name]],SiteDB6[[Site Name]:[Ethnic or GCA/NGCA]],11,FALSE)</f>
        <v>0</v>
      </c>
      <c r="BX292" s="782">
        <f>VLOOKUP(WWWW[[#This Row],[Village  Name]],SiteDB6[[Site Name]:[Lat]],12,FALSE)</f>
        <v>20.466840744018601</v>
      </c>
      <c r="BY292" s="782">
        <f>VLOOKUP(WWWW[[#This Row],[Village  Name]],SiteDB6[[Site Name]:[Long]],13,FALSE)</f>
        <v>93.304931640625</v>
      </c>
      <c r="BZ292" s="782">
        <f>VLOOKUP(WWWW[[#This Row],[Village  Name]],SiteDB6[[Site Name]:[Pcode]],3,FALSE)</f>
        <v>197149</v>
      </c>
      <c r="CA292" s="782" t="str">
        <f t="shared" si="18"/>
        <v>Covered</v>
      </c>
      <c r="CB292" s="783"/>
    </row>
    <row r="293" spans="1:80">
      <c r="A293" s="774" t="s">
        <v>3199</v>
      </c>
      <c r="B293" s="727" t="s">
        <v>314</v>
      </c>
      <c r="C293" s="728" t="s">
        <v>314</v>
      </c>
      <c r="D293" s="728" t="s">
        <v>307</v>
      </c>
      <c r="E293" s="728" t="s">
        <v>2648</v>
      </c>
      <c r="F293" s="728" t="s">
        <v>312</v>
      </c>
      <c r="G293" s="644" t="str">
        <f>VLOOKUP(WWWW[[#This Row],[Village  Name]],SiteDB6[[Site Name]:[Location Type]],8,FALSE)</f>
        <v>Village</v>
      </c>
      <c r="H293" s="728" t="s">
        <v>895</v>
      </c>
      <c r="I293" s="775">
        <v>408</v>
      </c>
      <c r="J293" s="775">
        <v>2009</v>
      </c>
      <c r="K293" s="784">
        <v>42736</v>
      </c>
      <c r="L293" s="785">
        <v>44551</v>
      </c>
      <c r="M293" s="775"/>
      <c r="N293" s="775"/>
      <c r="O293" s="773">
        <v>1</v>
      </c>
      <c r="P293" s="775">
        <v>14</v>
      </c>
      <c r="Q293" s="775">
        <v>1</v>
      </c>
      <c r="R293" s="775"/>
      <c r="S293" s="775"/>
      <c r="T293" s="775"/>
      <c r="U293" s="776"/>
      <c r="V293" s="775">
        <v>20</v>
      </c>
      <c r="W293" s="775" t="s">
        <v>130</v>
      </c>
      <c r="X293" s="775"/>
      <c r="Y293" s="775"/>
      <c r="Z293" s="775"/>
      <c r="AA293" s="775"/>
      <c r="AB293" s="775"/>
      <c r="AC293" s="776"/>
      <c r="AD293" s="775"/>
      <c r="AE293" s="775"/>
      <c r="AF293" s="775"/>
      <c r="AG293" s="775"/>
      <c r="AH293" s="775"/>
      <c r="AI293" s="775"/>
      <c r="AJ293" s="773"/>
      <c r="AK293" s="775"/>
      <c r="AL293" s="773"/>
      <c r="AM293" s="773"/>
      <c r="AN293" s="776"/>
      <c r="AO293" s="769"/>
      <c r="AP293" s="769"/>
      <c r="AQ293" s="773"/>
      <c r="AR293" s="773"/>
      <c r="AS293" s="773"/>
      <c r="AT29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93" s="779">
        <f>WWWW[[#This Row],[%Equitable and continuous access to sufficient quantity of safe drinking water]]*WWWW[[#This Row],[Total PoP ]]</f>
        <v>2009</v>
      </c>
      <c r="AV29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93" s="779">
        <f>WWWW[[#This Row],[% Access to unimproved water points]]*WWWW[[#This Row],[Total PoP ]]</f>
        <v>2009</v>
      </c>
      <c r="AX29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9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2009</v>
      </c>
      <c r="AZ293" s="779">
        <f>WWWW[[#This Row],[HRP1]]/250</f>
        <v>8.0359999999999996</v>
      </c>
      <c r="BA293" s="780">
        <f>1-WWWW[[#This Row],[% Equitable and continuous access to sufficient quantity of domestic water]]</f>
        <v>0</v>
      </c>
      <c r="BB293" s="779">
        <f>WWWW[[#This Row],[%equitable and continuous access to sufficient quantity of safe drinking and domestic water''s GAP]]*WWWW[[#This Row],[Total PoP ]]</f>
        <v>0</v>
      </c>
      <c r="BC293" s="781">
        <f>IF(WWWW[[#This Row],[Total required water points]]-WWWW[[#This Row],['#Water points coverage]]&lt;0,0,WWWW[[#This Row],[Total required water points]]-WWWW[[#This Row],['#Water points coverage]])</f>
        <v>0</v>
      </c>
      <c r="BD293" s="781">
        <f>ROUND(IF(WWWW[[#This Row],[Total PoP ]]&lt;250,1,WWWW[[#This Row],[Total PoP ]]/250),0)</f>
        <v>8</v>
      </c>
      <c r="BE29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5.9731209556993528E-2</v>
      </c>
      <c r="BF293" s="779">
        <f>WWWW[[#This Row],[% people access to functioning Latrine]]*WWWW[[#This Row],[Total PoP ]]</f>
        <v>120</v>
      </c>
      <c r="BG293" s="781">
        <f>WWWW[[#This Row],['#_of_Functioning_latrines_in_school]]*50</f>
        <v>0</v>
      </c>
      <c r="BH293" s="781">
        <f>ROUND((WWWW[[#This Row],[Total PoP ]]/6),0)</f>
        <v>335</v>
      </c>
      <c r="BI293" s="781">
        <f>IF(WWWW[[#This Row],[Total required Latrines]]-(WWWW[[#This Row],['#_of_sanitary_fly-proof_HH_latrines]])&lt;0,0,WWWW[[#This Row],[Total required Latrines]]-(WWWW[[#This Row],['#_of_sanitary_fly-proof_HH_latrines]]))</f>
        <v>315</v>
      </c>
      <c r="BJ293" s="778">
        <f>1-WWWW[[#This Row],[% people access to functioning Latrine]]</f>
        <v>0.94026879044300649</v>
      </c>
      <c r="BK29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93" s="772">
        <f>IF(WWWW[[#This Row],['#_of_functional_handwashing_facilities_at_HH_level]]*6&gt;WWWW[[#This Row],[Total PoP ]],WWWW[[#This Row],[Total PoP ]],WWWW[[#This Row],['#_of_functional_handwashing_facilities_at_HH_level]]*6)</f>
        <v>0</v>
      </c>
      <c r="BM293" s="781">
        <f>IF(WWWW[[#This Row],['# people reached by regular dedicated hygiene promotion]]&gt;WWWW[[#This Row],['# People received regular supply of hygiene items]],WWWW[[#This Row],['# people reached by regular dedicated hygiene promotion]],WWWW[[#This Row],['# People received regular supply of hygiene items]])</f>
        <v>0</v>
      </c>
      <c r="BN293" s="780">
        <f>IF(WWWW[[#This Row],[HRP3]]/WWWW[[#This Row],[Total PoP ]]&gt;100%,100%,WWWW[[#This Row],[HRP3]]/WWWW[[#This Row],[Total PoP ]])</f>
        <v>0</v>
      </c>
      <c r="BO293" s="778">
        <f>1-WWWW[[#This Row],[Hygiene Coverage%]]</f>
        <v>1</v>
      </c>
      <c r="BP293" s="777">
        <f>WWWW[[#This Row],['# people reached by regular dedicated hygiene promotion]]/WWWW[[#This Row],[Total PoP ]]</f>
        <v>0</v>
      </c>
      <c r="BQ29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93" s="770">
        <f>WWWW[[#This Row],['#_of_affected_women_and_girls_receiving_a_sufficient_quantity_of_sanitary_pads]]</f>
        <v>0</v>
      </c>
      <c r="BS293" s="773">
        <f>IF(WWWW[[#This Row],['# People with access to soap]]&gt;WWWW[[#This Row],['# People with access to Sanity Pads]],WWWW[[#This Row],['# People with access to soap]],WWWW[[#This Row],['# People with access to Sanity Pads]])</f>
        <v>0</v>
      </c>
      <c r="BT293" s="772" t="str">
        <f>IF(OR(WWWW[[#This Row],['#of students in school]]="",WWWW[[#This Row],['#of students in school]]=0),"No","Yes")</f>
        <v>No</v>
      </c>
      <c r="BU293" s="782" t="str">
        <f>VLOOKUP(WWWW[[#This Row],[Village  Name]],SiteDB6[[Site Name]:[Location Type 1]],9,FALSE)</f>
        <v>Village</v>
      </c>
      <c r="BV293" s="782" t="str">
        <f>VLOOKUP(WWWW[[#This Row],[Village  Name]],SiteDB6[[Site Name]:[Type of Accommodation]],10,FALSE)</f>
        <v>Returned</v>
      </c>
      <c r="BW293" s="782" t="str">
        <f>VLOOKUP(WWWW[[#This Row],[Village  Name]],SiteDB6[[Site Name]:[Ethnic or GCA/NGCA]],11,FALSE)</f>
        <v>Muslim</v>
      </c>
      <c r="BX293" s="782">
        <f>VLOOKUP(WWWW[[#This Row],[Village  Name]],SiteDB6[[Site Name]:[Lat]],12,FALSE)</f>
        <v>20.480898</v>
      </c>
      <c r="BY293" s="782">
        <f>VLOOKUP(WWWW[[#This Row],[Village  Name]],SiteDB6[[Site Name]:[Long]],13,FALSE)</f>
        <v>93.299485000000004</v>
      </c>
      <c r="BZ293" s="782" t="str">
        <f>VLOOKUP(WWWW[[#This Row],[Village  Name]],SiteDB6[[Site Name]:[Pcode]],3,FALSE)</f>
        <v>MMR012CMP006</v>
      </c>
      <c r="CA293" s="782" t="str">
        <f t="shared" si="18"/>
        <v>Covered</v>
      </c>
      <c r="CB293" s="783"/>
    </row>
    <row r="294" spans="1:80">
      <c r="A294" s="774" t="s">
        <v>3199</v>
      </c>
      <c r="B294" s="727" t="s">
        <v>314</v>
      </c>
      <c r="C294" s="728" t="s">
        <v>314</v>
      </c>
      <c r="D294" s="728" t="s">
        <v>307</v>
      </c>
      <c r="E294" s="728" t="s">
        <v>2648</v>
      </c>
      <c r="F294" s="728" t="s">
        <v>312</v>
      </c>
      <c r="G294" s="644" t="str">
        <f>VLOOKUP(WWWW[[#This Row],[Village  Name]],SiteDB6[[Site Name]:[Location Type]],8,FALSE)</f>
        <v>Village</v>
      </c>
      <c r="H294" s="728" t="s">
        <v>2611</v>
      </c>
      <c r="I294" s="775">
        <v>47</v>
      </c>
      <c r="J294" s="775">
        <v>190</v>
      </c>
      <c r="K294" s="784">
        <v>42736</v>
      </c>
      <c r="L294" s="785">
        <v>44551</v>
      </c>
      <c r="M294" s="775"/>
      <c r="N294" s="775"/>
      <c r="O294" s="773">
        <v>3</v>
      </c>
      <c r="P294" s="775">
        <v>60</v>
      </c>
      <c r="Q294" s="775">
        <v>2</v>
      </c>
      <c r="R294" s="775"/>
      <c r="S294" s="775"/>
      <c r="T294" s="775"/>
      <c r="U294" s="776"/>
      <c r="V294" s="775">
        <v>43</v>
      </c>
      <c r="W294" s="775" t="s">
        <v>130</v>
      </c>
      <c r="X294" s="775"/>
      <c r="Y294" s="775"/>
      <c r="Z294" s="775"/>
      <c r="AA294" s="775"/>
      <c r="AB294" s="775"/>
      <c r="AC294" s="776"/>
      <c r="AD294" s="775"/>
      <c r="AE294" s="775"/>
      <c r="AF294" s="775"/>
      <c r="AG294" s="775"/>
      <c r="AH294" s="775"/>
      <c r="AI294" s="775"/>
      <c r="AJ294" s="773"/>
      <c r="AK294" s="775"/>
      <c r="AL294" s="773"/>
      <c r="AM294" s="773"/>
      <c r="AN294" s="776"/>
      <c r="AO294" s="769"/>
      <c r="AP294" s="769"/>
      <c r="AQ294" s="773"/>
      <c r="AR294" s="773"/>
      <c r="AS294" s="773"/>
      <c r="AT29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94" s="779">
        <f>WWWW[[#This Row],[%Equitable and continuous access to sufficient quantity of safe drinking water]]*WWWW[[#This Row],[Total PoP ]]</f>
        <v>190</v>
      </c>
      <c r="AV29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94" s="779">
        <f>WWWW[[#This Row],[% Access to unimproved water points]]*WWWW[[#This Row],[Total PoP ]]</f>
        <v>190</v>
      </c>
      <c r="AX29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9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190</v>
      </c>
      <c r="AZ294" s="779">
        <f>WWWW[[#This Row],[HRP1]]/250</f>
        <v>0.76</v>
      </c>
      <c r="BA294" s="780">
        <f>1-WWWW[[#This Row],[% Equitable and continuous access to sufficient quantity of domestic water]]</f>
        <v>0</v>
      </c>
      <c r="BB294" s="779">
        <f>WWWW[[#This Row],[%equitable and continuous access to sufficient quantity of safe drinking and domestic water''s GAP]]*WWWW[[#This Row],[Total PoP ]]</f>
        <v>0</v>
      </c>
      <c r="BC294" s="781">
        <f>IF(WWWW[[#This Row],[Total required water points]]-WWWW[[#This Row],['#Water points coverage]]&lt;0,0,WWWW[[#This Row],[Total required water points]]-WWWW[[#This Row],['#Water points coverage]])</f>
        <v>0.24</v>
      </c>
      <c r="BD294" s="781">
        <f>ROUND(IF(WWWW[[#This Row],[Total PoP ]]&lt;250,1,WWWW[[#This Row],[Total PoP ]]/250),0)</f>
        <v>1</v>
      </c>
      <c r="BE29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294" s="779">
        <f>WWWW[[#This Row],[% people access to functioning Latrine]]*WWWW[[#This Row],[Total PoP ]]</f>
        <v>190</v>
      </c>
      <c r="BG294" s="781">
        <f>WWWW[[#This Row],['#_of_Functioning_latrines_in_school]]*50</f>
        <v>0</v>
      </c>
      <c r="BH294" s="781">
        <f>ROUND((WWWW[[#This Row],[Total PoP ]]/6),0)</f>
        <v>32</v>
      </c>
      <c r="BI294" s="781">
        <f>IF(WWWW[[#This Row],[Total required Latrines]]-(WWWW[[#This Row],['#_of_sanitary_fly-proof_HH_latrines]])&lt;0,0,WWWW[[#This Row],[Total required Latrines]]-(WWWW[[#This Row],['#_of_sanitary_fly-proof_HH_latrines]]))</f>
        <v>0</v>
      </c>
      <c r="BJ294" s="778">
        <f>1-WWWW[[#This Row],[% people access to functioning Latrine]]</f>
        <v>0</v>
      </c>
      <c r="BK29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94" s="772">
        <f>IF(WWWW[[#This Row],['#_of_functional_handwashing_facilities_at_HH_level]]*6&gt;WWWW[[#This Row],[Total PoP ]],WWWW[[#This Row],[Total PoP ]],WWWW[[#This Row],['#_of_functional_handwashing_facilities_at_HH_level]]*6)</f>
        <v>0</v>
      </c>
      <c r="BM294" s="781">
        <f>IF(WWWW[[#This Row],['# people reached by regular dedicated hygiene promotion]]&gt;WWWW[[#This Row],['# People received regular supply of hygiene items]],WWWW[[#This Row],['# people reached by regular dedicated hygiene promotion]],WWWW[[#This Row],['# People received regular supply of hygiene items]])</f>
        <v>0</v>
      </c>
      <c r="BN294" s="780">
        <f>IF(WWWW[[#This Row],[HRP3]]/WWWW[[#This Row],[Total PoP ]]&gt;100%,100%,WWWW[[#This Row],[HRP3]]/WWWW[[#This Row],[Total PoP ]])</f>
        <v>0</v>
      </c>
      <c r="BO294" s="778">
        <f>1-WWWW[[#This Row],[Hygiene Coverage%]]</f>
        <v>1</v>
      </c>
      <c r="BP294" s="777">
        <f>WWWW[[#This Row],['# people reached by regular dedicated hygiene promotion]]/WWWW[[#This Row],[Total PoP ]]</f>
        <v>0</v>
      </c>
      <c r="BQ29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94" s="770">
        <f>WWWW[[#This Row],['#_of_affected_women_and_girls_receiving_a_sufficient_quantity_of_sanitary_pads]]</f>
        <v>0</v>
      </c>
      <c r="BS294" s="773">
        <f>IF(WWWW[[#This Row],['# People with access to soap]]&gt;WWWW[[#This Row],['# People with access to Sanity Pads]],WWWW[[#This Row],['# People with access to soap]],WWWW[[#This Row],['# People with access to Sanity Pads]])</f>
        <v>0</v>
      </c>
      <c r="BT294" s="772" t="str">
        <f>IF(OR(WWWW[[#This Row],['#of students in school]]="",WWWW[[#This Row],['#of students in school]]=0),"No","Yes")</f>
        <v>No</v>
      </c>
      <c r="BU294" s="782" t="str">
        <f>VLOOKUP(WWWW[[#This Row],[Village  Name]],SiteDB6[[Site Name]:[Location Type 1]],9,FALSE)</f>
        <v>Village</v>
      </c>
      <c r="BV294" s="782" t="str">
        <f>VLOOKUP(WWWW[[#This Row],[Village  Name]],SiteDB6[[Site Name]:[Type of Accommodation]],10,FALSE)</f>
        <v>Village</v>
      </c>
      <c r="BW294" s="782">
        <f>VLOOKUP(WWWW[[#This Row],[Village  Name]],SiteDB6[[Site Name]:[Ethnic or GCA/NGCA]],11,FALSE)</f>
        <v>0</v>
      </c>
      <c r="BX294" s="782">
        <f>VLOOKUP(WWWW[[#This Row],[Village  Name]],SiteDB6[[Site Name]:[Lat]],12,FALSE)</f>
        <v>0</v>
      </c>
      <c r="BY294" s="782">
        <f>VLOOKUP(WWWW[[#This Row],[Village  Name]],SiteDB6[[Site Name]:[Long]],13,FALSE)</f>
        <v>0</v>
      </c>
      <c r="BZ294" s="782">
        <f>VLOOKUP(WWWW[[#This Row],[Village  Name]],SiteDB6[[Site Name]:[Pcode]],3,FALSE)</f>
        <v>0</v>
      </c>
      <c r="CA294" s="782" t="str">
        <f t="shared" si="18"/>
        <v>Covered</v>
      </c>
      <c r="CB294" s="783"/>
    </row>
    <row r="295" spans="1:80">
      <c r="A295" s="774" t="s">
        <v>3199</v>
      </c>
      <c r="B295" s="727" t="s">
        <v>314</v>
      </c>
      <c r="C295" s="728" t="s">
        <v>314</v>
      </c>
      <c r="D295" s="728" t="s">
        <v>307</v>
      </c>
      <c r="E295" s="728" t="s">
        <v>2648</v>
      </c>
      <c r="F295" s="728" t="s">
        <v>312</v>
      </c>
      <c r="G295" s="644" t="str">
        <f>VLOOKUP(WWWW[[#This Row],[Village  Name]],SiteDB6[[Site Name]:[Location Type]],8,FALSE)</f>
        <v>Village</v>
      </c>
      <c r="H295" s="728" t="s">
        <v>2612</v>
      </c>
      <c r="I295" s="775">
        <v>150</v>
      </c>
      <c r="J295" s="775">
        <v>532</v>
      </c>
      <c r="K295" s="784">
        <v>42736</v>
      </c>
      <c r="L295" s="785">
        <v>44551</v>
      </c>
      <c r="M295" s="775"/>
      <c r="N295" s="775"/>
      <c r="O295" s="773">
        <v>0</v>
      </c>
      <c r="P295" s="775">
        <v>84</v>
      </c>
      <c r="Q295" s="775">
        <v>2</v>
      </c>
      <c r="R295" s="775"/>
      <c r="S295" s="775"/>
      <c r="T295" s="775"/>
      <c r="U295" s="776"/>
      <c r="V295" s="775">
        <v>45</v>
      </c>
      <c r="W295" s="775" t="s">
        <v>130</v>
      </c>
      <c r="X295" s="775"/>
      <c r="Y295" s="775"/>
      <c r="Z295" s="775"/>
      <c r="AA295" s="775"/>
      <c r="AB295" s="775"/>
      <c r="AC295" s="776"/>
      <c r="AD295" s="775"/>
      <c r="AE295" s="775"/>
      <c r="AF295" s="775"/>
      <c r="AG295" s="775"/>
      <c r="AH295" s="775"/>
      <c r="AI295" s="775"/>
      <c r="AJ295" s="773"/>
      <c r="AK295" s="775"/>
      <c r="AL295" s="773"/>
      <c r="AM295" s="773"/>
      <c r="AN295" s="776"/>
      <c r="AO295" s="769"/>
      <c r="AP295" s="769"/>
      <c r="AQ295" s="773"/>
      <c r="AR295" s="773"/>
      <c r="AS295" s="773"/>
      <c r="AT29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95" s="779">
        <f>WWWW[[#This Row],[%Equitable and continuous access to sufficient quantity of safe drinking water]]*WWWW[[#This Row],[Total PoP ]]</f>
        <v>532</v>
      </c>
      <c r="AV29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95" s="779">
        <f>WWWW[[#This Row],[% Access to unimproved water points]]*WWWW[[#This Row],[Total PoP ]]</f>
        <v>532</v>
      </c>
      <c r="AX29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9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532</v>
      </c>
      <c r="AZ295" s="779">
        <f>WWWW[[#This Row],[HRP1]]/250</f>
        <v>2.1280000000000001</v>
      </c>
      <c r="BA295" s="780">
        <f>1-WWWW[[#This Row],[% Equitable and continuous access to sufficient quantity of domestic water]]</f>
        <v>0</v>
      </c>
      <c r="BB295" s="779">
        <f>WWWW[[#This Row],[%equitable and continuous access to sufficient quantity of safe drinking and domestic water''s GAP]]*WWWW[[#This Row],[Total PoP ]]</f>
        <v>0</v>
      </c>
      <c r="BC295" s="781">
        <f>IF(WWWW[[#This Row],[Total required water points]]-WWWW[[#This Row],['#Water points coverage]]&lt;0,0,WWWW[[#This Row],[Total required water points]]-WWWW[[#This Row],['#Water points coverage]])</f>
        <v>0</v>
      </c>
      <c r="BD295" s="781">
        <f>ROUND(IF(WWWW[[#This Row],[Total PoP ]]&lt;250,1,WWWW[[#This Row],[Total PoP ]]/250),0)</f>
        <v>2</v>
      </c>
      <c r="BE29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0.50751879699248126</v>
      </c>
      <c r="BF295" s="779">
        <f>WWWW[[#This Row],[% people access to functioning Latrine]]*WWWW[[#This Row],[Total PoP ]]</f>
        <v>270.00000000000006</v>
      </c>
      <c r="BG295" s="781">
        <f>WWWW[[#This Row],['#_of_Functioning_latrines_in_school]]*50</f>
        <v>0</v>
      </c>
      <c r="BH295" s="781">
        <f>ROUND((WWWW[[#This Row],[Total PoP ]]/6),0)</f>
        <v>89</v>
      </c>
      <c r="BI295" s="781">
        <f>IF(WWWW[[#This Row],[Total required Latrines]]-(WWWW[[#This Row],['#_of_sanitary_fly-proof_HH_latrines]])&lt;0,0,WWWW[[#This Row],[Total required Latrines]]-(WWWW[[#This Row],['#_of_sanitary_fly-proof_HH_latrines]]))</f>
        <v>44</v>
      </c>
      <c r="BJ295" s="778">
        <f>1-WWWW[[#This Row],[% people access to functioning Latrine]]</f>
        <v>0.49248120300751874</v>
      </c>
      <c r="BK29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95" s="772">
        <f>IF(WWWW[[#This Row],['#_of_functional_handwashing_facilities_at_HH_level]]*6&gt;WWWW[[#This Row],[Total PoP ]],WWWW[[#This Row],[Total PoP ]],WWWW[[#This Row],['#_of_functional_handwashing_facilities_at_HH_level]]*6)</f>
        <v>0</v>
      </c>
      <c r="BM295" s="781">
        <f>IF(WWWW[[#This Row],['# people reached by regular dedicated hygiene promotion]]&gt;WWWW[[#This Row],['# People received regular supply of hygiene items]],WWWW[[#This Row],['# people reached by regular dedicated hygiene promotion]],WWWW[[#This Row],['# People received regular supply of hygiene items]])</f>
        <v>0</v>
      </c>
      <c r="BN295" s="780">
        <f>IF(WWWW[[#This Row],[HRP3]]/WWWW[[#This Row],[Total PoP ]]&gt;100%,100%,WWWW[[#This Row],[HRP3]]/WWWW[[#This Row],[Total PoP ]])</f>
        <v>0</v>
      </c>
      <c r="BO295" s="778">
        <f>1-WWWW[[#This Row],[Hygiene Coverage%]]</f>
        <v>1</v>
      </c>
      <c r="BP295" s="777">
        <f>WWWW[[#This Row],['# people reached by regular dedicated hygiene promotion]]/WWWW[[#This Row],[Total PoP ]]</f>
        <v>0</v>
      </c>
      <c r="BQ29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95" s="770">
        <f>WWWW[[#This Row],['#_of_affected_women_and_girls_receiving_a_sufficient_quantity_of_sanitary_pads]]</f>
        <v>0</v>
      </c>
      <c r="BS295" s="773">
        <f>IF(WWWW[[#This Row],['# People with access to soap]]&gt;WWWW[[#This Row],['# People with access to Sanity Pads]],WWWW[[#This Row],['# People with access to soap]],WWWW[[#This Row],['# People with access to Sanity Pads]])</f>
        <v>0</v>
      </c>
      <c r="BT295" s="772" t="str">
        <f>IF(OR(WWWW[[#This Row],['#of students in school]]="",WWWW[[#This Row],['#of students in school]]=0),"No","Yes")</f>
        <v>No</v>
      </c>
      <c r="BU295" s="782" t="str">
        <f>VLOOKUP(WWWW[[#This Row],[Village  Name]],SiteDB6[[Site Name]:[Location Type 1]],9,FALSE)</f>
        <v>Village</v>
      </c>
      <c r="BV295" s="782" t="str">
        <f>VLOOKUP(WWWW[[#This Row],[Village  Name]],SiteDB6[[Site Name]:[Type of Accommodation]],10,FALSE)</f>
        <v>Village</v>
      </c>
      <c r="BW295" s="782">
        <f>VLOOKUP(WWWW[[#This Row],[Village  Name]],SiteDB6[[Site Name]:[Ethnic or GCA/NGCA]],11,FALSE)</f>
        <v>0</v>
      </c>
      <c r="BX295" s="782">
        <f>VLOOKUP(WWWW[[#This Row],[Village  Name]],SiteDB6[[Site Name]:[Lat]],12,FALSE)</f>
        <v>20.440990447998001</v>
      </c>
      <c r="BY295" s="782">
        <f>VLOOKUP(WWWW[[#This Row],[Village  Name]],SiteDB6[[Site Name]:[Long]],13,FALSE)</f>
        <v>93.336273193359403</v>
      </c>
      <c r="BZ295" s="782">
        <f>VLOOKUP(WWWW[[#This Row],[Village  Name]],SiteDB6[[Site Name]:[Pcode]],3,FALSE)</f>
        <v>197092</v>
      </c>
      <c r="CA295" s="782" t="str">
        <f t="shared" si="18"/>
        <v>Covered</v>
      </c>
      <c r="CB295" s="783"/>
    </row>
    <row r="296" spans="1:80">
      <c r="A296" s="774" t="s">
        <v>3199</v>
      </c>
      <c r="B296" s="727" t="s">
        <v>314</v>
      </c>
      <c r="C296" s="728" t="s">
        <v>314</v>
      </c>
      <c r="D296" s="728" t="s">
        <v>307</v>
      </c>
      <c r="E296" s="728" t="s">
        <v>2648</v>
      </c>
      <c r="F296" s="728" t="s">
        <v>312</v>
      </c>
      <c r="G296" s="644" t="str">
        <f>VLOOKUP(WWWW[[#This Row],[Village  Name]],SiteDB6[[Site Name]:[Location Type]],8,FALSE)</f>
        <v>Village</v>
      </c>
      <c r="H296" s="728" t="s">
        <v>2613</v>
      </c>
      <c r="I296" s="775">
        <v>142</v>
      </c>
      <c r="J296" s="775">
        <v>542</v>
      </c>
      <c r="K296" s="784">
        <v>42736</v>
      </c>
      <c r="L296" s="785">
        <v>44551</v>
      </c>
      <c r="M296" s="775"/>
      <c r="N296" s="775"/>
      <c r="O296" s="773">
        <v>11</v>
      </c>
      <c r="P296" s="775">
        <v>65</v>
      </c>
      <c r="Q296" s="775">
        <v>2</v>
      </c>
      <c r="R296" s="775"/>
      <c r="S296" s="775"/>
      <c r="T296" s="775"/>
      <c r="U296" s="776"/>
      <c r="V296" s="775">
        <v>56</v>
      </c>
      <c r="W296" s="775" t="s">
        <v>130</v>
      </c>
      <c r="X296" s="775"/>
      <c r="Y296" s="775"/>
      <c r="Z296" s="775"/>
      <c r="AA296" s="775"/>
      <c r="AB296" s="775"/>
      <c r="AC296" s="776"/>
      <c r="AD296" s="775"/>
      <c r="AE296" s="775"/>
      <c r="AF296" s="775"/>
      <c r="AG296" s="775"/>
      <c r="AH296" s="775"/>
      <c r="AI296" s="775"/>
      <c r="AJ296" s="773"/>
      <c r="AK296" s="775"/>
      <c r="AL296" s="773"/>
      <c r="AM296" s="773"/>
      <c r="AN296" s="776"/>
      <c r="AO296" s="769"/>
      <c r="AP296" s="769"/>
      <c r="AQ296" s="773"/>
      <c r="AR296" s="773"/>
      <c r="AS296" s="773"/>
      <c r="AT29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96" s="779">
        <f>WWWW[[#This Row],[%Equitable and continuous access to sufficient quantity of safe drinking water]]*WWWW[[#This Row],[Total PoP ]]</f>
        <v>542</v>
      </c>
      <c r="AV29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96" s="779">
        <f>WWWW[[#This Row],[% Access to unimproved water points]]*WWWW[[#This Row],[Total PoP ]]</f>
        <v>542</v>
      </c>
      <c r="AX29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9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542</v>
      </c>
      <c r="AZ296" s="779">
        <f>WWWW[[#This Row],[HRP1]]/250</f>
        <v>2.1680000000000001</v>
      </c>
      <c r="BA296" s="780">
        <f>1-WWWW[[#This Row],[% Equitable and continuous access to sufficient quantity of domestic water]]</f>
        <v>0</v>
      </c>
      <c r="BB296" s="779">
        <f>WWWW[[#This Row],[%equitable and continuous access to sufficient quantity of safe drinking and domestic water''s GAP]]*WWWW[[#This Row],[Total PoP ]]</f>
        <v>0</v>
      </c>
      <c r="BC296" s="781">
        <f>IF(WWWW[[#This Row],[Total required water points]]-WWWW[[#This Row],['#Water points coverage]]&lt;0,0,WWWW[[#This Row],[Total required water points]]-WWWW[[#This Row],['#Water points coverage]])</f>
        <v>0</v>
      </c>
      <c r="BD296" s="781">
        <f>ROUND(IF(WWWW[[#This Row],[Total PoP ]]&lt;250,1,WWWW[[#This Row],[Total PoP ]]/250),0)</f>
        <v>2</v>
      </c>
      <c r="BE29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0.61992619926199266</v>
      </c>
      <c r="BF296" s="779">
        <f>WWWW[[#This Row],[% people access to functioning Latrine]]*WWWW[[#This Row],[Total PoP ]]</f>
        <v>336</v>
      </c>
      <c r="BG296" s="781">
        <f>WWWW[[#This Row],['#_of_Functioning_latrines_in_school]]*50</f>
        <v>0</v>
      </c>
      <c r="BH296" s="781">
        <f>ROUND((WWWW[[#This Row],[Total PoP ]]/6),0)</f>
        <v>90</v>
      </c>
      <c r="BI296" s="781">
        <f>IF(WWWW[[#This Row],[Total required Latrines]]-(WWWW[[#This Row],['#_of_sanitary_fly-proof_HH_latrines]])&lt;0,0,WWWW[[#This Row],[Total required Latrines]]-(WWWW[[#This Row],['#_of_sanitary_fly-proof_HH_latrines]]))</f>
        <v>34</v>
      </c>
      <c r="BJ296" s="778">
        <f>1-WWWW[[#This Row],[% people access to functioning Latrine]]</f>
        <v>0.38007380073800734</v>
      </c>
      <c r="BK29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96" s="772">
        <f>IF(WWWW[[#This Row],['#_of_functional_handwashing_facilities_at_HH_level]]*6&gt;WWWW[[#This Row],[Total PoP ]],WWWW[[#This Row],[Total PoP ]],WWWW[[#This Row],['#_of_functional_handwashing_facilities_at_HH_level]]*6)</f>
        <v>0</v>
      </c>
      <c r="BM296" s="781">
        <f>IF(WWWW[[#This Row],['# people reached by regular dedicated hygiene promotion]]&gt;WWWW[[#This Row],['# People received regular supply of hygiene items]],WWWW[[#This Row],['# people reached by regular dedicated hygiene promotion]],WWWW[[#This Row],['# People received regular supply of hygiene items]])</f>
        <v>0</v>
      </c>
      <c r="BN296" s="780">
        <f>IF(WWWW[[#This Row],[HRP3]]/WWWW[[#This Row],[Total PoP ]]&gt;100%,100%,WWWW[[#This Row],[HRP3]]/WWWW[[#This Row],[Total PoP ]])</f>
        <v>0</v>
      </c>
      <c r="BO296" s="778">
        <f>1-WWWW[[#This Row],[Hygiene Coverage%]]</f>
        <v>1</v>
      </c>
      <c r="BP296" s="777">
        <f>WWWW[[#This Row],['# people reached by regular dedicated hygiene promotion]]/WWWW[[#This Row],[Total PoP ]]</f>
        <v>0</v>
      </c>
      <c r="BQ29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96" s="770">
        <f>WWWW[[#This Row],['#_of_affected_women_and_girls_receiving_a_sufficient_quantity_of_sanitary_pads]]</f>
        <v>0</v>
      </c>
      <c r="BS296" s="773">
        <f>IF(WWWW[[#This Row],['# People with access to soap]]&gt;WWWW[[#This Row],['# People with access to Sanity Pads]],WWWW[[#This Row],['# People with access to soap]],WWWW[[#This Row],['# People with access to Sanity Pads]])</f>
        <v>0</v>
      </c>
      <c r="BT296" s="772" t="str">
        <f>IF(OR(WWWW[[#This Row],['#of students in school]]="",WWWW[[#This Row],['#of students in school]]=0),"No","Yes")</f>
        <v>No</v>
      </c>
      <c r="BU296" s="782" t="str">
        <f>VLOOKUP(WWWW[[#This Row],[Village  Name]],SiteDB6[[Site Name]:[Location Type 1]],9,FALSE)</f>
        <v>Village</v>
      </c>
      <c r="BV296" s="782" t="str">
        <f>VLOOKUP(WWWW[[#This Row],[Village  Name]],SiteDB6[[Site Name]:[Type of Accommodation]],10,FALSE)</f>
        <v>Village</v>
      </c>
      <c r="BW296" s="782">
        <f>VLOOKUP(WWWW[[#This Row],[Village  Name]],SiteDB6[[Site Name]:[Ethnic or GCA/NGCA]],11,FALSE)</f>
        <v>0</v>
      </c>
      <c r="BX296" s="782">
        <f>VLOOKUP(WWWW[[#This Row],[Village  Name]],SiteDB6[[Site Name]:[Lat]],12,FALSE)</f>
        <v>20.438470840454102</v>
      </c>
      <c r="BY296" s="782">
        <f>VLOOKUP(WWWW[[#This Row],[Village  Name]],SiteDB6[[Site Name]:[Long]],13,FALSE)</f>
        <v>93.344322204589801</v>
      </c>
      <c r="BZ296" s="782">
        <f>VLOOKUP(WWWW[[#This Row],[Village  Name]],SiteDB6[[Site Name]:[Pcode]],3,FALSE)</f>
        <v>197100</v>
      </c>
      <c r="CA296" s="782" t="str">
        <f t="shared" si="18"/>
        <v>Covered</v>
      </c>
      <c r="CB296" s="783"/>
    </row>
    <row r="297" spans="1:80">
      <c r="A297" s="774" t="s">
        <v>3199</v>
      </c>
      <c r="B297" s="727" t="s">
        <v>314</v>
      </c>
      <c r="C297" s="728" t="s">
        <v>314</v>
      </c>
      <c r="D297" s="728" t="s">
        <v>307</v>
      </c>
      <c r="E297" s="728" t="s">
        <v>2648</v>
      </c>
      <c r="F297" s="728" t="s">
        <v>312</v>
      </c>
      <c r="G297" s="644" t="str">
        <f>VLOOKUP(WWWW[[#This Row],[Village  Name]],SiteDB6[[Site Name]:[Location Type]],8,FALSE)</f>
        <v>Village</v>
      </c>
      <c r="H297" s="728" t="s">
        <v>2614</v>
      </c>
      <c r="I297" s="775">
        <v>290</v>
      </c>
      <c r="J297" s="775">
        <v>1314</v>
      </c>
      <c r="K297" s="784">
        <v>42736</v>
      </c>
      <c r="L297" s="785">
        <v>44551</v>
      </c>
      <c r="M297" s="775"/>
      <c r="N297" s="775"/>
      <c r="O297" s="773">
        <v>7</v>
      </c>
      <c r="P297" s="775">
        <v>135</v>
      </c>
      <c r="Q297" s="775">
        <v>3</v>
      </c>
      <c r="R297" s="775"/>
      <c r="S297" s="775"/>
      <c r="T297" s="775"/>
      <c r="U297" s="776"/>
      <c r="V297" s="775">
        <v>159</v>
      </c>
      <c r="W297" s="775" t="s">
        <v>130</v>
      </c>
      <c r="X297" s="775"/>
      <c r="Y297" s="775"/>
      <c r="Z297" s="775"/>
      <c r="AA297" s="775"/>
      <c r="AB297" s="775"/>
      <c r="AC297" s="776"/>
      <c r="AD297" s="775"/>
      <c r="AE297" s="775"/>
      <c r="AF297" s="775"/>
      <c r="AG297" s="775"/>
      <c r="AH297" s="775"/>
      <c r="AI297" s="775"/>
      <c r="AJ297" s="773"/>
      <c r="AK297" s="775"/>
      <c r="AL297" s="773"/>
      <c r="AM297" s="773"/>
      <c r="AN297" s="776"/>
      <c r="AO297" s="769"/>
      <c r="AP297" s="769"/>
      <c r="AQ297" s="773"/>
      <c r="AR297" s="773"/>
      <c r="AS297" s="773"/>
      <c r="AT29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97" s="779">
        <f>WWWW[[#This Row],[%Equitable and continuous access to sufficient quantity of safe drinking water]]*WWWW[[#This Row],[Total PoP ]]</f>
        <v>1314</v>
      </c>
      <c r="AV29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97" s="779">
        <f>WWWW[[#This Row],[% Access to unimproved water points]]*WWWW[[#This Row],[Total PoP ]]</f>
        <v>1314</v>
      </c>
      <c r="AX29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9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1314</v>
      </c>
      <c r="AZ297" s="779">
        <f>WWWW[[#This Row],[HRP1]]/250</f>
        <v>5.2560000000000002</v>
      </c>
      <c r="BA297" s="780">
        <f>1-WWWW[[#This Row],[% Equitable and continuous access to sufficient quantity of domestic water]]</f>
        <v>0</v>
      </c>
      <c r="BB297" s="779">
        <f>WWWW[[#This Row],[%equitable and continuous access to sufficient quantity of safe drinking and domestic water''s GAP]]*WWWW[[#This Row],[Total PoP ]]</f>
        <v>0</v>
      </c>
      <c r="BC297" s="781">
        <f>IF(WWWW[[#This Row],[Total required water points]]-WWWW[[#This Row],['#Water points coverage]]&lt;0,0,WWWW[[#This Row],[Total required water points]]-WWWW[[#This Row],['#Water points coverage]])</f>
        <v>0</v>
      </c>
      <c r="BD297" s="781">
        <f>ROUND(IF(WWWW[[#This Row],[Total PoP ]]&lt;250,1,WWWW[[#This Row],[Total PoP ]]/250),0)</f>
        <v>5</v>
      </c>
      <c r="BE29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0.72602739726027399</v>
      </c>
      <c r="BF297" s="779">
        <f>WWWW[[#This Row],[% people access to functioning Latrine]]*WWWW[[#This Row],[Total PoP ]]</f>
        <v>954</v>
      </c>
      <c r="BG297" s="781">
        <f>WWWW[[#This Row],['#_of_Functioning_latrines_in_school]]*50</f>
        <v>0</v>
      </c>
      <c r="BH297" s="781">
        <f>ROUND((WWWW[[#This Row],[Total PoP ]]/6),0)</f>
        <v>219</v>
      </c>
      <c r="BI297" s="781">
        <f>IF(WWWW[[#This Row],[Total required Latrines]]-(WWWW[[#This Row],['#_of_sanitary_fly-proof_HH_latrines]])&lt;0,0,WWWW[[#This Row],[Total required Latrines]]-(WWWW[[#This Row],['#_of_sanitary_fly-proof_HH_latrines]]))</f>
        <v>60</v>
      </c>
      <c r="BJ297" s="778">
        <f>1-WWWW[[#This Row],[% people access to functioning Latrine]]</f>
        <v>0.27397260273972601</v>
      </c>
      <c r="BK29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97" s="772">
        <f>IF(WWWW[[#This Row],['#_of_functional_handwashing_facilities_at_HH_level]]*6&gt;WWWW[[#This Row],[Total PoP ]],WWWW[[#This Row],[Total PoP ]],WWWW[[#This Row],['#_of_functional_handwashing_facilities_at_HH_level]]*6)</f>
        <v>0</v>
      </c>
      <c r="BM297" s="781">
        <f>IF(WWWW[[#This Row],['# people reached by regular dedicated hygiene promotion]]&gt;WWWW[[#This Row],['# People received regular supply of hygiene items]],WWWW[[#This Row],['# people reached by regular dedicated hygiene promotion]],WWWW[[#This Row],['# People received regular supply of hygiene items]])</f>
        <v>0</v>
      </c>
      <c r="BN297" s="780">
        <f>IF(WWWW[[#This Row],[HRP3]]/WWWW[[#This Row],[Total PoP ]]&gt;100%,100%,WWWW[[#This Row],[HRP3]]/WWWW[[#This Row],[Total PoP ]])</f>
        <v>0</v>
      </c>
      <c r="BO297" s="778">
        <f>1-WWWW[[#This Row],[Hygiene Coverage%]]</f>
        <v>1</v>
      </c>
      <c r="BP297" s="777">
        <f>WWWW[[#This Row],['# people reached by regular dedicated hygiene promotion]]/WWWW[[#This Row],[Total PoP ]]</f>
        <v>0</v>
      </c>
      <c r="BQ29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97" s="770">
        <f>WWWW[[#This Row],['#_of_affected_women_and_girls_receiving_a_sufficient_quantity_of_sanitary_pads]]</f>
        <v>0</v>
      </c>
      <c r="BS297" s="773">
        <f>IF(WWWW[[#This Row],['# People with access to soap]]&gt;WWWW[[#This Row],['# People with access to Sanity Pads]],WWWW[[#This Row],['# People with access to soap]],WWWW[[#This Row],['# People with access to Sanity Pads]])</f>
        <v>0</v>
      </c>
      <c r="BT297" s="772" t="str">
        <f>IF(OR(WWWW[[#This Row],['#of students in school]]="",WWWW[[#This Row],['#of students in school]]=0),"No","Yes")</f>
        <v>No</v>
      </c>
      <c r="BU297" s="782" t="str">
        <f>VLOOKUP(WWWW[[#This Row],[Village  Name]],SiteDB6[[Site Name]:[Location Type 1]],9,FALSE)</f>
        <v>Village</v>
      </c>
      <c r="BV297" s="782" t="str">
        <f>VLOOKUP(WWWW[[#This Row],[Village  Name]],SiteDB6[[Site Name]:[Type of Accommodation]],10,FALSE)</f>
        <v>Village</v>
      </c>
      <c r="BW297" s="782">
        <f>VLOOKUP(WWWW[[#This Row],[Village  Name]],SiteDB6[[Site Name]:[Ethnic or GCA/NGCA]],11,FALSE)</f>
        <v>0</v>
      </c>
      <c r="BX297" s="782">
        <f>VLOOKUP(WWWW[[#This Row],[Village  Name]],SiteDB6[[Site Name]:[Lat]],12,FALSE)</f>
        <v>20.424299240112301</v>
      </c>
      <c r="BY297" s="782">
        <f>VLOOKUP(WWWW[[#This Row],[Village  Name]],SiteDB6[[Site Name]:[Long]],13,FALSE)</f>
        <v>93.337341308593807</v>
      </c>
      <c r="BZ297" s="782">
        <f>VLOOKUP(WWWW[[#This Row],[Village  Name]],SiteDB6[[Site Name]:[Pcode]],3,FALSE)</f>
        <v>197099</v>
      </c>
      <c r="CA297" s="782" t="str">
        <f t="shared" si="18"/>
        <v>Covered</v>
      </c>
      <c r="CB297" s="783"/>
    </row>
    <row r="298" spans="1:80">
      <c r="A298" s="774" t="s">
        <v>3199</v>
      </c>
      <c r="B298" s="727" t="s">
        <v>314</v>
      </c>
      <c r="C298" s="728" t="s">
        <v>314</v>
      </c>
      <c r="D298" s="728" t="s">
        <v>307</v>
      </c>
      <c r="E298" s="728" t="s">
        <v>2648</v>
      </c>
      <c r="F298" s="728" t="s">
        <v>312</v>
      </c>
      <c r="G298" s="644" t="str">
        <f>VLOOKUP(WWWW[[#This Row],[Village  Name]],SiteDB6[[Site Name]:[Location Type]],8,FALSE)</f>
        <v>Village</v>
      </c>
      <c r="H298" s="728" t="s">
        <v>2615</v>
      </c>
      <c r="I298" s="775">
        <v>215</v>
      </c>
      <c r="J298" s="775">
        <v>1125</v>
      </c>
      <c r="K298" s="784">
        <v>42736</v>
      </c>
      <c r="L298" s="785">
        <v>44551</v>
      </c>
      <c r="M298" s="775"/>
      <c r="N298" s="775"/>
      <c r="O298" s="773">
        <v>0</v>
      </c>
      <c r="P298" s="775">
        <v>40</v>
      </c>
      <c r="Q298" s="775">
        <v>1</v>
      </c>
      <c r="R298" s="775"/>
      <c r="S298" s="775"/>
      <c r="T298" s="775"/>
      <c r="U298" s="776"/>
      <c r="V298" s="775">
        <v>36</v>
      </c>
      <c r="W298" s="775" t="s">
        <v>130</v>
      </c>
      <c r="X298" s="775"/>
      <c r="Y298" s="775"/>
      <c r="Z298" s="775"/>
      <c r="AA298" s="775"/>
      <c r="AB298" s="775"/>
      <c r="AC298" s="776"/>
      <c r="AD298" s="775"/>
      <c r="AE298" s="775"/>
      <c r="AF298" s="775"/>
      <c r="AG298" s="775"/>
      <c r="AH298" s="775"/>
      <c r="AI298" s="775"/>
      <c r="AJ298" s="773"/>
      <c r="AK298" s="775"/>
      <c r="AL298" s="773"/>
      <c r="AM298" s="773"/>
      <c r="AN298" s="776"/>
      <c r="AO298" s="769"/>
      <c r="AP298" s="769"/>
      <c r="AQ298" s="773"/>
      <c r="AR298" s="773"/>
      <c r="AS298" s="773"/>
      <c r="AT29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98" s="779">
        <f>WWWW[[#This Row],[%Equitable and continuous access to sufficient quantity of safe drinking water]]*WWWW[[#This Row],[Total PoP ]]</f>
        <v>1125</v>
      </c>
      <c r="AV29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98" s="779">
        <f>WWWW[[#This Row],[% Access to unimproved water points]]*WWWW[[#This Row],[Total PoP ]]</f>
        <v>1125</v>
      </c>
      <c r="AX29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9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1125</v>
      </c>
      <c r="AZ298" s="779">
        <f>WWWW[[#This Row],[HRP1]]/250</f>
        <v>4.5</v>
      </c>
      <c r="BA298" s="780">
        <f>1-WWWW[[#This Row],[% Equitable and continuous access to sufficient quantity of domestic water]]</f>
        <v>0</v>
      </c>
      <c r="BB298" s="779">
        <f>WWWW[[#This Row],[%equitable and continuous access to sufficient quantity of safe drinking and domestic water''s GAP]]*WWWW[[#This Row],[Total PoP ]]</f>
        <v>0</v>
      </c>
      <c r="BC298" s="781">
        <f>IF(WWWW[[#This Row],[Total required water points]]-WWWW[[#This Row],['#Water points coverage]]&lt;0,0,WWWW[[#This Row],[Total required water points]]-WWWW[[#This Row],['#Water points coverage]])</f>
        <v>0.5</v>
      </c>
      <c r="BD298" s="781">
        <f>ROUND(IF(WWWW[[#This Row],[Total PoP ]]&lt;250,1,WWWW[[#This Row],[Total PoP ]]/250),0)</f>
        <v>5</v>
      </c>
      <c r="BE29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0.192</v>
      </c>
      <c r="BF298" s="779">
        <f>WWWW[[#This Row],[% people access to functioning Latrine]]*WWWW[[#This Row],[Total PoP ]]</f>
        <v>216</v>
      </c>
      <c r="BG298" s="781">
        <f>WWWW[[#This Row],['#_of_Functioning_latrines_in_school]]*50</f>
        <v>0</v>
      </c>
      <c r="BH298" s="781">
        <f>ROUND((WWWW[[#This Row],[Total PoP ]]/6),0)</f>
        <v>188</v>
      </c>
      <c r="BI298" s="781">
        <f>IF(WWWW[[#This Row],[Total required Latrines]]-(WWWW[[#This Row],['#_of_sanitary_fly-proof_HH_latrines]])&lt;0,0,WWWW[[#This Row],[Total required Latrines]]-(WWWW[[#This Row],['#_of_sanitary_fly-proof_HH_latrines]]))</f>
        <v>152</v>
      </c>
      <c r="BJ298" s="778">
        <f>1-WWWW[[#This Row],[% people access to functioning Latrine]]</f>
        <v>0.80800000000000005</v>
      </c>
      <c r="BK29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98" s="772">
        <f>IF(WWWW[[#This Row],['#_of_functional_handwashing_facilities_at_HH_level]]*6&gt;WWWW[[#This Row],[Total PoP ]],WWWW[[#This Row],[Total PoP ]],WWWW[[#This Row],['#_of_functional_handwashing_facilities_at_HH_level]]*6)</f>
        <v>0</v>
      </c>
      <c r="BM298" s="781">
        <f>IF(WWWW[[#This Row],['# people reached by regular dedicated hygiene promotion]]&gt;WWWW[[#This Row],['# People received regular supply of hygiene items]],WWWW[[#This Row],['# people reached by regular dedicated hygiene promotion]],WWWW[[#This Row],['# People received regular supply of hygiene items]])</f>
        <v>0</v>
      </c>
      <c r="BN298" s="780">
        <f>IF(WWWW[[#This Row],[HRP3]]/WWWW[[#This Row],[Total PoP ]]&gt;100%,100%,WWWW[[#This Row],[HRP3]]/WWWW[[#This Row],[Total PoP ]])</f>
        <v>0</v>
      </c>
      <c r="BO298" s="778">
        <f>1-WWWW[[#This Row],[Hygiene Coverage%]]</f>
        <v>1</v>
      </c>
      <c r="BP298" s="777">
        <f>WWWW[[#This Row],['# people reached by regular dedicated hygiene promotion]]/WWWW[[#This Row],[Total PoP ]]</f>
        <v>0</v>
      </c>
      <c r="BQ29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98" s="770">
        <f>WWWW[[#This Row],['#_of_affected_women_and_girls_receiving_a_sufficient_quantity_of_sanitary_pads]]</f>
        <v>0</v>
      </c>
      <c r="BS298" s="773">
        <f>IF(WWWW[[#This Row],['# People with access to soap]]&gt;WWWW[[#This Row],['# People with access to Sanity Pads]],WWWW[[#This Row],['# People with access to soap]],WWWW[[#This Row],['# People with access to Sanity Pads]])</f>
        <v>0</v>
      </c>
      <c r="BT298" s="772" t="str">
        <f>IF(OR(WWWW[[#This Row],['#of students in school]]="",WWWW[[#This Row],['#of students in school]]=0),"No","Yes")</f>
        <v>No</v>
      </c>
      <c r="BU298" s="782" t="str">
        <f>VLOOKUP(WWWW[[#This Row],[Village  Name]],SiteDB6[[Site Name]:[Location Type 1]],9,FALSE)</f>
        <v>Village</v>
      </c>
      <c r="BV298" s="782" t="str">
        <f>VLOOKUP(WWWW[[#This Row],[Village  Name]],SiteDB6[[Site Name]:[Type of Accommodation]],10,FALSE)</f>
        <v>Village</v>
      </c>
      <c r="BW298" s="782">
        <f>VLOOKUP(WWWW[[#This Row],[Village  Name]],SiteDB6[[Site Name]:[Ethnic or GCA/NGCA]],11,FALSE)</f>
        <v>0</v>
      </c>
      <c r="BX298" s="782">
        <f>VLOOKUP(WWWW[[#This Row],[Village  Name]],SiteDB6[[Site Name]:[Lat]],12,FALSE)</f>
        <v>20.470190048217798</v>
      </c>
      <c r="BY298" s="782">
        <f>VLOOKUP(WWWW[[#This Row],[Village  Name]],SiteDB6[[Site Name]:[Long]],13,FALSE)</f>
        <v>93.3311767578125</v>
      </c>
      <c r="BZ298" s="782">
        <f>VLOOKUP(WWWW[[#This Row],[Village  Name]],SiteDB6[[Site Name]:[Pcode]],3,FALSE)</f>
        <v>197102</v>
      </c>
      <c r="CA298" s="782" t="str">
        <f t="shared" si="18"/>
        <v>Covered</v>
      </c>
      <c r="CB298" s="783"/>
    </row>
    <row r="299" spans="1:80">
      <c r="A299" s="774" t="s">
        <v>3199</v>
      </c>
      <c r="B299" s="727" t="s">
        <v>314</v>
      </c>
      <c r="C299" s="728" t="s">
        <v>314</v>
      </c>
      <c r="D299" s="728" t="s">
        <v>307</v>
      </c>
      <c r="E299" s="728" t="s">
        <v>2648</v>
      </c>
      <c r="F299" s="728" t="s">
        <v>312</v>
      </c>
      <c r="G299" s="644" t="str">
        <f>VLOOKUP(WWWW[[#This Row],[Village  Name]],SiteDB6[[Site Name]:[Location Type]],8,FALSE)</f>
        <v>Village</v>
      </c>
      <c r="H299" s="728" t="s">
        <v>2616</v>
      </c>
      <c r="I299" s="775">
        <v>181</v>
      </c>
      <c r="J299" s="775">
        <v>940</v>
      </c>
      <c r="K299" s="784">
        <v>42736</v>
      </c>
      <c r="L299" s="785">
        <v>44551</v>
      </c>
      <c r="M299" s="775"/>
      <c r="N299" s="775"/>
      <c r="O299" s="773">
        <v>0</v>
      </c>
      <c r="P299" s="775">
        <v>78</v>
      </c>
      <c r="Q299" s="775">
        <v>2</v>
      </c>
      <c r="R299" s="775"/>
      <c r="S299" s="775"/>
      <c r="T299" s="775"/>
      <c r="U299" s="776"/>
      <c r="V299" s="775">
        <v>88</v>
      </c>
      <c r="W299" s="775" t="s">
        <v>130</v>
      </c>
      <c r="X299" s="775"/>
      <c r="Y299" s="775"/>
      <c r="Z299" s="775"/>
      <c r="AA299" s="775"/>
      <c r="AB299" s="775"/>
      <c r="AC299" s="776"/>
      <c r="AD299" s="775"/>
      <c r="AE299" s="775"/>
      <c r="AF299" s="775"/>
      <c r="AG299" s="775"/>
      <c r="AH299" s="775"/>
      <c r="AI299" s="775"/>
      <c r="AJ299" s="773"/>
      <c r="AK299" s="775"/>
      <c r="AL299" s="773"/>
      <c r="AM299" s="773"/>
      <c r="AN299" s="776"/>
      <c r="AO299" s="769"/>
      <c r="AP299" s="769"/>
      <c r="AQ299" s="773"/>
      <c r="AR299" s="773"/>
      <c r="AS299" s="773"/>
      <c r="AT29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299" s="779">
        <f>WWWW[[#This Row],[%Equitable and continuous access to sufficient quantity of safe drinking water]]*WWWW[[#This Row],[Total PoP ]]</f>
        <v>940</v>
      </c>
      <c r="AV29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299" s="779">
        <f>WWWW[[#This Row],[% Access to unimproved water points]]*WWWW[[#This Row],[Total PoP ]]</f>
        <v>940</v>
      </c>
      <c r="AX29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29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940</v>
      </c>
      <c r="AZ299" s="779">
        <f>WWWW[[#This Row],[HRP1]]/250</f>
        <v>3.76</v>
      </c>
      <c r="BA299" s="780">
        <f>1-WWWW[[#This Row],[% Equitable and continuous access to sufficient quantity of domestic water]]</f>
        <v>0</v>
      </c>
      <c r="BB299" s="779">
        <f>WWWW[[#This Row],[%equitable and continuous access to sufficient quantity of safe drinking and domestic water''s GAP]]*WWWW[[#This Row],[Total PoP ]]</f>
        <v>0</v>
      </c>
      <c r="BC299" s="781">
        <f>IF(WWWW[[#This Row],[Total required water points]]-WWWW[[#This Row],['#Water points coverage]]&lt;0,0,WWWW[[#This Row],[Total required water points]]-WWWW[[#This Row],['#Water points coverage]])</f>
        <v>0.24000000000000021</v>
      </c>
      <c r="BD299" s="781">
        <f>ROUND(IF(WWWW[[#This Row],[Total PoP ]]&lt;250,1,WWWW[[#This Row],[Total PoP ]]/250),0)</f>
        <v>4</v>
      </c>
      <c r="BE29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0.5617021276595745</v>
      </c>
      <c r="BF299" s="779">
        <f>WWWW[[#This Row],[% people access to functioning Latrine]]*WWWW[[#This Row],[Total PoP ]]</f>
        <v>528</v>
      </c>
      <c r="BG299" s="781">
        <f>WWWW[[#This Row],['#_of_Functioning_latrines_in_school]]*50</f>
        <v>0</v>
      </c>
      <c r="BH299" s="781">
        <f>ROUND((WWWW[[#This Row],[Total PoP ]]/6),0)</f>
        <v>157</v>
      </c>
      <c r="BI299" s="781">
        <f>IF(WWWW[[#This Row],[Total required Latrines]]-(WWWW[[#This Row],['#_of_sanitary_fly-proof_HH_latrines]])&lt;0,0,WWWW[[#This Row],[Total required Latrines]]-(WWWW[[#This Row],['#_of_sanitary_fly-proof_HH_latrines]]))</f>
        <v>69</v>
      </c>
      <c r="BJ299" s="778">
        <f>1-WWWW[[#This Row],[% people access to functioning Latrine]]</f>
        <v>0.4382978723404255</v>
      </c>
      <c r="BK29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299" s="772">
        <f>IF(WWWW[[#This Row],['#_of_functional_handwashing_facilities_at_HH_level]]*6&gt;WWWW[[#This Row],[Total PoP ]],WWWW[[#This Row],[Total PoP ]],WWWW[[#This Row],['#_of_functional_handwashing_facilities_at_HH_level]]*6)</f>
        <v>0</v>
      </c>
      <c r="BM299" s="781">
        <f>IF(WWWW[[#This Row],['# people reached by regular dedicated hygiene promotion]]&gt;WWWW[[#This Row],['# People received regular supply of hygiene items]],WWWW[[#This Row],['# people reached by regular dedicated hygiene promotion]],WWWW[[#This Row],['# People received regular supply of hygiene items]])</f>
        <v>0</v>
      </c>
      <c r="BN299" s="780">
        <f>IF(WWWW[[#This Row],[HRP3]]/WWWW[[#This Row],[Total PoP ]]&gt;100%,100%,WWWW[[#This Row],[HRP3]]/WWWW[[#This Row],[Total PoP ]])</f>
        <v>0</v>
      </c>
      <c r="BO299" s="778">
        <f>1-WWWW[[#This Row],[Hygiene Coverage%]]</f>
        <v>1</v>
      </c>
      <c r="BP299" s="777">
        <f>WWWW[[#This Row],['# people reached by regular dedicated hygiene promotion]]/WWWW[[#This Row],[Total PoP ]]</f>
        <v>0</v>
      </c>
      <c r="BQ29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299" s="770">
        <f>WWWW[[#This Row],['#_of_affected_women_and_girls_receiving_a_sufficient_quantity_of_sanitary_pads]]</f>
        <v>0</v>
      </c>
      <c r="BS299" s="773">
        <f>IF(WWWW[[#This Row],['# People with access to soap]]&gt;WWWW[[#This Row],['# People with access to Sanity Pads]],WWWW[[#This Row],['# People with access to soap]],WWWW[[#This Row],['# People with access to Sanity Pads]])</f>
        <v>0</v>
      </c>
      <c r="BT299" s="772" t="str">
        <f>IF(OR(WWWW[[#This Row],['#of students in school]]="",WWWW[[#This Row],['#of students in school]]=0),"No","Yes")</f>
        <v>No</v>
      </c>
      <c r="BU299" s="782" t="str">
        <f>VLOOKUP(WWWW[[#This Row],[Village  Name]],SiteDB6[[Site Name]:[Location Type 1]],9,FALSE)</f>
        <v>Village</v>
      </c>
      <c r="BV299" s="782" t="str">
        <f>VLOOKUP(WWWW[[#This Row],[Village  Name]],SiteDB6[[Site Name]:[Type of Accommodation]],10,FALSE)</f>
        <v>Village</v>
      </c>
      <c r="BW299" s="782">
        <f>VLOOKUP(WWWW[[#This Row],[Village  Name]],SiteDB6[[Site Name]:[Ethnic or GCA/NGCA]],11,FALSE)</f>
        <v>0</v>
      </c>
      <c r="BX299" s="782">
        <f>VLOOKUP(WWWW[[#This Row],[Village  Name]],SiteDB6[[Site Name]:[Lat]],12,FALSE)</f>
        <v>20.494003295898398</v>
      </c>
      <c r="BY299" s="782">
        <f>VLOOKUP(WWWW[[#This Row],[Village  Name]],SiteDB6[[Site Name]:[Long]],13,FALSE)</f>
        <v>93.324035644531307</v>
      </c>
      <c r="BZ299" s="782">
        <f>VLOOKUP(WWWW[[#This Row],[Village  Name]],SiteDB6[[Site Name]:[Pcode]],3,FALSE)</f>
        <v>220651</v>
      </c>
      <c r="CA299" s="782" t="str">
        <f t="shared" si="18"/>
        <v>Covered</v>
      </c>
      <c r="CB299" s="783"/>
    </row>
    <row r="300" spans="1:80">
      <c r="A300" s="774" t="s">
        <v>3199</v>
      </c>
      <c r="B300" s="727" t="s">
        <v>314</v>
      </c>
      <c r="C300" s="728" t="s">
        <v>314</v>
      </c>
      <c r="D300" s="728" t="s">
        <v>307</v>
      </c>
      <c r="E300" s="728" t="s">
        <v>2648</v>
      </c>
      <c r="F300" s="728" t="s">
        <v>312</v>
      </c>
      <c r="G300" s="644" t="str">
        <f>VLOOKUP(WWWW[[#This Row],[Village  Name]],SiteDB6[[Site Name]:[Location Type]],8,FALSE)</f>
        <v>Village</v>
      </c>
      <c r="H300" s="728" t="s">
        <v>2617</v>
      </c>
      <c r="I300" s="775">
        <v>170</v>
      </c>
      <c r="J300" s="775">
        <v>743</v>
      </c>
      <c r="K300" s="784">
        <v>42736</v>
      </c>
      <c r="L300" s="785">
        <v>44551</v>
      </c>
      <c r="M300" s="775"/>
      <c r="N300" s="775"/>
      <c r="O300" s="773">
        <v>14</v>
      </c>
      <c r="P300" s="775">
        <v>69</v>
      </c>
      <c r="Q300" s="775">
        <v>3</v>
      </c>
      <c r="R300" s="775"/>
      <c r="S300" s="775"/>
      <c r="T300" s="775"/>
      <c r="U300" s="776"/>
      <c r="V300" s="775">
        <v>71</v>
      </c>
      <c r="W300" s="775" t="s">
        <v>130</v>
      </c>
      <c r="X300" s="775"/>
      <c r="Y300" s="775"/>
      <c r="Z300" s="775"/>
      <c r="AA300" s="775"/>
      <c r="AB300" s="775"/>
      <c r="AC300" s="776"/>
      <c r="AD300" s="775"/>
      <c r="AE300" s="775"/>
      <c r="AF300" s="775"/>
      <c r="AG300" s="775"/>
      <c r="AH300" s="775"/>
      <c r="AI300" s="775"/>
      <c r="AJ300" s="773"/>
      <c r="AK300" s="775"/>
      <c r="AL300" s="773"/>
      <c r="AM300" s="773"/>
      <c r="AN300" s="776"/>
      <c r="AO300" s="769"/>
      <c r="AP300" s="769"/>
      <c r="AQ300" s="773"/>
      <c r="AR300" s="773"/>
      <c r="AS300" s="773"/>
      <c r="AT30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00" s="779">
        <f>WWWW[[#This Row],[%Equitable and continuous access to sufficient quantity of safe drinking water]]*WWWW[[#This Row],[Total PoP ]]</f>
        <v>743</v>
      </c>
      <c r="AV30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00" s="779">
        <f>WWWW[[#This Row],[% Access to unimproved water points]]*WWWW[[#This Row],[Total PoP ]]</f>
        <v>743</v>
      </c>
      <c r="AX30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0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743</v>
      </c>
      <c r="AZ300" s="779">
        <f>WWWW[[#This Row],[HRP1]]/250</f>
        <v>2.972</v>
      </c>
      <c r="BA300" s="780">
        <f>1-WWWW[[#This Row],[% Equitable and continuous access to sufficient quantity of domestic water]]</f>
        <v>0</v>
      </c>
      <c r="BB300" s="779">
        <f>WWWW[[#This Row],[%equitable and continuous access to sufficient quantity of safe drinking and domestic water''s GAP]]*WWWW[[#This Row],[Total PoP ]]</f>
        <v>0</v>
      </c>
      <c r="BC300" s="781">
        <f>IF(WWWW[[#This Row],[Total required water points]]-WWWW[[#This Row],['#Water points coverage]]&lt;0,0,WWWW[[#This Row],[Total required water points]]-WWWW[[#This Row],['#Water points coverage]])</f>
        <v>2.8000000000000025E-2</v>
      </c>
      <c r="BD300" s="781">
        <f>ROUND(IF(WWWW[[#This Row],[Total PoP ]]&lt;250,1,WWWW[[#This Row],[Total PoP ]]/250),0)</f>
        <v>3</v>
      </c>
      <c r="BE30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0.57335127860026913</v>
      </c>
      <c r="BF300" s="779">
        <f>WWWW[[#This Row],[% people access to functioning Latrine]]*WWWW[[#This Row],[Total PoP ]]</f>
        <v>425.99999999999994</v>
      </c>
      <c r="BG300" s="781">
        <f>WWWW[[#This Row],['#_of_Functioning_latrines_in_school]]*50</f>
        <v>0</v>
      </c>
      <c r="BH300" s="781">
        <f>ROUND((WWWW[[#This Row],[Total PoP ]]/6),0)</f>
        <v>124</v>
      </c>
      <c r="BI300" s="781">
        <f>IF(WWWW[[#This Row],[Total required Latrines]]-(WWWW[[#This Row],['#_of_sanitary_fly-proof_HH_latrines]])&lt;0,0,WWWW[[#This Row],[Total required Latrines]]-(WWWW[[#This Row],['#_of_sanitary_fly-proof_HH_latrines]]))</f>
        <v>53</v>
      </c>
      <c r="BJ300" s="778">
        <f>1-WWWW[[#This Row],[% people access to functioning Latrine]]</f>
        <v>0.42664872139973087</v>
      </c>
      <c r="BK30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00" s="772">
        <f>IF(WWWW[[#This Row],['#_of_functional_handwashing_facilities_at_HH_level]]*6&gt;WWWW[[#This Row],[Total PoP ]],WWWW[[#This Row],[Total PoP ]],WWWW[[#This Row],['#_of_functional_handwashing_facilities_at_HH_level]]*6)</f>
        <v>0</v>
      </c>
      <c r="BM300" s="781">
        <f>IF(WWWW[[#This Row],['# people reached by regular dedicated hygiene promotion]]&gt;WWWW[[#This Row],['# People received regular supply of hygiene items]],WWWW[[#This Row],['# people reached by regular dedicated hygiene promotion]],WWWW[[#This Row],['# People received regular supply of hygiene items]])</f>
        <v>0</v>
      </c>
      <c r="BN300" s="780">
        <f>IF(WWWW[[#This Row],[HRP3]]/WWWW[[#This Row],[Total PoP ]]&gt;100%,100%,WWWW[[#This Row],[HRP3]]/WWWW[[#This Row],[Total PoP ]])</f>
        <v>0</v>
      </c>
      <c r="BO300" s="778">
        <f>1-WWWW[[#This Row],[Hygiene Coverage%]]</f>
        <v>1</v>
      </c>
      <c r="BP300" s="777">
        <f>WWWW[[#This Row],['# people reached by regular dedicated hygiene promotion]]/WWWW[[#This Row],[Total PoP ]]</f>
        <v>0</v>
      </c>
      <c r="BQ30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00" s="770">
        <f>WWWW[[#This Row],['#_of_affected_women_and_girls_receiving_a_sufficient_quantity_of_sanitary_pads]]</f>
        <v>0</v>
      </c>
      <c r="BS300" s="773">
        <f>IF(WWWW[[#This Row],['# People with access to soap]]&gt;WWWW[[#This Row],['# People with access to Sanity Pads]],WWWW[[#This Row],['# People with access to soap]],WWWW[[#This Row],['# People with access to Sanity Pads]])</f>
        <v>0</v>
      </c>
      <c r="BT300" s="772" t="str">
        <f>IF(OR(WWWW[[#This Row],['#of students in school]]="",WWWW[[#This Row],['#of students in school]]=0),"No","Yes")</f>
        <v>No</v>
      </c>
      <c r="BU300" s="782" t="str">
        <f>VLOOKUP(WWWW[[#This Row],[Village  Name]],SiteDB6[[Site Name]:[Location Type 1]],9,FALSE)</f>
        <v>Village</v>
      </c>
      <c r="BV300" s="782" t="str">
        <f>VLOOKUP(WWWW[[#This Row],[Village  Name]],SiteDB6[[Site Name]:[Type of Accommodation]],10,FALSE)</f>
        <v>Village</v>
      </c>
      <c r="BW300" s="782">
        <f>VLOOKUP(WWWW[[#This Row],[Village  Name]],SiteDB6[[Site Name]:[Ethnic or GCA/NGCA]],11,FALSE)</f>
        <v>0</v>
      </c>
      <c r="BX300" s="782">
        <f>VLOOKUP(WWWW[[#This Row],[Village  Name]],SiteDB6[[Site Name]:[Lat]],12,FALSE)</f>
        <v>20.476139068603501</v>
      </c>
      <c r="BY300" s="782">
        <f>VLOOKUP(WWWW[[#This Row],[Village  Name]],SiteDB6[[Site Name]:[Long]],13,FALSE)</f>
        <v>93.338516235351605</v>
      </c>
      <c r="BZ300" s="782">
        <f>VLOOKUP(WWWW[[#This Row],[Village  Name]],SiteDB6[[Site Name]:[Pcode]],3,FALSE)</f>
        <v>197103</v>
      </c>
      <c r="CA300" s="782" t="str">
        <f t="shared" si="18"/>
        <v>Covered</v>
      </c>
      <c r="CB300" s="783"/>
    </row>
    <row r="301" spans="1:80">
      <c r="A301" s="774" t="s">
        <v>3199</v>
      </c>
      <c r="B301" s="727" t="s">
        <v>314</v>
      </c>
      <c r="C301" s="728" t="s">
        <v>314</v>
      </c>
      <c r="D301" s="728" t="s">
        <v>307</v>
      </c>
      <c r="E301" s="728" t="s">
        <v>2648</v>
      </c>
      <c r="F301" s="728" t="s">
        <v>312</v>
      </c>
      <c r="G301" s="644" t="str">
        <f>VLOOKUP(WWWW[[#This Row],[Village  Name]],SiteDB6[[Site Name]:[Location Type]],8,FALSE)</f>
        <v>Village</v>
      </c>
      <c r="H301" s="728" t="s">
        <v>462</v>
      </c>
      <c r="I301" s="775">
        <v>121</v>
      </c>
      <c r="J301" s="775">
        <v>421</v>
      </c>
      <c r="K301" s="784">
        <v>42736</v>
      </c>
      <c r="L301" s="785">
        <v>44551</v>
      </c>
      <c r="M301" s="775"/>
      <c r="N301" s="775"/>
      <c r="O301" s="773">
        <v>0</v>
      </c>
      <c r="P301" s="775">
        <v>98</v>
      </c>
      <c r="Q301" s="775">
        <v>2</v>
      </c>
      <c r="R301" s="775"/>
      <c r="S301" s="775"/>
      <c r="T301" s="775"/>
      <c r="U301" s="776"/>
      <c r="V301" s="775">
        <v>112</v>
      </c>
      <c r="W301" s="775" t="s">
        <v>130</v>
      </c>
      <c r="X301" s="775"/>
      <c r="Y301" s="775"/>
      <c r="Z301" s="775"/>
      <c r="AA301" s="775"/>
      <c r="AB301" s="775"/>
      <c r="AC301" s="776"/>
      <c r="AD301" s="775"/>
      <c r="AE301" s="775"/>
      <c r="AF301" s="775"/>
      <c r="AG301" s="775"/>
      <c r="AH301" s="775"/>
      <c r="AI301" s="775"/>
      <c r="AJ301" s="773"/>
      <c r="AK301" s="775"/>
      <c r="AL301" s="773"/>
      <c r="AM301" s="773"/>
      <c r="AN301" s="776"/>
      <c r="AO301" s="769"/>
      <c r="AP301" s="769"/>
      <c r="AQ301" s="773"/>
      <c r="AR301" s="773"/>
      <c r="AS301" s="773"/>
      <c r="AT30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01" s="779">
        <f>WWWW[[#This Row],[%Equitable and continuous access to sufficient quantity of safe drinking water]]*WWWW[[#This Row],[Total PoP ]]</f>
        <v>421</v>
      </c>
      <c r="AV30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01" s="779">
        <f>WWWW[[#This Row],[% Access to unimproved water points]]*WWWW[[#This Row],[Total PoP ]]</f>
        <v>421</v>
      </c>
      <c r="AX30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0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421</v>
      </c>
      <c r="AZ301" s="779">
        <f>WWWW[[#This Row],[HRP1]]/250</f>
        <v>1.6839999999999999</v>
      </c>
      <c r="BA301" s="780">
        <f>1-WWWW[[#This Row],[% Equitable and continuous access to sufficient quantity of domestic water]]</f>
        <v>0</v>
      </c>
      <c r="BB301" s="779">
        <f>WWWW[[#This Row],[%equitable and continuous access to sufficient quantity of safe drinking and domestic water''s GAP]]*WWWW[[#This Row],[Total PoP ]]</f>
        <v>0</v>
      </c>
      <c r="BC301" s="781">
        <f>IF(WWWW[[#This Row],[Total required water points]]-WWWW[[#This Row],['#Water points coverage]]&lt;0,0,WWWW[[#This Row],[Total required water points]]-WWWW[[#This Row],['#Water points coverage]])</f>
        <v>0.31600000000000006</v>
      </c>
      <c r="BD301" s="781">
        <f>ROUND(IF(WWWW[[#This Row],[Total PoP ]]&lt;250,1,WWWW[[#This Row],[Total PoP ]]/250),0)</f>
        <v>2</v>
      </c>
      <c r="BE30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301" s="779">
        <f>WWWW[[#This Row],[% people access to functioning Latrine]]*WWWW[[#This Row],[Total PoP ]]</f>
        <v>421</v>
      </c>
      <c r="BG301" s="781">
        <f>WWWW[[#This Row],['#_of_Functioning_latrines_in_school]]*50</f>
        <v>0</v>
      </c>
      <c r="BH301" s="781">
        <f>ROUND((WWWW[[#This Row],[Total PoP ]]/6),0)</f>
        <v>70</v>
      </c>
      <c r="BI301" s="781">
        <f>IF(WWWW[[#This Row],[Total required Latrines]]-(WWWW[[#This Row],['#_of_sanitary_fly-proof_HH_latrines]])&lt;0,0,WWWW[[#This Row],[Total required Latrines]]-(WWWW[[#This Row],['#_of_sanitary_fly-proof_HH_latrines]]))</f>
        <v>0</v>
      </c>
      <c r="BJ301" s="778">
        <f>1-WWWW[[#This Row],[% people access to functioning Latrine]]</f>
        <v>0</v>
      </c>
      <c r="BK30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01" s="772">
        <f>IF(WWWW[[#This Row],['#_of_functional_handwashing_facilities_at_HH_level]]*6&gt;WWWW[[#This Row],[Total PoP ]],WWWW[[#This Row],[Total PoP ]],WWWW[[#This Row],['#_of_functional_handwashing_facilities_at_HH_level]]*6)</f>
        <v>0</v>
      </c>
      <c r="BM301" s="781">
        <f>IF(WWWW[[#This Row],['# people reached by regular dedicated hygiene promotion]]&gt;WWWW[[#This Row],['# People received regular supply of hygiene items]],WWWW[[#This Row],['# people reached by regular dedicated hygiene promotion]],WWWW[[#This Row],['# People received regular supply of hygiene items]])</f>
        <v>0</v>
      </c>
      <c r="BN301" s="780">
        <f>IF(WWWW[[#This Row],[HRP3]]/WWWW[[#This Row],[Total PoP ]]&gt;100%,100%,WWWW[[#This Row],[HRP3]]/WWWW[[#This Row],[Total PoP ]])</f>
        <v>0</v>
      </c>
      <c r="BO301" s="778">
        <f>1-WWWW[[#This Row],[Hygiene Coverage%]]</f>
        <v>1</v>
      </c>
      <c r="BP301" s="777">
        <f>WWWW[[#This Row],['# people reached by regular dedicated hygiene promotion]]/WWWW[[#This Row],[Total PoP ]]</f>
        <v>0</v>
      </c>
      <c r="BQ30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01" s="770">
        <f>WWWW[[#This Row],['#_of_affected_women_and_girls_receiving_a_sufficient_quantity_of_sanitary_pads]]</f>
        <v>0</v>
      </c>
      <c r="BS301" s="773">
        <f>IF(WWWW[[#This Row],['# People with access to soap]]&gt;WWWW[[#This Row],['# People with access to Sanity Pads]],WWWW[[#This Row],['# People with access to soap]],WWWW[[#This Row],['# People with access to Sanity Pads]])</f>
        <v>0</v>
      </c>
      <c r="BT301" s="772" t="str">
        <f>IF(OR(WWWW[[#This Row],['#of students in school]]="",WWWW[[#This Row],['#of students in school]]=0),"No","Yes")</f>
        <v>No</v>
      </c>
      <c r="BU301" s="782" t="str">
        <f>VLOOKUP(WWWW[[#This Row],[Village  Name]],SiteDB6[[Site Name]:[Location Type 1]],9,FALSE)</f>
        <v>Village</v>
      </c>
      <c r="BV301" s="782" t="str">
        <f>VLOOKUP(WWWW[[#This Row],[Village  Name]],SiteDB6[[Site Name]:[Type of Accommodation]],10,FALSE)</f>
        <v>Village</v>
      </c>
      <c r="BW301" s="782" t="str">
        <f>VLOOKUP(WWWW[[#This Row],[Village  Name]],SiteDB6[[Site Name]:[Ethnic or GCA/NGCA]],11,FALSE)</f>
        <v>Mixed</v>
      </c>
      <c r="BX301" s="782">
        <f>VLOOKUP(WWWW[[#This Row],[Village  Name]],SiteDB6[[Site Name]:[Lat]],12,FALSE)</f>
        <v>20.394809720000001</v>
      </c>
      <c r="BY301" s="782">
        <f>VLOOKUP(WWWW[[#This Row],[Village  Name]],SiteDB6[[Site Name]:[Long]],13,FALSE)</f>
        <v>93.251609799999997</v>
      </c>
      <c r="BZ301" s="782">
        <f>VLOOKUP(WWWW[[#This Row],[Village  Name]],SiteDB6[[Site Name]:[Pcode]],3,FALSE)</f>
        <v>196994</v>
      </c>
      <c r="CA301" s="782" t="str">
        <f t="shared" si="18"/>
        <v>Covered</v>
      </c>
      <c r="CB301" s="783"/>
    </row>
    <row r="302" spans="1:80">
      <c r="A302" s="774" t="s">
        <v>3199</v>
      </c>
      <c r="B302" s="727" t="s">
        <v>314</v>
      </c>
      <c r="C302" s="728" t="s">
        <v>314</v>
      </c>
      <c r="D302" s="728" t="s">
        <v>307</v>
      </c>
      <c r="E302" s="728" t="s">
        <v>2648</v>
      </c>
      <c r="F302" s="728" t="s">
        <v>312</v>
      </c>
      <c r="G302" s="644" t="str">
        <f>VLOOKUP(WWWW[[#This Row],[Village  Name]],SiteDB6[[Site Name]:[Location Type]],8,FALSE)</f>
        <v>Village</v>
      </c>
      <c r="H302" s="728" t="s">
        <v>1747</v>
      </c>
      <c r="I302" s="775">
        <v>203</v>
      </c>
      <c r="J302" s="775">
        <v>1118</v>
      </c>
      <c r="K302" s="784">
        <v>42736</v>
      </c>
      <c r="L302" s="785">
        <v>44551</v>
      </c>
      <c r="M302" s="775"/>
      <c r="N302" s="775"/>
      <c r="O302" s="773">
        <v>18</v>
      </c>
      <c r="P302" s="775">
        <v>111</v>
      </c>
      <c r="Q302" s="775">
        <v>2</v>
      </c>
      <c r="R302" s="775"/>
      <c r="S302" s="775"/>
      <c r="T302" s="775"/>
      <c r="U302" s="776"/>
      <c r="V302" s="775">
        <v>97</v>
      </c>
      <c r="W302" s="775" t="s">
        <v>130</v>
      </c>
      <c r="X302" s="775"/>
      <c r="Y302" s="775"/>
      <c r="Z302" s="775"/>
      <c r="AA302" s="775"/>
      <c r="AB302" s="775"/>
      <c r="AC302" s="776"/>
      <c r="AD302" s="775"/>
      <c r="AE302" s="775"/>
      <c r="AF302" s="775"/>
      <c r="AG302" s="775"/>
      <c r="AH302" s="775"/>
      <c r="AI302" s="775"/>
      <c r="AJ302" s="773"/>
      <c r="AK302" s="775"/>
      <c r="AL302" s="773"/>
      <c r="AM302" s="773"/>
      <c r="AN302" s="776"/>
      <c r="AO302" s="769"/>
      <c r="AP302" s="769"/>
      <c r="AQ302" s="773"/>
      <c r="AR302" s="773"/>
      <c r="AS302" s="773"/>
      <c r="AT30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02" s="779">
        <f>WWWW[[#This Row],[%Equitable and continuous access to sufficient quantity of safe drinking water]]*WWWW[[#This Row],[Total PoP ]]</f>
        <v>1118</v>
      </c>
      <c r="AV30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02" s="779">
        <f>WWWW[[#This Row],[% Access to unimproved water points]]*WWWW[[#This Row],[Total PoP ]]</f>
        <v>1118</v>
      </c>
      <c r="AX30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0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1118</v>
      </c>
      <c r="AZ302" s="779">
        <f>WWWW[[#This Row],[HRP1]]/250</f>
        <v>4.4720000000000004</v>
      </c>
      <c r="BA302" s="780">
        <f>1-WWWW[[#This Row],[% Equitable and continuous access to sufficient quantity of domestic water]]</f>
        <v>0</v>
      </c>
      <c r="BB302" s="779">
        <f>WWWW[[#This Row],[%equitable and continuous access to sufficient quantity of safe drinking and domestic water''s GAP]]*WWWW[[#This Row],[Total PoP ]]</f>
        <v>0</v>
      </c>
      <c r="BC302" s="781">
        <f>IF(WWWW[[#This Row],[Total required water points]]-WWWW[[#This Row],['#Water points coverage]]&lt;0,0,WWWW[[#This Row],[Total required water points]]-WWWW[[#This Row],['#Water points coverage]])</f>
        <v>0</v>
      </c>
      <c r="BD302" s="781">
        <f>ROUND(IF(WWWW[[#This Row],[Total PoP ]]&lt;250,1,WWWW[[#This Row],[Total PoP ]]/250),0)</f>
        <v>4</v>
      </c>
      <c r="BE30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0.52057245080500891</v>
      </c>
      <c r="BF302" s="779">
        <f>WWWW[[#This Row],[% people access to functioning Latrine]]*WWWW[[#This Row],[Total PoP ]]</f>
        <v>582</v>
      </c>
      <c r="BG302" s="781">
        <f>WWWW[[#This Row],['#_of_Functioning_latrines_in_school]]*50</f>
        <v>0</v>
      </c>
      <c r="BH302" s="781">
        <f>ROUND((WWWW[[#This Row],[Total PoP ]]/6),0)</f>
        <v>186</v>
      </c>
      <c r="BI302" s="781">
        <f>IF(WWWW[[#This Row],[Total required Latrines]]-(WWWW[[#This Row],['#_of_sanitary_fly-proof_HH_latrines]])&lt;0,0,WWWW[[#This Row],[Total required Latrines]]-(WWWW[[#This Row],['#_of_sanitary_fly-proof_HH_latrines]]))</f>
        <v>89</v>
      </c>
      <c r="BJ302" s="778">
        <f>1-WWWW[[#This Row],[% people access to functioning Latrine]]</f>
        <v>0.47942754919499109</v>
      </c>
      <c r="BK30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02" s="772">
        <f>IF(WWWW[[#This Row],['#_of_functional_handwashing_facilities_at_HH_level]]*6&gt;WWWW[[#This Row],[Total PoP ]],WWWW[[#This Row],[Total PoP ]],WWWW[[#This Row],['#_of_functional_handwashing_facilities_at_HH_level]]*6)</f>
        <v>0</v>
      </c>
      <c r="BM302" s="781">
        <f>IF(WWWW[[#This Row],['# people reached by regular dedicated hygiene promotion]]&gt;WWWW[[#This Row],['# People received regular supply of hygiene items]],WWWW[[#This Row],['# people reached by regular dedicated hygiene promotion]],WWWW[[#This Row],['# People received regular supply of hygiene items]])</f>
        <v>0</v>
      </c>
      <c r="BN302" s="780">
        <f>IF(WWWW[[#This Row],[HRP3]]/WWWW[[#This Row],[Total PoP ]]&gt;100%,100%,WWWW[[#This Row],[HRP3]]/WWWW[[#This Row],[Total PoP ]])</f>
        <v>0</v>
      </c>
      <c r="BO302" s="778">
        <f>1-WWWW[[#This Row],[Hygiene Coverage%]]</f>
        <v>1</v>
      </c>
      <c r="BP302" s="777">
        <f>WWWW[[#This Row],['# people reached by regular dedicated hygiene promotion]]/WWWW[[#This Row],[Total PoP ]]</f>
        <v>0</v>
      </c>
      <c r="BQ30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02" s="770">
        <f>WWWW[[#This Row],['#_of_affected_women_and_girls_receiving_a_sufficient_quantity_of_sanitary_pads]]</f>
        <v>0</v>
      </c>
      <c r="BS302" s="773">
        <f>IF(WWWW[[#This Row],['# People with access to soap]]&gt;WWWW[[#This Row],['# People with access to Sanity Pads]],WWWW[[#This Row],['# People with access to soap]],WWWW[[#This Row],['# People with access to Sanity Pads]])</f>
        <v>0</v>
      </c>
      <c r="BT302" s="772" t="str">
        <f>IF(OR(WWWW[[#This Row],['#of students in school]]="",WWWW[[#This Row],['#of students in school]]=0),"No","Yes")</f>
        <v>No</v>
      </c>
      <c r="BU302" s="782" t="str">
        <f>VLOOKUP(WWWW[[#This Row],[Village  Name]],SiteDB6[[Site Name]:[Location Type 1]],9,FALSE)</f>
        <v>Village</v>
      </c>
      <c r="BV302" s="782" t="str">
        <f>VLOOKUP(WWWW[[#This Row],[Village  Name]],SiteDB6[[Site Name]:[Type of Accommodation]],10,FALSE)</f>
        <v>Village</v>
      </c>
      <c r="BW302" s="782">
        <f>VLOOKUP(WWWW[[#This Row],[Village  Name]],SiteDB6[[Site Name]:[Ethnic or GCA/NGCA]],11,FALSE)</f>
        <v>0</v>
      </c>
      <c r="BX302" s="782">
        <f>VLOOKUP(WWWW[[#This Row],[Village  Name]],SiteDB6[[Site Name]:[Lat]],12,FALSE)</f>
        <v>20.391029357910199</v>
      </c>
      <c r="BY302" s="782">
        <f>VLOOKUP(WWWW[[#This Row],[Village  Name]],SiteDB6[[Site Name]:[Long]],13,FALSE)</f>
        <v>93.257637023925795</v>
      </c>
      <c r="BZ302" s="782">
        <f>VLOOKUP(WWWW[[#This Row],[Village  Name]],SiteDB6[[Site Name]:[Pcode]],3,FALSE)</f>
        <v>196997</v>
      </c>
      <c r="CA302" s="782" t="str">
        <f t="shared" ref="CA302:CA321" si="19">IF(C302="none","Notcovered","Covered")</f>
        <v>Covered</v>
      </c>
      <c r="CB302" s="783"/>
    </row>
    <row r="303" spans="1:80">
      <c r="A303" s="774" t="s">
        <v>3199</v>
      </c>
      <c r="B303" s="727" t="s">
        <v>314</v>
      </c>
      <c r="C303" s="728" t="s">
        <v>314</v>
      </c>
      <c r="D303" s="728" t="s">
        <v>307</v>
      </c>
      <c r="E303" s="728" t="s">
        <v>2648</v>
      </c>
      <c r="F303" s="728" t="s">
        <v>312</v>
      </c>
      <c r="G303" s="644" t="str">
        <f>VLOOKUP(WWWW[[#This Row],[Village  Name]],SiteDB6[[Site Name]:[Location Type]],8,FALSE)</f>
        <v>Village</v>
      </c>
      <c r="H303" s="728" t="s">
        <v>463</v>
      </c>
      <c r="I303" s="775">
        <v>31</v>
      </c>
      <c r="J303" s="775">
        <v>170</v>
      </c>
      <c r="K303" s="784">
        <v>42736</v>
      </c>
      <c r="L303" s="785">
        <v>44551</v>
      </c>
      <c r="M303" s="775"/>
      <c r="N303" s="775"/>
      <c r="O303" s="773">
        <v>0</v>
      </c>
      <c r="P303" s="775">
        <v>54</v>
      </c>
      <c r="Q303" s="775">
        <v>4</v>
      </c>
      <c r="R303" s="775"/>
      <c r="S303" s="775"/>
      <c r="T303" s="775"/>
      <c r="U303" s="776"/>
      <c r="V303" s="775">
        <v>154</v>
      </c>
      <c r="W303" s="775" t="s">
        <v>130</v>
      </c>
      <c r="X303" s="775"/>
      <c r="Y303" s="775"/>
      <c r="Z303" s="775"/>
      <c r="AA303" s="775"/>
      <c r="AB303" s="775"/>
      <c r="AC303" s="776"/>
      <c r="AD303" s="775"/>
      <c r="AE303" s="775"/>
      <c r="AF303" s="775"/>
      <c r="AG303" s="775"/>
      <c r="AH303" s="775"/>
      <c r="AI303" s="775"/>
      <c r="AJ303" s="773"/>
      <c r="AK303" s="775"/>
      <c r="AL303" s="773"/>
      <c r="AM303" s="773"/>
      <c r="AN303" s="776"/>
      <c r="AO303" s="769"/>
      <c r="AP303" s="769"/>
      <c r="AQ303" s="773"/>
      <c r="AR303" s="773"/>
      <c r="AS303" s="773"/>
      <c r="AT30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03" s="779">
        <f>WWWW[[#This Row],[%Equitable and continuous access to sufficient quantity of safe drinking water]]*WWWW[[#This Row],[Total PoP ]]</f>
        <v>170</v>
      </c>
      <c r="AV30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03" s="779">
        <f>WWWW[[#This Row],[% Access to unimproved water points]]*WWWW[[#This Row],[Total PoP ]]</f>
        <v>170</v>
      </c>
      <c r="AX30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0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170</v>
      </c>
      <c r="AZ303" s="779">
        <f>WWWW[[#This Row],[HRP1]]/250</f>
        <v>0.68</v>
      </c>
      <c r="BA303" s="780">
        <f>1-WWWW[[#This Row],[% Equitable and continuous access to sufficient quantity of domestic water]]</f>
        <v>0</v>
      </c>
      <c r="BB303" s="779">
        <f>WWWW[[#This Row],[%equitable and continuous access to sufficient quantity of safe drinking and domestic water''s GAP]]*WWWW[[#This Row],[Total PoP ]]</f>
        <v>0</v>
      </c>
      <c r="BC303" s="781">
        <f>IF(WWWW[[#This Row],[Total required water points]]-WWWW[[#This Row],['#Water points coverage]]&lt;0,0,WWWW[[#This Row],[Total required water points]]-WWWW[[#This Row],['#Water points coverage]])</f>
        <v>0.31999999999999995</v>
      </c>
      <c r="BD303" s="781">
        <f>ROUND(IF(WWWW[[#This Row],[Total PoP ]]&lt;250,1,WWWW[[#This Row],[Total PoP ]]/250),0)</f>
        <v>1</v>
      </c>
      <c r="BE30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303" s="779">
        <f>WWWW[[#This Row],[% people access to functioning Latrine]]*WWWW[[#This Row],[Total PoP ]]</f>
        <v>170</v>
      </c>
      <c r="BG303" s="781">
        <f>WWWW[[#This Row],['#_of_Functioning_latrines_in_school]]*50</f>
        <v>0</v>
      </c>
      <c r="BH303" s="781">
        <f>ROUND((WWWW[[#This Row],[Total PoP ]]/6),0)</f>
        <v>28</v>
      </c>
      <c r="BI303" s="781">
        <f>IF(WWWW[[#This Row],[Total required Latrines]]-(WWWW[[#This Row],['#_of_sanitary_fly-proof_HH_latrines]])&lt;0,0,WWWW[[#This Row],[Total required Latrines]]-(WWWW[[#This Row],['#_of_sanitary_fly-proof_HH_latrines]]))</f>
        <v>0</v>
      </c>
      <c r="BJ303" s="778">
        <f>1-WWWW[[#This Row],[% people access to functioning Latrine]]</f>
        <v>0</v>
      </c>
      <c r="BK30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03" s="772">
        <f>IF(WWWW[[#This Row],['#_of_functional_handwashing_facilities_at_HH_level]]*6&gt;WWWW[[#This Row],[Total PoP ]],WWWW[[#This Row],[Total PoP ]],WWWW[[#This Row],['#_of_functional_handwashing_facilities_at_HH_level]]*6)</f>
        <v>0</v>
      </c>
      <c r="BM303" s="781">
        <f>IF(WWWW[[#This Row],['# people reached by regular dedicated hygiene promotion]]&gt;WWWW[[#This Row],['# People received regular supply of hygiene items]],WWWW[[#This Row],['# people reached by regular dedicated hygiene promotion]],WWWW[[#This Row],['# People received regular supply of hygiene items]])</f>
        <v>0</v>
      </c>
      <c r="BN303" s="780">
        <f>IF(WWWW[[#This Row],[HRP3]]/WWWW[[#This Row],[Total PoP ]]&gt;100%,100%,WWWW[[#This Row],[HRP3]]/WWWW[[#This Row],[Total PoP ]])</f>
        <v>0</v>
      </c>
      <c r="BO303" s="778">
        <f>1-WWWW[[#This Row],[Hygiene Coverage%]]</f>
        <v>1</v>
      </c>
      <c r="BP303" s="777">
        <f>WWWW[[#This Row],['# people reached by regular dedicated hygiene promotion]]/WWWW[[#This Row],[Total PoP ]]</f>
        <v>0</v>
      </c>
      <c r="BQ30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03" s="770">
        <f>WWWW[[#This Row],['#_of_affected_women_and_girls_receiving_a_sufficient_quantity_of_sanitary_pads]]</f>
        <v>0</v>
      </c>
      <c r="BS303" s="773">
        <f>IF(WWWW[[#This Row],['# People with access to soap]]&gt;WWWW[[#This Row],['# People with access to Sanity Pads]],WWWW[[#This Row],['# People with access to soap]],WWWW[[#This Row],['# People with access to Sanity Pads]])</f>
        <v>0</v>
      </c>
      <c r="BT303" s="772" t="str">
        <f>IF(OR(WWWW[[#This Row],['#of students in school]]="",WWWW[[#This Row],['#of students in school]]=0),"No","Yes")</f>
        <v>No</v>
      </c>
      <c r="BU303" s="782" t="str">
        <f>VLOOKUP(WWWW[[#This Row],[Village  Name]],SiteDB6[[Site Name]:[Location Type 1]],9,FALSE)</f>
        <v>Village</v>
      </c>
      <c r="BV303" s="782" t="str">
        <f>VLOOKUP(WWWW[[#This Row],[Village  Name]],SiteDB6[[Site Name]:[Type of Accommodation]],10,FALSE)</f>
        <v>Village</v>
      </c>
      <c r="BW303" s="782" t="str">
        <f>VLOOKUP(WWWW[[#This Row],[Village  Name]],SiteDB6[[Site Name]:[Ethnic or GCA/NGCA]],11,FALSE)</f>
        <v>Rakhine</v>
      </c>
      <c r="BX303" s="782">
        <f>VLOOKUP(WWWW[[#This Row],[Village  Name]],SiteDB6[[Site Name]:[Lat]],12,FALSE)</f>
        <v>20.396680830000001</v>
      </c>
      <c r="BY303" s="782">
        <f>VLOOKUP(WWWW[[#This Row],[Village  Name]],SiteDB6[[Site Name]:[Long]],13,FALSE)</f>
        <v>93.252868649999996</v>
      </c>
      <c r="BZ303" s="782">
        <f>VLOOKUP(WWWW[[#This Row],[Village  Name]],SiteDB6[[Site Name]:[Pcode]],3,FALSE)</f>
        <v>196998</v>
      </c>
      <c r="CA303" s="782" t="str">
        <f t="shared" si="19"/>
        <v>Covered</v>
      </c>
      <c r="CB303" s="783"/>
    </row>
    <row r="304" spans="1:80">
      <c r="A304" s="774" t="s">
        <v>3199</v>
      </c>
      <c r="B304" s="727" t="s">
        <v>314</v>
      </c>
      <c r="C304" s="728" t="s">
        <v>314</v>
      </c>
      <c r="D304" s="728" t="s">
        <v>327</v>
      </c>
      <c r="E304" s="728" t="s">
        <v>2648</v>
      </c>
      <c r="F304" s="728" t="s">
        <v>312</v>
      </c>
      <c r="G304" s="644" t="str">
        <f>VLOOKUP(WWWW[[#This Row],[Village  Name]],SiteDB6[[Site Name]:[Location Type]],8,FALSE)</f>
        <v>Village</v>
      </c>
      <c r="H304" s="728" t="s">
        <v>2618</v>
      </c>
      <c r="I304" s="775">
        <v>180</v>
      </c>
      <c r="J304" s="775">
        <v>964</v>
      </c>
      <c r="K304" s="784">
        <v>42736</v>
      </c>
      <c r="L304" s="785">
        <v>44551</v>
      </c>
      <c r="M304" s="775"/>
      <c r="N304" s="775"/>
      <c r="O304" s="773">
        <v>3</v>
      </c>
      <c r="P304" s="775">
        <v>76</v>
      </c>
      <c r="Q304" s="775">
        <v>3</v>
      </c>
      <c r="R304" s="775"/>
      <c r="S304" s="775"/>
      <c r="T304" s="775"/>
      <c r="U304" s="776"/>
      <c r="V304" s="775">
        <v>116</v>
      </c>
      <c r="W304" s="775" t="s">
        <v>130</v>
      </c>
      <c r="X304" s="775"/>
      <c r="Y304" s="775"/>
      <c r="Z304" s="775"/>
      <c r="AA304" s="775"/>
      <c r="AB304" s="775"/>
      <c r="AC304" s="776"/>
      <c r="AD304" s="775"/>
      <c r="AE304" s="775"/>
      <c r="AF304" s="775"/>
      <c r="AG304" s="775"/>
      <c r="AH304" s="775"/>
      <c r="AI304" s="775"/>
      <c r="AJ304" s="773"/>
      <c r="AK304" s="775"/>
      <c r="AL304" s="773"/>
      <c r="AM304" s="773"/>
      <c r="AN304" s="776"/>
      <c r="AO304" s="769"/>
      <c r="AP304" s="769"/>
      <c r="AQ304" s="773"/>
      <c r="AR304" s="773"/>
      <c r="AS304" s="773"/>
      <c r="AT30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04" s="779">
        <f>WWWW[[#This Row],[%Equitable and continuous access to sufficient quantity of safe drinking water]]*WWWW[[#This Row],[Total PoP ]]</f>
        <v>964</v>
      </c>
      <c r="AV30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04" s="779">
        <f>WWWW[[#This Row],[% Access to unimproved water points]]*WWWW[[#This Row],[Total PoP ]]</f>
        <v>964</v>
      </c>
      <c r="AX30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0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964</v>
      </c>
      <c r="AZ304" s="779">
        <f>WWWW[[#This Row],[HRP1]]/250</f>
        <v>3.8559999999999999</v>
      </c>
      <c r="BA304" s="780">
        <f>1-WWWW[[#This Row],[% Equitable and continuous access to sufficient quantity of domestic water]]</f>
        <v>0</v>
      </c>
      <c r="BB304" s="779">
        <f>WWWW[[#This Row],[%equitable and continuous access to sufficient quantity of safe drinking and domestic water''s GAP]]*WWWW[[#This Row],[Total PoP ]]</f>
        <v>0</v>
      </c>
      <c r="BC304" s="781">
        <f>IF(WWWW[[#This Row],[Total required water points]]-WWWW[[#This Row],['#Water points coverage]]&lt;0,0,WWWW[[#This Row],[Total required water points]]-WWWW[[#This Row],['#Water points coverage]])</f>
        <v>0.14400000000000013</v>
      </c>
      <c r="BD304" s="781">
        <f>ROUND(IF(WWWW[[#This Row],[Total PoP ]]&lt;250,1,WWWW[[#This Row],[Total PoP ]]/250),0)</f>
        <v>4</v>
      </c>
      <c r="BE30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0.72199170124481327</v>
      </c>
      <c r="BF304" s="779">
        <f>WWWW[[#This Row],[% people access to functioning Latrine]]*WWWW[[#This Row],[Total PoP ]]</f>
        <v>696</v>
      </c>
      <c r="BG304" s="781">
        <f>WWWW[[#This Row],['#_of_Functioning_latrines_in_school]]*50</f>
        <v>0</v>
      </c>
      <c r="BH304" s="781">
        <f>ROUND((WWWW[[#This Row],[Total PoP ]]/6),0)</f>
        <v>161</v>
      </c>
      <c r="BI304" s="781">
        <f>IF(WWWW[[#This Row],[Total required Latrines]]-(WWWW[[#This Row],['#_of_sanitary_fly-proof_HH_latrines]])&lt;0,0,WWWW[[#This Row],[Total required Latrines]]-(WWWW[[#This Row],['#_of_sanitary_fly-proof_HH_latrines]]))</f>
        <v>45</v>
      </c>
      <c r="BJ304" s="778">
        <f>1-WWWW[[#This Row],[% people access to functioning Latrine]]</f>
        <v>0.27800829875518673</v>
      </c>
      <c r="BK30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04" s="772">
        <f>IF(WWWW[[#This Row],['#_of_functional_handwashing_facilities_at_HH_level]]*6&gt;WWWW[[#This Row],[Total PoP ]],WWWW[[#This Row],[Total PoP ]],WWWW[[#This Row],['#_of_functional_handwashing_facilities_at_HH_level]]*6)</f>
        <v>0</v>
      </c>
      <c r="BM304" s="781">
        <f>IF(WWWW[[#This Row],['# people reached by regular dedicated hygiene promotion]]&gt;WWWW[[#This Row],['# People received regular supply of hygiene items]],WWWW[[#This Row],['# people reached by regular dedicated hygiene promotion]],WWWW[[#This Row],['# People received regular supply of hygiene items]])</f>
        <v>0</v>
      </c>
      <c r="BN304" s="780">
        <f>IF(WWWW[[#This Row],[HRP3]]/WWWW[[#This Row],[Total PoP ]]&gt;100%,100%,WWWW[[#This Row],[HRP3]]/WWWW[[#This Row],[Total PoP ]])</f>
        <v>0</v>
      </c>
      <c r="BO304" s="778">
        <f>1-WWWW[[#This Row],[Hygiene Coverage%]]</f>
        <v>1</v>
      </c>
      <c r="BP304" s="777">
        <f>WWWW[[#This Row],['# people reached by regular dedicated hygiene promotion]]/WWWW[[#This Row],[Total PoP ]]</f>
        <v>0</v>
      </c>
      <c r="BQ30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04" s="770">
        <f>WWWW[[#This Row],['#_of_affected_women_and_girls_receiving_a_sufficient_quantity_of_sanitary_pads]]</f>
        <v>0</v>
      </c>
      <c r="BS304" s="773">
        <f>IF(WWWW[[#This Row],['# People with access to soap]]&gt;WWWW[[#This Row],['# People with access to Sanity Pads]],WWWW[[#This Row],['# People with access to soap]],WWWW[[#This Row],['# People with access to Sanity Pads]])</f>
        <v>0</v>
      </c>
      <c r="BT304" s="772" t="str">
        <f>IF(OR(WWWW[[#This Row],['#of students in school]]="",WWWW[[#This Row],['#of students in school]]=0),"No","Yes")</f>
        <v>No</v>
      </c>
      <c r="BU304" s="782" t="str">
        <f>VLOOKUP(WWWW[[#This Row],[Village  Name]],SiteDB6[[Site Name]:[Location Type 1]],9,FALSE)</f>
        <v>Village</v>
      </c>
      <c r="BV304" s="782" t="str">
        <f>VLOOKUP(WWWW[[#This Row],[Village  Name]],SiteDB6[[Site Name]:[Type of Accommodation]],10,FALSE)</f>
        <v>Village</v>
      </c>
      <c r="BW304" s="782">
        <f>VLOOKUP(WWWW[[#This Row],[Village  Name]],SiteDB6[[Site Name]:[Ethnic or GCA/NGCA]],11,FALSE)</f>
        <v>0</v>
      </c>
      <c r="BX304" s="782">
        <f>VLOOKUP(WWWW[[#This Row],[Village  Name]],SiteDB6[[Site Name]:[Lat]],12,FALSE)</f>
        <v>20.410079956054702</v>
      </c>
      <c r="BY304" s="782">
        <f>VLOOKUP(WWWW[[#This Row],[Village  Name]],SiteDB6[[Site Name]:[Long]],13,FALSE)</f>
        <v>93.37109375</v>
      </c>
      <c r="BZ304" s="782">
        <f>VLOOKUP(WWWW[[#This Row],[Village  Name]],SiteDB6[[Site Name]:[Pcode]],3,FALSE)</f>
        <v>197114</v>
      </c>
      <c r="CA304" s="782" t="str">
        <f t="shared" si="19"/>
        <v>Covered</v>
      </c>
      <c r="CB304" s="783"/>
    </row>
    <row r="305" spans="1:80">
      <c r="A305" s="774" t="s">
        <v>3199</v>
      </c>
      <c r="B305" s="727" t="s">
        <v>314</v>
      </c>
      <c r="C305" s="728" t="s">
        <v>314</v>
      </c>
      <c r="D305" s="728" t="s">
        <v>327</v>
      </c>
      <c r="E305" s="728" t="s">
        <v>2648</v>
      </c>
      <c r="F305" s="728" t="s">
        <v>312</v>
      </c>
      <c r="G305" s="644" t="str">
        <f>VLOOKUP(WWWW[[#This Row],[Village  Name]],SiteDB6[[Site Name]:[Location Type]],8,FALSE)</f>
        <v>Village</v>
      </c>
      <c r="H305" s="728" t="s">
        <v>2619</v>
      </c>
      <c r="I305" s="775">
        <v>130</v>
      </c>
      <c r="J305" s="775">
        <v>398</v>
      </c>
      <c r="K305" s="784">
        <v>42736</v>
      </c>
      <c r="L305" s="785">
        <v>44551</v>
      </c>
      <c r="M305" s="775"/>
      <c r="N305" s="775"/>
      <c r="O305" s="773">
        <v>43</v>
      </c>
      <c r="P305" s="775">
        <v>48</v>
      </c>
      <c r="Q305" s="775">
        <v>2</v>
      </c>
      <c r="R305" s="775"/>
      <c r="S305" s="775"/>
      <c r="T305" s="775"/>
      <c r="U305" s="776"/>
      <c r="V305" s="775">
        <v>78</v>
      </c>
      <c r="W305" s="775" t="s">
        <v>130</v>
      </c>
      <c r="X305" s="775"/>
      <c r="Y305" s="775"/>
      <c r="Z305" s="775"/>
      <c r="AA305" s="775"/>
      <c r="AB305" s="775"/>
      <c r="AC305" s="776"/>
      <c r="AD305" s="775"/>
      <c r="AE305" s="775"/>
      <c r="AF305" s="775"/>
      <c r="AG305" s="775"/>
      <c r="AH305" s="775"/>
      <c r="AI305" s="775"/>
      <c r="AJ305" s="773"/>
      <c r="AK305" s="775"/>
      <c r="AL305" s="773"/>
      <c r="AM305" s="773"/>
      <c r="AN305" s="776"/>
      <c r="AO305" s="769"/>
      <c r="AP305" s="769"/>
      <c r="AQ305" s="773"/>
      <c r="AR305" s="773"/>
      <c r="AS305" s="773"/>
      <c r="AT30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05" s="779">
        <f>WWWW[[#This Row],[%Equitable and continuous access to sufficient quantity of safe drinking water]]*WWWW[[#This Row],[Total PoP ]]</f>
        <v>398</v>
      </c>
      <c r="AV30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05" s="779">
        <f>WWWW[[#This Row],[% Access to unimproved water points]]*WWWW[[#This Row],[Total PoP ]]</f>
        <v>398</v>
      </c>
      <c r="AX30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0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398</v>
      </c>
      <c r="AZ305" s="779">
        <f>WWWW[[#This Row],[HRP1]]/250</f>
        <v>1.5920000000000001</v>
      </c>
      <c r="BA305" s="780">
        <f>1-WWWW[[#This Row],[% Equitable and continuous access to sufficient quantity of domestic water]]</f>
        <v>0</v>
      </c>
      <c r="BB305" s="779">
        <f>WWWW[[#This Row],[%equitable and continuous access to sufficient quantity of safe drinking and domestic water''s GAP]]*WWWW[[#This Row],[Total PoP ]]</f>
        <v>0</v>
      </c>
      <c r="BC305" s="781">
        <f>IF(WWWW[[#This Row],[Total required water points]]-WWWW[[#This Row],['#Water points coverage]]&lt;0,0,WWWW[[#This Row],[Total required water points]]-WWWW[[#This Row],['#Water points coverage]])</f>
        <v>0.40799999999999992</v>
      </c>
      <c r="BD305" s="781">
        <f>ROUND(IF(WWWW[[#This Row],[Total PoP ]]&lt;250,1,WWWW[[#This Row],[Total PoP ]]/250),0)</f>
        <v>2</v>
      </c>
      <c r="BE30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305" s="779">
        <f>WWWW[[#This Row],[% people access to functioning Latrine]]*WWWW[[#This Row],[Total PoP ]]</f>
        <v>398</v>
      </c>
      <c r="BG305" s="781">
        <f>WWWW[[#This Row],['#_of_Functioning_latrines_in_school]]*50</f>
        <v>0</v>
      </c>
      <c r="BH305" s="781">
        <f>ROUND((WWWW[[#This Row],[Total PoP ]]/6),0)</f>
        <v>66</v>
      </c>
      <c r="BI305" s="781">
        <f>IF(WWWW[[#This Row],[Total required Latrines]]-(WWWW[[#This Row],['#_of_sanitary_fly-proof_HH_latrines]])&lt;0,0,WWWW[[#This Row],[Total required Latrines]]-(WWWW[[#This Row],['#_of_sanitary_fly-proof_HH_latrines]]))</f>
        <v>0</v>
      </c>
      <c r="BJ305" s="778">
        <f>1-WWWW[[#This Row],[% people access to functioning Latrine]]</f>
        <v>0</v>
      </c>
      <c r="BK30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05" s="772">
        <f>IF(WWWW[[#This Row],['#_of_functional_handwashing_facilities_at_HH_level]]*6&gt;WWWW[[#This Row],[Total PoP ]],WWWW[[#This Row],[Total PoP ]],WWWW[[#This Row],['#_of_functional_handwashing_facilities_at_HH_level]]*6)</f>
        <v>0</v>
      </c>
      <c r="BM305" s="781">
        <f>IF(WWWW[[#This Row],['# people reached by regular dedicated hygiene promotion]]&gt;WWWW[[#This Row],['# People received regular supply of hygiene items]],WWWW[[#This Row],['# people reached by regular dedicated hygiene promotion]],WWWW[[#This Row],['# People received regular supply of hygiene items]])</f>
        <v>0</v>
      </c>
      <c r="BN305" s="780">
        <f>IF(WWWW[[#This Row],[HRP3]]/WWWW[[#This Row],[Total PoP ]]&gt;100%,100%,WWWW[[#This Row],[HRP3]]/WWWW[[#This Row],[Total PoP ]])</f>
        <v>0</v>
      </c>
      <c r="BO305" s="778">
        <f>1-WWWW[[#This Row],[Hygiene Coverage%]]</f>
        <v>1</v>
      </c>
      <c r="BP305" s="777">
        <f>WWWW[[#This Row],['# people reached by regular dedicated hygiene promotion]]/WWWW[[#This Row],[Total PoP ]]</f>
        <v>0</v>
      </c>
      <c r="BQ30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05" s="770">
        <f>WWWW[[#This Row],['#_of_affected_women_and_girls_receiving_a_sufficient_quantity_of_sanitary_pads]]</f>
        <v>0</v>
      </c>
      <c r="BS305" s="773">
        <f>IF(WWWW[[#This Row],['# People with access to soap]]&gt;WWWW[[#This Row],['# People with access to Sanity Pads]],WWWW[[#This Row],['# People with access to soap]],WWWW[[#This Row],['# People with access to Sanity Pads]])</f>
        <v>0</v>
      </c>
      <c r="BT305" s="772" t="str">
        <f>IF(OR(WWWW[[#This Row],['#of students in school]]="",WWWW[[#This Row],['#of students in school]]=0),"No","Yes")</f>
        <v>No</v>
      </c>
      <c r="BU305" s="782" t="str">
        <f>VLOOKUP(WWWW[[#This Row],[Village  Name]],SiteDB6[[Site Name]:[Location Type 1]],9,FALSE)</f>
        <v>Village</v>
      </c>
      <c r="BV305" s="782" t="str">
        <f>VLOOKUP(WWWW[[#This Row],[Village  Name]],SiteDB6[[Site Name]:[Type of Accommodation]],10,FALSE)</f>
        <v>Village</v>
      </c>
      <c r="BW305" s="782">
        <f>VLOOKUP(WWWW[[#This Row],[Village  Name]],SiteDB6[[Site Name]:[Ethnic or GCA/NGCA]],11,FALSE)</f>
        <v>0</v>
      </c>
      <c r="BX305" s="782">
        <f>VLOOKUP(WWWW[[#This Row],[Village  Name]],SiteDB6[[Site Name]:[Lat]],12,FALSE)</f>
        <v>20.382389068603501</v>
      </c>
      <c r="BY305" s="782">
        <f>VLOOKUP(WWWW[[#This Row],[Village  Name]],SiteDB6[[Site Name]:[Long]],13,FALSE)</f>
        <v>93.373863220214801</v>
      </c>
      <c r="BZ305" s="782">
        <f>VLOOKUP(WWWW[[#This Row],[Village  Name]],SiteDB6[[Site Name]:[Pcode]],3,FALSE)</f>
        <v>197111</v>
      </c>
      <c r="CA305" s="782" t="str">
        <f t="shared" si="19"/>
        <v>Covered</v>
      </c>
      <c r="CB305" s="783"/>
    </row>
    <row r="306" spans="1:80">
      <c r="A306" s="774" t="s">
        <v>3199</v>
      </c>
      <c r="B306" s="727" t="s">
        <v>314</v>
      </c>
      <c r="C306" s="728" t="s">
        <v>314</v>
      </c>
      <c r="D306" s="728" t="s">
        <v>327</v>
      </c>
      <c r="E306" s="728" t="s">
        <v>2648</v>
      </c>
      <c r="F306" s="728" t="s">
        <v>312</v>
      </c>
      <c r="G306" s="644" t="str">
        <f>VLOOKUP(WWWW[[#This Row],[Village  Name]],SiteDB6[[Site Name]:[Location Type]],8,FALSE)</f>
        <v>Village</v>
      </c>
      <c r="H306" s="728" t="s">
        <v>2620</v>
      </c>
      <c r="I306" s="775">
        <v>191</v>
      </c>
      <c r="J306" s="775">
        <v>713</v>
      </c>
      <c r="K306" s="784">
        <v>42736</v>
      </c>
      <c r="L306" s="785">
        <v>44551</v>
      </c>
      <c r="M306" s="775"/>
      <c r="N306" s="775"/>
      <c r="O306" s="773">
        <v>11</v>
      </c>
      <c r="P306" s="775">
        <v>93</v>
      </c>
      <c r="Q306" s="775">
        <v>2</v>
      </c>
      <c r="R306" s="775"/>
      <c r="S306" s="775"/>
      <c r="T306" s="775"/>
      <c r="U306" s="776"/>
      <c r="V306" s="775">
        <v>89</v>
      </c>
      <c r="W306" s="775" t="s">
        <v>130</v>
      </c>
      <c r="X306" s="775"/>
      <c r="Y306" s="775"/>
      <c r="Z306" s="775"/>
      <c r="AA306" s="775"/>
      <c r="AB306" s="775"/>
      <c r="AC306" s="776"/>
      <c r="AD306" s="775"/>
      <c r="AE306" s="775"/>
      <c r="AF306" s="775"/>
      <c r="AG306" s="775"/>
      <c r="AH306" s="775"/>
      <c r="AI306" s="775"/>
      <c r="AJ306" s="773"/>
      <c r="AK306" s="775"/>
      <c r="AL306" s="773"/>
      <c r="AM306" s="773"/>
      <c r="AN306" s="776"/>
      <c r="AO306" s="769"/>
      <c r="AP306" s="769"/>
      <c r="AQ306" s="773"/>
      <c r="AR306" s="773"/>
      <c r="AS306" s="773"/>
      <c r="AT30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06" s="779">
        <f>WWWW[[#This Row],[%Equitable and continuous access to sufficient quantity of safe drinking water]]*WWWW[[#This Row],[Total PoP ]]</f>
        <v>713</v>
      </c>
      <c r="AV30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06" s="779">
        <f>WWWW[[#This Row],[% Access to unimproved water points]]*WWWW[[#This Row],[Total PoP ]]</f>
        <v>713</v>
      </c>
      <c r="AX30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0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713</v>
      </c>
      <c r="AZ306" s="779">
        <f>WWWW[[#This Row],[HRP1]]/250</f>
        <v>2.8519999999999999</v>
      </c>
      <c r="BA306" s="780">
        <f>1-WWWW[[#This Row],[% Equitable and continuous access to sufficient quantity of domestic water]]</f>
        <v>0</v>
      </c>
      <c r="BB306" s="779">
        <f>WWWW[[#This Row],[%equitable and continuous access to sufficient quantity of safe drinking and domestic water''s GAP]]*WWWW[[#This Row],[Total PoP ]]</f>
        <v>0</v>
      </c>
      <c r="BC306" s="781">
        <f>IF(WWWW[[#This Row],[Total required water points]]-WWWW[[#This Row],['#Water points coverage]]&lt;0,0,WWWW[[#This Row],[Total required water points]]-WWWW[[#This Row],['#Water points coverage]])</f>
        <v>0.14800000000000013</v>
      </c>
      <c r="BD306" s="781">
        <f>ROUND(IF(WWWW[[#This Row],[Total PoP ]]&lt;250,1,WWWW[[#This Row],[Total PoP ]]/250),0)</f>
        <v>3</v>
      </c>
      <c r="BE30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0.74894810659186539</v>
      </c>
      <c r="BF306" s="779">
        <f>WWWW[[#This Row],[% people access to functioning Latrine]]*WWWW[[#This Row],[Total PoP ]]</f>
        <v>534</v>
      </c>
      <c r="BG306" s="781">
        <f>WWWW[[#This Row],['#_of_Functioning_latrines_in_school]]*50</f>
        <v>0</v>
      </c>
      <c r="BH306" s="781">
        <f>ROUND((WWWW[[#This Row],[Total PoP ]]/6),0)</f>
        <v>119</v>
      </c>
      <c r="BI306" s="781">
        <f>IF(WWWW[[#This Row],[Total required Latrines]]-(WWWW[[#This Row],['#_of_sanitary_fly-proof_HH_latrines]])&lt;0,0,WWWW[[#This Row],[Total required Latrines]]-(WWWW[[#This Row],['#_of_sanitary_fly-proof_HH_latrines]]))</f>
        <v>30</v>
      </c>
      <c r="BJ306" s="778">
        <f>1-WWWW[[#This Row],[% people access to functioning Latrine]]</f>
        <v>0.25105189340813461</v>
      </c>
      <c r="BK30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06" s="772">
        <f>IF(WWWW[[#This Row],['#_of_functional_handwashing_facilities_at_HH_level]]*6&gt;WWWW[[#This Row],[Total PoP ]],WWWW[[#This Row],[Total PoP ]],WWWW[[#This Row],['#_of_functional_handwashing_facilities_at_HH_level]]*6)</f>
        <v>0</v>
      </c>
      <c r="BM306" s="781">
        <f>IF(WWWW[[#This Row],['# people reached by regular dedicated hygiene promotion]]&gt;WWWW[[#This Row],['# People received regular supply of hygiene items]],WWWW[[#This Row],['# people reached by regular dedicated hygiene promotion]],WWWW[[#This Row],['# People received regular supply of hygiene items]])</f>
        <v>0</v>
      </c>
      <c r="BN306" s="780">
        <f>IF(WWWW[[#This Row],[HRP3]]/WWWW[[#This Row],[Total PoP ]]&gt;100%,100%,WWWW[[#This Row],[HRP3]]/WWWW[[#This Row],[Total PoP ]])</f>
        <v>0</v>
      </c>
      <c r="BO306" s="778">
        <f>1-WWWW[[#This Row],[Hygiene Coverage%]]</f>
        <v>1</v>
      </c>
      <c r="BP306" s="777">
        <f>WWWW[[#This Row],['# people reached by regular dedicated hygiene promotion]]/WWWW[[#This Row],[Total PoP ]]</f>
        <v>0</v>
      </c>
      <c r="BQ30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06" s="770">
        <f>WWWW[[#This Row],['#_of_affected_women_and_girls_receiving_a_sufficient_quantity_of_sanitary_pads]]</f>
        <v>0</v>
      </c>
      <c r="BS306" s="773">
        <f>IF(WWWW[[#This Row],['# People with access to soap]]&gt;WWWW[[#This Row],['# People with access to Sanity Pads]],WWWW[[#This Row],['# People with access to soap]],WWWW[[#This Row],['# People with access to Sanity Pads]])</f>
        <v>0</v>
      </c>
      <c r="BT306" s="772" t="str">
        <f>IF(OR(WWWW[[#This Row],['#of students in school]]="",WWWW[[#This Row],['#of students in school]]=0),"No","Yes")</f>
        <v>No</v>
      </c>
      <c r="BU306" s="782" t="str">
        <f>VLOOKUP(WWWW[[#This Row],[Village  Name]],SiteDB6[[Site Name]:[Location Type 1]],9,FALSE)</f>
        <v>Village</v>
      </c>
      <c r="BV306" s="782" t="str">
        <f>VLOOKUP(WWWW[[#This Row],[Village  Name]],SiteDB6[[Site Name]:[Type of Accommodation]],10,FALSE)</f>
        <v>Village</v>
      </c>
      <c r="BW306" s="782">
        <f>VLOOKUP(WWWW[[#This Row],[Village  Name]],SiteDB6[[Site Name]:[Ethnic or GCA/NGCA]],11,FALSE)</f>
        <v>0</v>
      </c>
      <c r="BX306" s="782">
        <f>VLOOKUP(WWWW[[#This Row],[Village  Name]],SiteDB6[[Site Name]:[Lat]],12,FALSE)</f>
        <v>20.389610290527301</v>
      </c>
      <c r="BY306" s="782">
        <f>VLOOKUP(WWWW[[#This Row],[Village  Name]],SiteDB6[[Site Name]:[Long]],13,FALSE)</f>
        <v>93.371490478515597</v>
      </c>
      <c r="BZ306" s="782">
        <f>VLOOKUP(WWWW[[#This Row],[Village  Name]],SiteDB6[[Site Name]:[Pcode]],3,FALSE)</f>
        <v>197112</v>
      </c>
      <c r="CA306" s="782" t="str">
        <f t="shared" si="19"/>
        <v>Covered</v>
      </c>
      <c r="CB306" s="783"/>
    </row>
    <row r="307" spans="1:80">
      <c r="A307" s="774" t="s">
        <v>3199</v>
      </c>
      <c r="B307" s="727" t="s">
        <v>314</v>
      </c>
      <c r="C307" s="728" t="s">
        <v>314</v>
      </c>
      <c r="D307" s="728" t="s">
        <v>327</v>
      </c>
      <c r="E307" s="728" t="s">
        <v>2648</v>
      </c>
      <c r="F307" s="728" t="s">
        <v>312</v>
      </c>
      <c r="G307" s="644" t="str">
        <f>VLOOKUP(WWWW[[#This Row],[Village  Name]],SiteDB6[[Site Name]:[Location Type]],8,FALSE)</f>
        <v>Village</v>
      </c>
      <c r="H307" s="728" t="s">
        <v>2621</v>
      </c>
      <c r="I307" s="775">
        <v>27</v>
      </c>
      <c r="J307" s="775">
        <v>53</v>
      </c>
      <c r="K307" s="784">
        <v>42736</v>
      </c>
      <c r="L307" s="785">
        <v>44551</v>
      </c>
      <c r="M307" s="775"/>
      <c r="N307" s="775"/>
      <c r="O307" s="773">
        <v>2</v>
      </c>
      <c r="P307" s="775">
        <v>23</v>
      </c>
      <c r="Q307" s="775">
        <v>1</v>
      </c>
      <c r="R307" s="775"/>
      <c r="S307" s="775"/>
      <c r="T307" s="775"/>
      <c r="U307" s="776"/>
      <c r="V307" s="775">
        <v>22</v>
      </c>
      <c r="W307" s="775" t="s">
        <v>130</v>
      </c>
      <c r="X307" s="775"/>
      <c r="Y307" s="775"/>
      <c r="Z307" s="775"/>
      <c r="AA307" s="775"/>
      <c r="AB307" s="775"/>
      <c r="AC307" s="776"/>
      <c r="AD307" s="775"/>
      <c r="AE307" s="775"/>
      <c r="AF307" s="775"/>
      <c r="AG307" s="775"/>
      <c r="AH307" s="775"/>
      <c r="AI307" s="775"/>
      <c r="AJ307" s="773"/>
      <c r="AK307" s="775"/>
      <c r="AL307" s="773"/>
      <c r="AM307" s="773"/>
      <c r="AN307" s="776"/>
      <c r="AO307" s="769"/>
      <c r="AP307" s="769"/>
      <c r="AQ307" s="773"/>
      <c r="AR307" s="773"/>
      <c r="AS307" s="773"/>
      <c r="AT30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07" s="779">
        <f>WWWW[[#This Row],[%Equitable and continuous access to sufficient quantity of safe drinking water]]*WWWW[[#This Row],[Total PoP ]]</f>
        <v>53</v>
      </c>
      <c r="AV30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07" s="779">
        <f>WWWW[[#This Row],[% Access to unimproved water points]]*WWWW[[#This Row],[Total PoP ]]</f>
        <v>53</v>
      </c>
      <c r="AX30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0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v>
      </c>
      <c r="AZ307" s="779">
        <f>WWWW[[#This Row],[HRP1]]/250</f>
        <v>0.21199999999999999</v>
      </c>
      <c r="BA307" s="780">
        <f>1-WWWW[[#This Row],[% Equitable and continuous access to sufficient quantity of domestic water]]</f>
        <v>0</v>
      </c>
      <c r="BB307" s="779">
        <f>WWWW[[#This Row],[%equitable and continuous access to sufficient quantity of safe drinking and domestic water''s GAP]]*WWWW[[#This Row],[Total PoP ]]</f>
        <v>0</v>
      </c>
      <c r="BC307" s="781">
        <f>IF(WWWW[[#This Row],[Total required water points]]-WWWW[[#This Row],['#Water points coverage]]&lt;0,0,WWWW[[#This Row],[Total required water points]]-WWWW[[#This Row],['#Water points coverage]])</f>
        <v>0.78800000000000003</v>
      </c>
      <c r="BD307" s="781">
        <f>ROUND(IF(WWWW[[#This Row],[Total PoP ]]&lt;250,1,WWWW[[#This Row],[Total PoP ]]/250),0)</f>
        <v>1</v>
      </c>
      <c r="BE30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307" s="779">
        <f>WWWW[[#This Row],[% people access to functioning Latrine]]*WWWW[[#This Row],[Total PoP ]]</f>
        <v>53</v>
      </c>
      <c r="BG307" s="781">
        <f>WWWW[[#This Row],['#_of_Functioning_latrines_in_school]]*50</f>
        <v>0</v>
      </c>
      <c r="BH307" s="781">
        <f>ROUND((WWWW[[#This Row],[Total PoP ]]/6),0)</f>
        <v>9</v>
      </c>
      <c r="BI307" s="781">
        <f>IF(WWWW[[#This Row],[Total required Latrines]]-(WWWW[[#This Row],['#_of_sanitary_fly-proof_HH_latrines]])&lt;0,0,WWWW[[#This Row],[Total required Latrines]]-(WWWW[[#This Row],['#_of_sanitary_fly-proof_HH_latrines]]))</f>
        <v>0</v>
      </c>
      <c r="BJ307" s="778">
        <f>1-WWWW[[#This Row],[% people access to functioning Latrine]]</f>
        <v>0</v>
      </c>
      <c r="BK30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07" s="772">
        <f>IF(WWWW[[#This Row],['#_of_functional_handwashing_facilities_at_HH_level]]*6&gt;WWWW[[#This Row],[Total PoP ]],WWWW[[#This Row],[Total PoP ]],WWWW[[#This Row],['#_of_functional_handwashing_facilities_at_HH_level]]*6)</f>
        <v>0</v>
      </c>
      <c r="BM307" s="781">
        <f>IF(WWWW[[#This Row],['# people reached by regular dedicated hygiene promotion]]&gt;WWWW[[#This Row],['# People received regular supply of hygiene items]],WWWW[[#This Row],['# people reached by regular dedicated hygiene promotion]],WWWW[[#This Row],['# People received regular supply of hygiene items]])</f>
        <v>0</v>
      </c>
      <c r="BN307" s="780">
        <f>IF(WWWW[[#This Row],[HRP3]]/WWWW[[#This Row],[Total PoP ]]&gt;100%,100%,WWWW[[#This Row],[HRP3]]/WWWW[[#This Row],[Total PoP ]])</f>
        <v>0</v>
      </c>
      <c r="BO307" s="778">
        <f>1-WWWW[[#This Row],[Hygiene Coverage%]]</f>
        <v>1</v>
      </c>
      <c r="BP307" s="777">
        <f>WWWW[[#This Row],['# people reached by regular dedicated hygiene promotion]]/WWWW[[#This Row],[Total PoP ]]</f>
        <v>0</v>
      </c>
      <c r="BQ30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07" s="770">
        <f>WWWW[[#This Row],['#_of_affected_women_and_girls_receiving_a_sufficient_quantity_of_sanitary_pads]]</f>
        <v>0</v>
      </c>
      <c r="BS307" s="773">
        <f>IF(WWWW[[#This Row],['# People with access to soap]]&gt;WWWW[[#This Row],['# People with access to Sanity Pads]],WWWW[[#This Row],['# People with access to soap]],WWWW[[#This Row],['# People with access to Sanity Pads]])</f>
        <v>0</v>
      </c>
      <c r="BT307" s="772" t="str">
        <f>IF(OR(WWWW[[#This Row],['#of students in school]]="",WWWW[[#This Row],['#of students in school]]=0),"No","Yes")</f>
        <v>No</v>
      </c>
      <c r="BU307" s="782" t="str">
        <f>VLOOKUP(WWWW[[#This Row],[Village  Name]],SiteDB6[[Site Name]:[Location Type 1]],9,FALSE)</f>
        <v>Village</v>
      </c>
      <c r="BV307" s="782" t="str">
        <f>VLOOKUP(WWWW[[#This Row],[Village  Name]],SiteDB6[[Site Name]:[Type of Accommodation]],10,FALSE)</f>
        <v>Village</v>
      </c>
      <c r="BW307" s="782">
        <f>VLOOKUP(WWWW[[#This Row],[Village  Name]],SiteDB6[[Site Name]:[Ethnic or GCA/NGCA]],11,FALSE)</f>
        <v>0</v>
      </c>
      <c r="BX307" s="782">
        <f>VLOOKUP(WWWW[[#This Row],[Village  Name]],SiteDB6[[Site Name]:[Lat]],12,FALSE)</f>
        <v>20.384975433349599</v>
      </c>
      <c r="BY307" s="782">
        <f>VLOOKUP(WWWW[[#This Row],[Village  Name]],SiteDB6[[Site Name]:[Long]],13,FALSE)</f>
        <v>93.373054504394503</v>
      </c>
      <c r="BZ307" s="782">
        <f>VLOOKUP(WWWW[[#This Row],[Village  Name]],SiteDB6[[Site Name]:[Pcode]],3,FALSE)</f>
        <v>220653</v>
      </c>
      <c r="CA307" s="782" t="str">
        <f t="shared" si="19"/>
        <v>Covered</v>
      </c>
      <c r="CB307" s="783"/>
    </row>
    <row r="308" spans="1:80">
      <c r="A308" s="774" t="s">
        <v>3199</v>
      </c>
      <c r="B308" s="727" t="s">
        <v>314</v>
      </c>
      <c r="C308" s="728" t="s">
        <v>314</v>
      </c>
      <c r="D308" s="728" t="s">
        <v>327</v>
      </c>
      <c r="E308" s="728" t="s">
        <v>2648</v>
      </c>
      <c r="F308" s="728" t="s">
        <v>312</v>
      </c>
      <c r="G308" s="644" t="str">
        <f>VLOOKUP(WWWW[[#This Row],[Village  Name]],SiteDB6[[Site Name]:[Location Type]],8,FALSE)</f>
        <v>Village</v>
      </c>
      <c r="H308" s="728" t="s">
        <v>658</v>
      </c>
      <c r="I308" s="775">
        <v>63</v>
      </c>
      <c r="J308" s="775">
        <v>249</v>
      </c>
      <c r="K308" s="784">
        <v>42736</v>
      </c>
      <c r="L308" s="785">
        <v>44551</v>
      </c>
      <c r="M308" s="775"/>
      <c r="N308" s="775"/>
      <c r="O308" s="773">
        <v>0</v>
      </c>
      <c r="P308" s="775">
        <v>88</v>
      </c>
      <c r="Q308" s="775">
        <v>2</v>
      </c>
      <c r="R308" s="775"/>
      <c r="S308" s="775"/>
      <c r="T308" s="775"/>
      <c r="U308" s="776"/>
      <c r="V308" s="775">
        <v>108</v>
      </c>
      <c r="W308" s="775" t="s">
        <v>130</v>
      </c>
      <c r="X308" s="775"/>
      <c r="Y308" s="775"/>
      <c r="Z308" s="775"/>
      <c r="AA308" s="775"/>
      <c r="AB308" s="775"/>
      <c r="AC308" s="776"/>
      <c r="AD308" s="775"/>
      <c r="AE308" s="775"/>
      <c r="AF308" s="775"/>
      <c r="AG308" s="775"/>
      <c r="AH308" s="775"/>
      <c r="AI308" s="775"/>
      <c r="AJ308" s="773"/>
      <c r="AK308" s="775"/>
      <c r="AL308" s="773"/>
      <c r="AM308" s="773"/>
      <c r="AN308" s="776"/>
      <c r="AO308" s="769"/>
      <c r="AP308" s="769"/>
      <c r="AQ308" s="773"/>
      <c r="AR308" s="773"/>
      <c r="AS308" s="773"/>
      <c r="AT30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08" s="779">
        <f>WWWW[[#This Row],[%Equitable and continuous access to sufficient quantity of safe drinking water]]*WWWW[[#This Row],[Total PoP ]]</f>
        <v>249</v>
      </c>
      <c r="AV30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08" s="779">
        <f>WWWW[[#This Row],[% Access to unimproved water points]]*WWWW[[#This Row],[Total PoP ]]</f>
        <v>249</v>
      </c>
      <c r="AX30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0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249</v>
      </c>
      <c r="AZ308" s="779">
        <f>WWWW[[#This Row],[HRP1]]/250</f>
        <v>0.996</v>
      </c>
      <c r="BA308" s="780">
        <f>1-WWWW[[#This Row],[% Equitable and continuous access to sufficient quantity of domestic water]]</f>
        <v>0</v>
      </c>
      <c r="BB308" s="779">
        <f>WWWW[[#This Row],[%equitable and continuous access to sufficient quantity of safe drinking and domestic water''s GAP]]*WWWW[[#This Row],[Total PoP ]]</f>
        <v>0</v>
      </c>
      <c r="BC308" s="781">
        <f>IF(WWWW[[#This Row],[Total required water points]]-WWWW[[#This Row],['#Water points coverage]]&lt;0,0,WWWW[[#This Row],[Total required water points]]-WWWW[[#This Row],['#Water points coverage]])</f>
        <v>4.0000000000000036E-3</v>
      </c>
      <c r="BD308" s="781">
        <f>ROUND(IF(WWWW[[#This Row],[Total PoP ]]&lt;250,1,WWWW[[#This Row],[Total PoP ]]/250),0)</f>
        <v>1</v>
      </c>
      <c r="BE30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308" s="779">
        <f>WWWW[[#This Row],[% people access to functioning Latrine]]*WWWW[[#This Row],[Total PoP ]]</f>
        <v>249</v>
      </c>
      <c r="BG308" s="781">
        <f>WWWW[[#This Row],['#_of_Functioning_latrines_in_school]]*50</f>
        <v>0</v>
      </c>
      <c r="BH308" s="781">
        <f>ROUND((WWWW[[#This Row],[Total PoP ]]/6),0)</f>
        <v>42</v>
      </c>
      <c r="BI308" s="781">
        <f>IF(WWWW[[#This Row],[Total required Latrines]]-(WWWW[[#This Row],['#_of_sanitary_fly-proof_HH_latrines]])&lt;0,0,WWWW[[#This Row],[Total required Latrines]]-(WWWW[[#This Row],['#_of_sanitary_fly-proof_HH_latrines]]))</f>
        <v>0</v>
      </c>
      <c r="BJ308" s="778">
        <f>1-WWWW[[#This Row],[% people access to functioning Latrine]]</f>
        <v>0</v>
      </c>
      <c r="BK30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08" s="772">
        <f>IF(WWWW[[#This Row],['#_of_functional_handwashing_facilities_at_HH_level]]*6&gt;WWWW[[#This Row],[Total PoP ]],WWWW[[#This Row],[Total PoP ]],WWWW[[#This Row],['#_of_functional_handwashing_facilities_at_HH_level]]*6)</f>
        <v>0</v>
      </c>
      <c r="BM308" s="781">
        <f>IF(WWWW[[#This Row],['# people reached by regular dedicated hygiene promotion]]&gt;WWWW[[#This Row],['# People received regular supply of hygiene items]],WWWW[[#This Row],['# people reached by regular dedicated hygiene promotion]],WWWW[[#This Row],['# People received regular supply of hygiene items]])</f>
        <v>0</v>
      </c>
      <c r="BN308" s="780">
        <f>IF(WWWW[[#This Row],[HRP3]]/WWWW[[#This Row],[Total PoP ]]&gt;100%,100%,WWWW[[#This Row],[HRP3]]/WWWW[[#This Row],[Total PoP ]])</f>
        <v>0</v>
      </c>
      <c r="BO308" s="778">
        <f>1-WWWW[[#This Row],[Hygiene Coverage%]]</f>
        <v>1</v>
      </c>
      <c r="BP308" s="777">
        <f>WWWW[[#This Row],['# people reached by regular dedicated hygiene promotion]]/WWWW[[#This Row],[Total PoP ]]</f>
        <v>0</v>
      </c>
      <c r="BQ30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08" s="770">
        <f>WWWW[[#This Row],['#_of_affected_women_and_girls_receiving_a_sufficient_quantity_of_sanitary_pads]]</f>
        <v>0</v>
      </c>
      <c r="BS308" s="773">
        <f>IF(WWWW[[#This Row],['# People with access to soap]]&gt;WWWW[[#This Row],['# People with access to Sanity Pads]],WWWW[[#This Row],['# People with access to soap]],WWWW[[#This Row],['# People with access to Sanity Pads]])</f>
        <v>0</v>
      </c>
      <c r="BT308" s="772" t="str">
        <f>IF(OR(WWWW[[#This Row],['#of students in school]]="",WWWW[[#This Row],['#of students in school]]=0),"No","Yes")</f>
        <v>No</v>
      </c>
      <c r="BU308" s="782" t="str">
        <f>VLOOKUP(WWWW[[#This Row],[Village  Name]],SiteDB6[[Site Name]:[Location Type 1]],9,FALSE)</f>
        <v>Village</v>
      </c>
      <c r="BV308" s="782" t="str">
        <f>VLOOKUP(WWWW[[#This Row],[Village  Name]],SiteDB6[[Site Name]:[Type of Accommodation]],10,FALSE)</f>
        <v>Village</v>
      </c>
      <c r="BW308" s="782">
        <f>VLOOKUP(WWWW[[#This Row],[Village  Name]],SiteDB6[[Site Name]:[Ethnic or GCA/NGCA]],11,FALSE)</f>
        <v>0</v>
      </c>
      <c r="BX308" s="782">
        <f>VLOOKUP(WWWW[[#This Row],[Village  Name]],SiteDB6[[Site Name]:[Lat]],12,FALSE)</f>
        <v>0</v>
      </c>
      <c r="BY308" s="782">
        <f>VLOOKUP(WWWW[[#This Row],[Village  Name]],SiteDB6[[Site Name]:[Long]],13,FALSE)</f>
        <v>0</v>
      </c>
      <c r="BZ308" s="782">
        <f>VLOOKUP(WWWW[[#This Row],[Village  Name]],SiteDB6[[Site Name]:[Pcode]],3,FALSE)</f>
        <v>197110</v>
      </c>
      <c r="CA308" s="782" t="str">
        <f t="shared" si="19"/>
        <v>Covered</v>
      </c>
      <c r="CB308" s="783"/>
    </row>
    <row r="309" spans="1:80">
      <c r="A309" s="774" t="s">
        <v>3199</v>
      </c>
      <c r="B309" s="727" t="s">
        <v>398</v>
      </c>
      <c r="C309" s="728" t="s">
        <v>398</v>
      </c>
      <c r="D309" s="728" t="s">
        <v>3295</v>
      </c>
      <c r="E309" s="728" t="s">
        <v>2648</v>
      </c>
      <c r="F309" s="728" t="s">
        <v>399</v>
      </c>
      <c r="G309" s="644" t="str">
        <f>VLOOKUP(WWWW[[#This Row],[Village  Name]],SiteDB6[[Site Name]:[Location Type]],8,FALSE)</f>
        <v>Village</v>
      </c>
      <c r="H309" s="728" t="s">
        <v>401</v>
      </c>
      <c r="I309" s="775">
        <v>40</v>
      </c>
      <c r="J309" s="775">
        <v>217</v>
      </c>
      <c r="K309" s="784">
        <v>43952</v>
      </c>
      <c r="L309" s="785">
        <v>44316</v>
      </c>
      <c r="M309" s="775">
        <v>107</v>
      </c>
      <c r="N309" s="775"/>
      <c r="O309" s="773"/>
      <c r="P309" s="775">
        <v>8</v>
      </c>
      <c r="Q309" s="775"/>
      <c r="R309" s="775"/>
      <c r="S309" s="775"/>
      <c r="T309" s="775">
        <v>2</v>
      </c>
      <c r="U309" s="776"/>
      <c r="V309" s="775">
        <v>40</v>
      </c>
      <c r="W309" s="775" t="s">
        <v>40</v>
      </c>
      <c r="X309" s="775">
        <v>2</v>
      </c>
      <c r="Y309" s="775"/>
      <c r="Z309" s="775"/>
      <c r="AA309" s="775">
        <v>1</v>
      </c>
      <c r="AB309" s="775"/>
      <c r="AC309" s="776"/>
      <c r="AD309" s="775">
        <v>39</v>
      </c>
      <c r="AE309" s="775">
        <v>147</v>
      </c>
      <c r="AF309" s="775">
        <v>70</v>
      </c>
      <c r="AG309" s="775">
        <v>116</v>
      </c>
      <c r="AH309" s="775">
        <v>30</v>
      </c>
      <c r="AI309" s="775">
        <v>32</v>
      </c>
      <c r="AJ309" s="773">
        <v>40</v>
      </c>
      <c r="AK309" s="775">
        <v>2</v>
      </c>
      <c r="AL309" s="773">
        <v>40</v>
      </c>
      <c r="AM309" s="773">
        <v>80</v>
      </c>
      <c r="AN309" s="776"/>
      <c r="AO309" s="769">
        <v>1</v>
      </c>
      <c r="AP309" s="769">
        <v>1</v>
      </c>
      <c r="AQ309" s="773" t="s">
        <v>61</v>
      </c>
      <c r="AR309" s="773" t="s">
        <v>61</v>
      </c>
      <c r="AS309" s="773" t="s">
        <v>61</v>
      </c>
      <c r="AT30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09" s="779">
        <f>WWWW[[#This Row],[%Equitable and continuous access to sufficient quantity of safe drinking water]]*WWWW[[#This Row],[Total PoP ]]</f>
        <v>217</v>
      </c>
      <c r="AV30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09" s="779">
        <f>WWWW[[#This Row],[% Access to unimproved water points]]*WWWW[[#This Row],[Total PoP ]]</f>
        <v>0</v>
      </c>
      <c r="AX30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0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217</v>
      </c>
      <c r="AZ309" s="779">
        <f>WWWW[[#This Row],[HRP1]]/250</f>
        <v>0.86799999999999999</v>
      </c>
      <c r="BA309" s="780">
        <f>1-WWWW[[#This Row],[% Equitable and continuous access to sufficient quantity of domestic water]]</f>
        <v>0</v>
      </c>
      <c r="BB309" s="779">
        <f>WWWW[[#This Row],[%equitable and continuous access to sufficient quantity of safe drinking and domestic water''s GAP]]*WWWW[[#This Row],[Total PoP ]]</f>
        <v>0</v>
      </c>
      <c r="BC309" s="781">
        <f>IF(WWWW[[#This Row],[Total required water points]]-WWWW[[#This Row],['#Water points coverage]]&lt;0,0,WWWW[[#This Row],[Total required water points]]-WWWW[[#This Row],['#Water points coverage]])</f>
        <v>0.13200000000000001</v>
      </c>
      <c r="BD309" s="781">
        <f>ROUND(IF(WWWW[[#This Row],[Total PoP ]]&lt;250,1,WWWW[[#This Row],[Total PoP ]]/250),0)</f>
        <v>1</v>
      </c>
      <c r="BE30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309" s="779">
        <f>WWWW[[#This Row],[% people access to functioning Latrine]]*WWWW[[#This Row],[Total PoP ]]</f>
        <v>217</v>
      </c>
      <c r="BG309" s="781">
        <f>WWWW[[#This Row],['#_of_Functioning_latrines_in_school]]*50</f>
        <v>100</v>
      </c>
      <c r="BH309" s="781">
        <f>ROUND((WWWW[[#This Row],[Total PoP ]]/6),0)</f>
        <v>36</v>
      </c>
      <c r="BI309" s="781">
        <f>IF(WWWW[[#This Row],[Total required Latrines]]-(WWWW[[#This Row],['#_of_sanitary_fly-proof_HH_latrines]])&lt;0,0,WWWW[[#This Row],[Total required Latrines]]-(WWWW[[#This Row],['#_of_sanitary_fly-proof_HH_latrines]]))</f>
        <v>0</v>
      </c>
      <c r="BJ309" s="778">
        <f>1-WWWW[[#This Row],[% people access to functioning Latrine]]</f>
        <v>0</v>
      </c>
      <c r="BK30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217</v>
      </c>
      <c r="BL309" s="772">
        <f>IF(WWWW[[#This Row],['#_of_functional_handwashing_facilities_at_HH_level]]*6&gt;WWWW[[#This Row],[Total PoP ]],WWWW[[#This Row],[Total PoP ]],WWWW[[#This Row],['#_of_functional_handwashing_facilities_at_HH_level]]*6)</f>
        <v>217</v>
      </c>
      <c r="BM309" s="781">
        <f>IF(WWWW[[#This Row],['# people reached by regular dedicated hygiene promotion]]&gt;WWWW[[#This Row],['# People received regular supply of hygiene items]],WWWW[[#This Row],['# people reached by regular dedicated hygiene promotion]],WWWW[[#This Row],['# People received regular supply of hygiene items]])</f>
        <v>217</v>
      </c>
      <c r="BN309" s="780">
        <f>IF(WWWW[[#This Row],[HRP3]]/WWWW[[#This Row],[Total PoP ]]&gt;100%,100%,WWWW[[#This Row],[HRP3]]/WWWW[[#This Row],[Total PoP ]])</f>
        <v>1</v>
      </c>
      <c r="BO309" s="778">
        <f>1-WWWW[[#This Row],[Hygiene Coverage%]]</f>
        <v>0</v>
      </c>
      <c r="BP309" s="777">
        <f>WWWW[[#This Row],['# people reached by regular dedicated hygiene promotion]]/WWWW[[#This Row],[Total PoP ]]</f>
        <v>1</v>
      </c>
      <c r="BQ30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217</v>
      </c>
      <c r="BR309" s="770">
        <f>WWWW[[#This Row],['#_of_affected_women_and_girls_receiving_a_sufficient_quantity_of_sanitary_pads]]</f>
        <v>80</v>
      </c>
      <c r="BS309" s="773">
        <f>IF(WWWW[[#This Row],['# People with access to soap]]&gt;WWWW[[#This Row],['# People with access to Sanity Pads]],WWWW[[#This Row],['# People with access to soap]],WWWW[[#This Row],['# People with access to Sanity Pads]])</f>
        <v>217</v>
      </c>
      <c r="BT309" s="772" t="str">
        <f>IF(OR(WWWW[[#This Row],['#of students in school]]="",WWWW[[#This Row],['#of students in school]]=0),"No","Yes")</f>
        <v>Yes</v>
      </c>
      <c r="BU309" s="782" t="str">
        <f>VLOOKUP(WWWW[[#This Row],[Village  Name]],SiteDB6[[Site Name]:[Location Type 1]],9,FALSE)</f>
        <v>Village</v>
      </c>
      <c r="BV309" s="782" t="str">
        <f>VLOOKUP(WWWW[[#This Row],[Village  Name]],SiteDB6[[Site Name]:[Type of Accommodation]],10,FALSE)</f>
        <v>Relocated</v>
      </c>
      <c r="BW309" s="782" t="str">
        <f>VLOOKUP(WWWW[[#This Row],[Village  Name]],SiteDB6[[Site Name]:[Ethnic or GCA/NGCA]],11,FALSE)</f>
        <v>Rakhine</v>
      </c>
      <c r="BX309" s="782">
        <f>VLOOKUP(WWWW[[#This Row],[Village  Name]],SiteDB6[[Site Name]:[Lat]],12,FALSE)</f>
        <v>20.041981</v>
      </c>
      <c r="BY309" s="782">
        <f>VLOOKUP(WWWW[[#This Row],[Village  Name]],SiteDB6[[Site Name]:[Long]],13,FALSE)</f>
        <v>93.373951000000005</v>
      </c>
      <c r="BZ309" s="782" t="str">
        <f>VLOOKUP(WWWW[[#This Row],[Village  Name]],SiteDB6[[Site Name]:[Pcode]],3,FALSE)</f>
        <v>MMR012CMP013</v>
      </c>
      <c r="CA309" s="782" t="str">
        <f t="shared" si="19"/>
        <v>Covered</v>
      </c>
      <c r="CB309" s="783"/>
    </row>
    <row r="310" spans="1:80">
      <c r="A310" s="774" t="s">
        <v>3199</v>
      </c>
      <c r="B310" s="727" t="s">
        <v>2283</v>
      </c>
      <c r="C310" s="728" t="s">
        <v>2283</v>
      </c>
      <c r="D310" s="728" t="s">
        <v>39</v>
      </c>
      <c r="E310" s="728" t="s">
        <v>2648</v>
      </c>
      <c r="F310" s="728" t="s">
        <v>295</v>
      </c>
      <c r="G310" s="644" t="str">
        <f>VLOOKUP(WWWW[[#This Row],[Village  Name]],SiteDB6[[Site Name]:[Location Type]],8,FALSE)</f>
        <v>Village</v>
      </c>
      <c r="H310" s="728" t="s">
        <v>418</v>
      </c>
      <c r="I310" s="775">
        <v>249</v>
      </c>
      <c r="J310" s="775">
        <v>1362</v>
      </c>
      <c r="K310" s="784">
        <v>43009</v>
      </c>
      <c r="L310" s="785">
        <v>44104</v>
      </c>
      <c r="M310" s="775"/>
      <c r="N310" s="775">
        <v>0</v>
      </c>
      <c r="O310" s="773"/>
      <c r="P310" s="775"/>
      <c r="Q310" s="775"/>
      <c r="R310" s="775"/>
      <c r="S310" s="775"/>
      <c r="T310" s="775"/>
      <c r="U310" s="776"/>
      <c r="V310" s="775"/>
      <c r="W310" s="773" t="s">
        <v>130</v>
      </c>
      <c r="X310" s="775"/>
      <c r="Y310" s="775"/>
      <c r="Z310" s="775"/>
      <c r="AA310" s="775"/>
      <c r="AB310" s="775"/>
      <c r="AC310" s="776"/>
      <c r="AD310" s="775"/>
      <c r="AE310" s="775"/>
      <c r="AF310" s="775"/>
      <c r="AG310" s="775"/>
      <c r="AH310" s="775"/>
      <c r="AI310" s="775"/>
      <c r="AJ310" s="773"/>
      <c r="AK310" s="775"/>
      <c r="AL310" s="773"/>
      <c r="AM310" s="773"/>
      <c r="AN310" s="776"/>
      <c r="AO310" s="769"/>
      <c r="AP310" s="769"/>
      <c r="AQ310" s="773"/>
      <c r="AR310" s="773"/>
      <c r="AS310" s="773"/>
      <c r="AT31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10" s="779">
        <f>WWWW[[#This Row],[%Equitable and continuous access to sufficient quantity of safe drinking water]]*WWWW[[#This Row],[Total PoP ]]</f>
        <v>0</v>
      </c>
      <c r="AV31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10" s="779">
        <f>WWWW[[#This Row],[% Access to unimproved water points]]*WWWW[[#This Row],[Total PoP ]]</f>
        <v>0</v>
      </c>
      <c r="AX31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1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10" s="779">
        <f>WWWW[[#This Row],[HRP1]]/250</f>
        <v>0</v>
      </c>
      <c r="BA310" s="780">
        <f>1-WWWW[[#This Row],[% Equitable and continuous access to sufficient quantity of domestic water]]</f>
        <v>1</v>
      </c>
      <c r="BB310" s="779">
        <f>WWWW[[#This Row],[%equitable and continuous access to sufficient quantity of safe drinking and domestic water''s GAP]]*WWWW[[#This Row],[Total PoP ]]</f>
        <v>1362</v>
      </c>
      <c r="BC310" s="781">
        <f>IF(WWWW[[#This Row],[Total required water points]]-WWWW[[#This Row],['#Water points coverage]]&lt;0,0,WWWW[[#This Row],[Total required water points]]-WWWW[[#This Row],['#Water points coverage]])</f>
        <v>5</v>
      </c>
      <c r="BD310" s="781">
        <f>ROUND(IF(WWWW[[#This Row],[Total PoP ]]&lt;250,1,WWWW[[#This Row],[Total PoP ]]/250),0)</f>
        <v>5</v>
      </c>
      <c r="BE31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10" s="779">
        <f>WWWW[[#This Row],[% people access to functioning Latrine]]*WWWW[[#This Row],[Total PoP ]]</f>
        <v>0</v>
      </c>
      <c r="BG310" s="781">
        <f>WWWW[[#This Row],['#_of_Functioning_latrines_in_school]]*50</f>
        <v>0</v>
      </c>
      <c r="BH310" s="781">
        <f>ROUND((WWWW[[#This Row],[Total PoP ]]/6),0)</f>
        <v>227</v>
      </c>
      <c r="BI310" s="781">
        <f>IF(WWWW[[#This Row],[Total required Latrines]]-(WWWW[[#This Row],['#_of_sanitary_fly-proof_HH_latrines]])&lt;0,0,WWWW[[#This Row],[Total required Latrines]]-(WWWW[[#This Row],['#_of_sanitary_fly-proof_HH_latrines]]))</f>
        <v>227</v>
      </c>
      <c r="BJ310" s="778">
        <f>1-WWWW[[#This Row],[% people access to functioning Latrine]]</f>
        <v>1</v>
      </c>
      <c r="BK31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10" s="772">
        <f>IF(WWWW[[#This Row],['#_of_functional_handwashing_facilities_at_HH_level]]*6&gt;WWWW[[#This Row],[Total PoP ]],WWWW[[#This Row],[Total PoP ]],WWWW[[#This Row],['#_of_functional_handwashing_facilities_at_HH_level]]*6)</f>
        <v>0</v>
      </c>
      <c r="BM310" s="781">
        <f>IF(WWWW[[#This Row],['# people reached by regular dedicated hygiene promotion]]&gt;WWWW[[#This Row],['# People received regular supply of hygiene items]],WWWW[[#This Row],['# people reached by regular dedicated hygiene promotion]],WWWW[[#This Row],['# People received regular supply of hygiene items]])</f>
        <v>0</v>
      </c>
      <c r="BN310" s="780">
        <f>IF(WWWW[[#This Row],[HRP3]]/WWWW[[#This Row],[Total PoP ]]&gt;100%,100%,WWWW[[#This Row],[HRP3]]/WWWW[[#This Row],[Total PoP ]])</f>
        <v>0</v>
      </c>
      <c r="BO310" s="778">
        <f>1-WWWW[[#This Row],[Hygiene Coverage%]]</f>
        <v>1</v>
      </c>
      <c r="BP310" s="777">
        <f>WWWW[[#This Row],['# people reached by regular dedicated hygiene promotion]]/WWWW[[#This Row],[Total PoP ]]</f>
        <v>0</v>
      </c>
      <c r="BQ31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10" s="770">
        <f>WWWW[[#This Row],['#_of_affected_women_and_girls_receiving_a_sufficient_quantity_of_sanitary_pads]]</f>
        <v>0</v>
      </c>
      <c r="BS310" s="773">
        <f>IF(WWWW[[#This Row],['# People with access to soap]]&gt;WWWW[[#This Row],['# People with access to Sanity Pads]],WWWW[[#This Row],['# People with access to soap]],WWWW[[#This Row],['# People with access to Sanity Pads]])</f>
        <v>0</v>
      </c>
      <c r="BT310" s="772" t="str">
        <f>IF(OR(WWWW[[#This Row],['#of students in school]]="",WWWW[[#This Row],['#of students in school]]=0),"No","Yes")</f>
        <v>No</v>
      </c>
      <c r="BU310" s="782" t="str">
        <f>VLOOKUP(WWWW[[#This Row],[Village  Name]],SiteDB6[[Site Name]:[Location Type 1]],9,FALSE)</f>
        <v>Village</v>
      </c>
      <c r="BV310" s="782" t="str">
        <f>VLOOKUP(WWWW[[#This Row],[Village  Name]],SiteDB6[[Site Name]:[Type of Accommodation]],10,FALSE)</f>
        <v>Relocated</v>
      </c>
      <c r="BW310" s="782" t="str">
        <f>VLOOKUP(WWWW[[#This Row],[Village  Name]],SiteDB6[[Site Name]:[Ethnic or GCA/NGCA]],11,FALSE)</f>
        <v>Rakhine</v>
      </c>
      <c r="BX310" s="782">
        <f>VLOOKUP(WWWW[[#This Row],[Village  Name]],SiteDB6[[Site Name]:[Lat]],12,FALSE)</f>
        <v>20.151471999999998</v>
      </c>
      <c r="BY310" s="782">
        <f>VLOOKUP(WWWW[[#This Row],[Village  Name]],SiteDB6[[Site Name]:[Long]],13,FALSE)</f>
        <v>92.887277999999995</v>
      </c>
      <c r="BZ310" s="782" t="str">
        <f>VLOOKUP(WWWW[[#This Row],[Village  Name]],SiteDB6[[Site Name]:[Pcode]],3,FALSE)</f>
        <v>MMR012CMP111</v>
      </c>
      <c r="CA310" s="782" t="str">
        <f t="shared" si="19"/>
        <v>Covered</v>
      </c>
      <c r="CB310" s="783"/>
    </row>
    <row r="311" spans="1:80">
      <c r="A311" s="774" t="s">
        <v>3199</v>
      </c>
      <c r="B311" s="727" t="s">
        <v>2282</v>
      </c>
      <c r="C311" s="728" t="s">
        <v>2282</v>
      </c>
      <c r="D311" s="728" t="s">
        <v>39</v>
      </c>
      <c r="E311" s="728" t="s">
        <v>2648</v>
      </c>
      <c r="F311" s="728" t="s">
        <v>295</v>
      </c>
      <c r="G311" s="644" t="str">
        <f>VLOOKUP(WWWW[[#This Row],[Village  Name]],SiteDB6[[Site Name]:[Location Type]],8,FALSE)</f>
        <v>Village</v>
      </c>
      <c r="H311" s="728" t="s">
        <v>419</v>
      </c>
      <c r="I311" s="775">
        <v>420</v>
      </c>
      <c r="J311" s="775">
        <v>2179</v>
      </c>
      <c r="K311" s="784">
        <v>43009</v>
      </c>
      <c r="L311" s="785">
        <v>44104</v>
      </c>
      <c r="M311" s="775"/>
      <c r="N311" s="775">
        <v>0</v>
      </c>
      <c r="O311" s="773"/>
      <c r="P311" s="775"/>
      <c r="Q311" s="775"/>
      <c r="R311" s="775"/>
      <c r="S311" s="775"/>
      <c r="T311" s="775"/>
      <c r="U311" s="776"/>
      <c r="V311" s="775"/>
      <c r="W311" s="773" t="s">
        <v>130</v>
      </c>
      <c r="X311" s="775"/>
      <c r="Y311" s="775"/>
      <c r="Z311" s="775"/>
      <c r="AA311" s="775"/>
      <c r="AB311" s="775"/>
      <c r="AC311" s="776"/>
      <c r="AD311" s="775">
        <v>72</v>
      </c>
      <c r="AE311" s="775">
        <v>60</v>
      </c>
      <c r="AF311" s="775"/>
      <c r="AG311" s="775"/>
      <c r="AH311" s="775"/>
      <c r="AI311" s="775"/>
      <c r="AJ311" s="773"/>
      <c r="AK311" s="775"/>
      <c r="AL311" s="773"/>
      <c r="AM311" s="773"/>
      <c r="AN311" s="776"/>
      <c r="AO311" s="769"/>
      <c r="AP311" s="769"/>
      <c r="AQ311" s="773"/>
      <c r="AR311" s="773"/>
      <c r="AS311" s="773"/>
      <c r="AT31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11" s="779">
        <f>WWWW[[#This Row],[%Equitable and continuous access to sufficient quantity of safe drinking water]]*WWWW[[#This Row],[Total PoP ]]</f>
        <v>0</v>
      </c>
      <c r="AV31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11" s="779">
        <f>WWWW[[#This Row],[% Access to unimproved water points]]*WWWW[[#This Row],[Total PoP ]]</f>
        <v>0</v>
      </c>
      <c r="AX31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1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11" s="779">
        <f>WWWW[[#This Row],[HRP1]]/250</f>
        <v>0</v>
      </c>
      <c r="BA311" s="780">
        <f>1-WWWW[[#This Row],[% Equitable and continuous access to sufficient quantity of domestic water]]</f>
        <v>1</v>
      </c>
      <c r="BB311" s="779">
        <f>WWWW[[#This Row],[%equitable and continuous access to sufficient quantity of safe drinking and domestic water''s GAP]]*WWWW[[#This Row],[Total PoP ]]</f>
        <v>2179</v>
      </c>
      <c r="BC311" s="781">
        <f>IF(WWWW[[#This Row],[Total required water points]]-WWWW[[#This Row],['#Water points coverage]]&lt;0,0,WWWW[[#This Row],[Total required water points]]-WWWW[[#This Row],['#Water points coverage]])</f>
        <v>9</v>
      </c>
      <c r="BD311" s="781">
        <f>ROUND(IF(WWWW[[#This Row],[Total PoP ]]&lt;250,1,WWWW[[#This Row],[Total PoP ]]/250),0)</f>
        <v>9</v>
      </c>
      <c r="BE31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11" s="779">
        <f>WWWW[[#This Row],[% people access to functioning Latrine]]*WWWW[[#This Row],[Total PoP ]]</f>
        <v>0</v>
      </c>
      <c r="BG311" s="781">
        <f>WWWW[[#This Row],['#_of_Functioning_latrines_in_school]]*50</f>
        <v>0</v>
      </c>
      <c r="BH311" s="781">
        <f>ROUND((WWWW[[#This Row],[Total PoP ]]/6),0)</f>
        <v>363</v>
      </c>
      <c r="BI311" s="781">
        <f>IF(WWWW[[#This Row],[Total required Latrines]]-(WWWW[[#This Row],['#_of_sanitary_fly-proof_HH_latrines]])&lt;0,0,WWWW[[#This Row],[Total required Latrines]]-(WWWW[[#This Row],['#_of_sanitary_fly-proof_HH_latrines]]))</f>
        <v>363</v>
      </c>
      <c r="BJ311" s="778">
        <f>1-WWWW[[#This Row],[% people access to functioning Latrine]]</f>
        <v>1</v>
      </c>
      <c r="BK31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132</v>
      </c>
      <c r="BL311" s="772">
        <f>IF(WWWW[[#This Row],['#_of_functional_handwashing_facilities_at_HH_level]]*6&gt;WWWW[[#This Row],[Total PoP ]],WWWW[[#This Row],[Total PoP ]],WWWW[[#This Row],['#_of_functional_handwashing_facilities_at_HH_level]]*6)</f>
        <v>0</v>
      </c>
      <c r="BM311" s="781">
        <f>IF(WWWW[[#This Row],['# people reached by regular dedicated hygiene promotion]]&gt;WWWW[[#This Row],['# People received regular supply of hygiene items]],WWWW[[#This Row],['# people reached by regular dedicated hygiene promotion]],WWWW[[#This Row],['# People received regular supply of hygiene items]])</f>
        <v>132</v>
      </c>
      <c r="BN311" s="780">
        <f>IF(WWWW[[#This Row],[HRP3]]/WWWW[[#This Row],[Total PoP ]]&gt;100%,100%,WWWW[[#This Row],[HRP3]]/WWWW[[#This Row],[Total PoP ]])</f>
        <v>6.0578246902248736E-2</v>
      </c>
      <c r="BO311" s="778">
        <f>1-WWWW[[#This Row],[Hygiene Coverage%]]</f>
        <v>0.93942175309775122</v>
      </c>
      <c r="BP311" s="777">
        <f>WWWW[[#This Row],['# people reached by regular dedicated hygiene promotion]]/WWWW[[#This Row],[Total PoP ]]</f>
        <v>6.0578246902248736E-2</v>
      </c>
      <c r="BQ31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11" s="770">
        <f>WWWW[[#This Row],['#_of_affected_women_and_girls_receiving_a_sufficient_quantity_of_sanitary_pads]]</f>
        <v>0</v>
      </c>
      <c r="BS311" s="773">
        <f>IF(WWWW[[#This Row],['# People with access to soap]]&gt;WWWW[[#This Row],['# People with access to Sanity Pads]],WWWW[[#This Row],['# People with access to soap]],WWWW[[#This Row],['# People with access to Sanity Pads]])</f>
        <v>0</v>
      </c>
      <c r="BT311" s="772" t="str">
        <f>IF(OR(WWWW[[#This Row],['#of students in school]]="",WWWW[[#This Row],['#of students in school]]=0),"No","Yes")</f>
        <v>No</v>
      </c>
      <c r="BU311" s="782" t="str">
        <f>VLOOKUP(WWWW[[#This Row],[Village  Name]],SiteDB6[[Site Name]:[Location Type 1]],9,FALSE)</f>
        <v>Village</v>
      </c>
      <c r="BV311" s="782" t="str">
        <f>VLOOKUP(WWWW[[#This Row],[Village  Name]],SiteDB6[[Site Name]:[Type of Accommodation]],10,FALSE)</f>
        <v>Relocated</v>
      </c>
      <c r="BW311" s="782" t="str">
        <f>VLOOKUP(WWWW[[#This Row],[Village  Name]],SiteDB6[[Site Name]:[Ethnic or GCA/NGCA]],11,FALSE)</f>
        <v>Rakhine</v>
      </c>
      <c r="BX311" s="782">
        <f>VLOOKUP(WWWW[[#This Row],[Village  Name]],SiteDB6[[Site Name]:[Lat]],12,FALSE)</f>
        <v>20.151471999999998</v>
      </c>
      <c r="BY311" s="782">
        <f>VLOOKUP(WWWW[[#This Row],[Village  Name]],SiteDB6[[Site Name]:[Long]],13,FALSE)</f>
        <v>92.887277999999995</v>
      </c>
      <c r="BZ311" s="782" t="str">
        <f>VLOOKUP(WWWW[[#This Row],[Village  Name]],SiteDB6[[Site Name]:[Pcode]],3,FALSE)</f>
        <v>MMR012CMP112</v>
      </c>
      <c r="CA311" s="782" t="str">
        <f t="shared" si="19"/>
        <v>Covered</v>
      </c>
      <c r="CB311" s="783"/>
    </row>
    <row r="312" spans="1:80">
      <c r="A312" s="774" t="s">
        <v>3199</v>
      </c>
      <c r="B312" s="727" t="s">
        <v>2282</v>
      </c>
      <c r="C312" s="728" t="s">
        <v>2282</v>
      </c>
      <c r="D312" s="728" t="s">
        <v>39</v>
      </c>
      <c r="E312" s="728" t="s">
        <v>2648</v>
      </c>
      <c r="F312" s="728" t="s">
        <v>295</v>
      </c>
      <c r="G312" s="644" t="str">
        <f>VLOOKUP(WWWW[[#This Row],[Village  Name]],SiteDB6[[Site Name]:[Location Type]],8,FALSE)</f>
        <v>Village</v>
      </c>
      <c r="H312" s="728" t="s">
        <v>433</v>
      </c>
      <c r="I312" s="775">
        <v>235</v>
      </c>
      <c r="J312" s="775">
        <v>1390</v>
      </c>
      <c r="K312" s="784">
        <v>43009</v>
      </c>
      <c r="L312" s="785">
        <v>44104</v>
      </c>
      <c r="M312" s="775"/>
      <c r="N312" s="775">
        <v>0</v>
      </c>
      <c r="O312" s="773"/>
      <c r="P312" s="775"/>
      <c r="Q312" s="775"/>
      <c r="R312" s="775"/>
      <c r="S312" s="775"/>
      <c r="T312" s="775"/>
      <c r="U312" s="776"/>
      <c r="V312" s="775"/>
      <c r="W312" s="773" t="s">
        <v>130</v>
      </c>
      <c r="X312" s="775"/>
      <c r="Y312" s="775"/>
      <c r="Z312" s="775"/>
      <c r="AA312" s="775"/>
      <c r="AB312" s="775"/>
      <c r="AC312" s="776"/>
      <c r="AD312" s="775">
        <v>149</v>
      </c>
      <c r="AE312" s="775">
        <v>275</v>
      </c>
      <c r="AF312" s="775"/>
      <c r="AG312" s="775"/>
      <c r="AH312" s="775"/>
      <c r="AI312" s="775"/>
      <c r="AJ312" s="773"/>
      <c r="AK312" s="775"/>
      <c r="AL312" s="773"/>
      <c r="AM312" s="773"/>
      <c r="AN312" s="776"/>
      <c r="AO312" s="769"/>
      <c r="AP312" s="769"/>
      <c r="AQ312" s="773"/>
      <c r="AR312" s="773"/>
      <c r="AS312" s="773"/>
      <c r="AT31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12" s="779">
        <f>WWWW[[#This Row],[%Equitable and continuous access to sufficient quantity of safe drinking water]]*WWWW[[#This Row],[Total PoP ]]</f>
        <v>0</v>
      </c>
      <c r="AV31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12" s="779">
        <f>WWWW[[#This Row],[% Access to unimproved water points]]*WWWW[[#This Row],[Total PoP ]]</f>
        <v>0</v>
      </c>
      <c r="AX31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1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12" s="779">
        <f>WWWW[[#This Row],[HRP1]]/250</f>
        <v>0</v>
      </c>
      <c r="BA312" s="780">
        <f>1-WWWW[[#This Row],[% Equitable and continuous access to sufficient quantity of domestic water]]</f>
        <v>1</v>
      </c>
      <c r="BB312" s="779">
        <f>WWWW[[#This Row],[%equitable and continuous access to sufficient quantity of safe drinking and domestic water''s GAP]]*WWWW[[#This Row],[Total PoP ]]</f>
        <v>1390</v>
      </c>
      <c r="BC312" s="781">
        <f>IF(WWWW[[#This Row],[Total required water points]]-WWWW[[#This Row],['#Water points coverage]]&lt;0,0,WWWW[[#This Row],[Total required water points]]-WWWW[[#This Row],['#Water points coverage]])</f>
        <v>6</v>
      </c>
      <c r="BD312" s="781">
        <f>ROUND(IF(WWWW[[#This Row],[Total PoP ]]&lt;250,1,WWWW[[#This Row],[Total PoP ]]/250),0)</f>
        <v>6</v>
      </c>
      <c r="BE31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12" s="779">
        <f>WWWW[[#This Row],[% people access to functioning Latrine]]*WWWW[[#This Row],[Total PoP ]]</f>
        <v>0</v>
      </c>
      <c r="BG312" s="781">
        <f>WWWW[[#This Row],['#_of_Functioning_latrines_in_school]]*50</f>
        <v>0</v>
      </c>
      <c r="BH312" s="781">
        <f>ROUND((WWWW[[#This Row],[Total PoP ]]/6),0)</f>
        <v>232</v>
      </c>
      <c r="BI312" s="781">
        <f>IF(WWWW[[#This Row],[Total required Latrines]]-(WWWW[[#This Row],['#_of_sanitary_fly-proof_HH_latrines]])&lt;0,0,WWWW[[#This Row],[Total required Latrines]]-(WWWW[[#This Row],['#_of_sanitary_fly-proof_HH_latrines]]))</f>
        <v>232</v>
      </c>
      <c r="BJ312" s="778">
        <f>1-WWWW[[#This Row],[% people access to functioning Latrine]]</f>
        <v>1</v>
      </c>
      <c r="BK31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424</v>
      </c>
      <c r="BL312" s="772">
        <f>IF(WWWW[[#This Row],['#_of_functional_handwashing_facilities_at_HH_level]]*6&gt;WWWW[[#This Row],[Total PoP ]],WWWW[[#This Row],[Total PoP ]],WWWW[[#This Row],['#_of_functional_handwashing_facilities_at_HH_level]]*6)</f>
        <v>0</v>
      </c>
      <c r="BM312" s="781">
        <f>IF(WWWW[[#This Row],['# people reached by regular dedicated hygiene promotion]]&gt;WWWW[[#This Row],['# People received regular supply of hygiene items]],WWWW[[#This Row],['# people reached by regular dedicated hygiene promotion]],WWWW[[#This Row],['# People received regular supply of hygiene items]])</f>
        <v>424</v>
      </c>
      <c r="BN312" s="780">
        <f>IF(WWWW[[#This Row],[HRP3]]/WWWW[[#This Row],[Total PoP ]]&gt;100%,100%,WWWW[[#This Row],[HRP3]]/WWWW[[#This Row],[Total PoP ]])</f>
        <v>0.30503597122302156</v>
      </c>
      <c r="BO312" s="778">
        <f>1-WWWW[[#This Row],[Hygiene Coverage%]]</f>
        <v>0.69496402877697849</v>
      </c>
      <c r="BP312" s="777">
        <f>WWWW[[#This Row],['# people reached by regular dedicated hygiene promotion]]/WWWW[[#This Row],[Total PoP ]]</f>
        <v>0.30503597122302156</v>
      </c>
      <c r="BQ31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12" s="770">
        <f>WWWW[[#This Row],['#_of_affected_women_and_girls_receiving_a_sufficient_quantity_of_sanitary_pads]]</f>
        <v>0</v>
      </c>
      <c r="BS312" s="773">
        <f>IF(WWWW[[#This Row],['# People with access to soap]]&gt;WWWW[[#This Row],['# People with access to Sanity Pads]],WWWW[[#This Row],['# People with access to soap]],WWWW[[#This Row],['# People with access to Sanity Pads]])</f>
        <v>0</v>
      </c>
      <c r="BT312" s="772" t="str">
        <f>IF(OR(WWWW[[#This Row],['#of students in school]]="",WWWW[[#This Row],['#of students in school]]=0),"No","Yes")</f>
        <v>No</v>
      </c>
      <c r="BU312" s="782" t="str">
        <f>VLOOKUP(WWWW[[#This Row],[Village  Name]],SiteDB6[[Site Name]:[Location Type 1]],9,FALSE)</f>
        <v>Village</v>
      </c>
      <c r="BV312" s="782" t="str">
        <f>VLOOKUP(WWWW[[#This Row],[Village  Name]],SiteDB6[[Site Name]:[Type of Accommodation]],10,FALSE)</f>
        <v>Village</v>
      </c>
      <c r="BW312" s="782" t="str">
        <f>VLOOKUP(WWWW[[#This Row],[Village  Name]],SiteDB6[[Site Name]:[Ethnic or GCA/NGCA]],11,FALSE)</f>
        <v>Muslim</v>
      </c>
      <c r="BX312" s="782">
        <f>VLOOKUP(WWWW[[#This Row],[Village  Name]],SiteDB6[[Site Name]:[Lat]],12,FALSE)</f>
        <v>20.19171906</v>
      </c>
      <c r="BY312" s="782">
        <f>VLOOKUP(WWWW[[#This Row],[Village  Name]],SiteDB6[[Site Name]:[Long]],13,FALSE)</f>
        <v>92.808166499999999</v>
      </c>
      <c r="BZ312" s="782">
        <f>VLOOKUP(WWWW[[#This Row],[Village  Name]],SiteDB6[[Site Name]:[Pcode]],3,FALSE)</f>
        <v>196155</v>
      </c>
      <c r="CA312" s="782" t="str">
        <f t="shared" si="19"/>
        <v>Covered</v>
      </c>
      <c r="CB312" s="783"/>
    </row>
    <row r="313" spans="1:80">
      <c r="A313" s="774" t="s">
        <v>3199</v>
      </c>
      <c r="B313" s="727" t="s">
        <v>2282</v>
      </c>
      <c r="C313" s="728" t="s">
        <v>2282</v>
      </c>
      <c r="D313" s="728" t="s">
        <v>39</v>
      </c>
      <c r="E313" s="728" t="s">
        <v>2648</v>
      </c>
      <c r="F313" s="728" t="s">
        <v>295</v>
      </c>
      <c r="G313" s="644" t="str">
        <f>VLOOKUP(WWWW[[#This Row],[Village  Name]],SiteDB6[[Site Name]:[Location Type]],8,FALSE)</f>
        <v>Village</v>
      </c>
      <c r="H313" s="728" t="s">
        <v>416</v>
      </c>
      <c r="I313" s="775">
        <v>72</v>
      </c>
      <c r="J313" s="775">
        <v>442</v>
      </c>
      <c r="K313" s="784">
        <v>43009</v>
      </c>
      <c r="L313" s="785">
        <v>44104</v>
      </c>
      <c r="M313" s="775"/>
      <c r="N313" s="775">
        <v>0</v>
      </c>
      <c r="O313" s="773"/>
      <c r="P313" s="775"/>
      <c r="Q313" s="775"/>
      <c r="R313" s="775"/>
      <c r="S313" s="775"/>
      <c r="T313" s="775"/>
      <c r="U313" s="776"/>
      <c r="V313" s="775"/>
      <c r="W313" s="773" t="s">
        <v>130</v>
      </c>
      <c r="X313" s="775"/>
      <c r="Y313" s="775"/>
      <c r="Z313" s="775"/>
      <c r="AA313" s="775"/>
      <c r="AB313" s="775"/>
      <c r="AC313" s="776"/>
      <c r="AD313" s="775">
        <v>99</v>
      </c>
      <c r="AE313" s="775">
        <v>210</v>
      </c>
      <c r="AF313" s="775"/>
      <c r="AG313" s="775"/>
      <c r="AH313" s="775"/>
      <c r="AI313" s="775"/>
      <c r="AJ313" s="773"/>
      <c r="AK313" s="775"/>
      <c r="AL313" s="773"/>
      <c r="AM313" s="773"/>
      <c r="AN313" s="776"/>
      <c r="AO313" s="769"/>
      <c r="AP313" s="769"/>
      <c r="AQ313" s="773"/>
      <c r="AR313" s="773"/>
      <c r="AS313" s="773"/>
      <c r="AT31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13" s="779">
        <f>WWWW[[#This Row],[%Equitable and continuous access to sufficient quantity of safe drinking water]]*WWWW[[#This Row],[Total PoP ]]</f>
        <v>0</v>
      </c>
      <c r="AV31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13" s="779">
        <f>WWWW[[#This Row],[% Access to unimproved water points]]*WWWW[[#This Row],[Total PoP ]]</f>
        <v>0</v>
      </c>
      <c r="AX31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1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13" s="779">
        <f>WWWW[[#This Row],[HRP1]]/250</f>
        <v>0</v>
      </c>
      <c r="BA313" s="780">
        <f>1-WWWW[[#This Row],[% Equitable and continuous access to sufficient quantity of domestic water]]</f>
        <v>1</v>
      </c>
      <c r="BB313" s="779">
        <f>WWWW[[#This Row],[%equitable and continuous access to sufficient quantity of safe drinking and domestic water''s GAP]]*WWWW[[#This Row],[Total PoP ]]</f>
        <v>442</v>
      </c>
      <c r="BC313" s="781">
        <f>IF(WWWW[[#This Row],[Total required water points]]-WWWW[[#This Row],['#Water points coverage]]&lt;0,0,WWWW[[#This Row],[Total required water points]]-WWWW[[#This Row],['#Water points coverage]])</f>
        <v>2</v>
      </c>
      <c r="BD313" s="781">
        <f>ROUND(IF(WWWW[[#This Row],[Total PoP ]]&lt;250,1,WWWW[[#This Row],[Total PoP ]]/250),0)</f>
        <v>2</v>
      </c>
      <c r="BE31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13" s="779">
        <f>WWWW[[#This Row],[% people access to functioning Latrine]]*WWWW[[#This Row],[Total PoP ]]</f>
        <v>0</v>
      </c>
      <c r="BG313" s="781">
        <f>WWWW[[#This Row],['#_of_Functioning_latrines_in_school]]*50</f>
        <v>0</v>
      </c>
      <c r="BH313" s="781">
        <f>ROUND((WWWW[[#This Row],[Total PoP ]]/6),0)</f>
        <v>74</v>
      </c>
      <c r="BI313" s="781">
        <f>IF(WWWW[[#This Row],[Total required Latrines]]-(WWWW[[#This Row],['#_of_sanitary_fly-proof_HH_latrines]])&lt;0,0,WWWW[[#This Row],[Total required Latrines]]-(WWWW[[#This Row],['#_of_sanitary_fly-proof_HH_latrines]]))</f>
        <v>74</v>
      </c>
      <c r="BJ313" s="778">
        <f>1-WWWW[[#This Row],[% people access to functioning Latrine]]</f>
        <v>1</v>
      </c>
      <c r="BK31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309</v>
      </c>
      <c r="BL313" s="772">
        <f>IF(WWWW[[#This Row],['#_of_functional_handwashing_facilities_at_HH_level]]*6&gt;WWWW[[#This Row],[Total PoP ]],WWWW[[#This Row],[Total PoP ]],WWWW[[#This Row],['#_of_functional_handwashing_facilities_at_HH_level]]*6)</f>
        <v>0</v>
      </c>
      <c r="BM313" s="781">
        <f>IF(WWWW[[#This Row],['# people reached by regular dedicated hygiene promotion]]&gt;WWWW[[#This Row],['# People received regular supply of hygiene items]],WWWW[[#This Row],['# people reached by regular dedicated hygiene promotion]],WWWW[[#This Row],['# People received regular supply of hygiene items]])</f>
        <v>309</v>
      </c>
      <c r="BN313" s="780">
        <f>IF(WWWW[[#This Row],[HRP3]]/WWWW[[#This Row],[Total PoP ]]&gt;100%,100%,WWWW[[#This Row],[HRP3]]/WWWW[[#This Row],[Total PoP ]])</f>
        <v>0.69909502262443435</v>
      </c>
      <c r="BO313" s="778">
        <f>1-WWWW[[#This Row],[Hygiene Coverage%]]</f>
        <v>0.30090497737556565</v>
      </c>
      <c r="BP313" s="777">
        <f>WWWW[[#This Row],['# people reached by regular dedicated hygiene promotion]]/WWWW[[#This Row],[Total PoP ]]</f>
        <v>0.69909502262443435</v>
      </c>
      <c r="BQ31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13" s="770">
        <f>WWWW[[#This Row],['#_of_affected_women_and_girls_receiving_a_sufficient_quantity_of_sanitary_pads]]</f>
        <v>0</v>
      </c>
      <c r="BS313" s="773">
        <f>IF(WWWW[[#This Row],['# People with access to soap]]&gt;WWWW[[#This Row],['# People with access to Sanity Pads]],WWWW[[#This Row],['# People with access to soap]],WWWW[[#This Row],['# People with access to Sanity Pads]])</f>
        <v>0</v>
      </c>
      <c r="BT313" s="772" t="str">
        <f>IF(OR(WWWW[[#This Row],['#of students in school]]="",WWWW[[#This Row],['#of students in school]]=0),"No","Yes")</f>
        <v>No</v>
      </c>
      <c r="BU313" s="782" t="str">
        <f>VLOOKUP(WWWW[[#This Row],[Village  Name]],SiteDB6[[Site Name]:[Location Type 1]],9,FALSE)</f>
        <v>Village</v>
      </c>
      <c r="BV313" s="782" t="str">
        <f>VLOOKUP(WWWW[[#This Row],[Village  Name]],SiteDB6[[Site Name]:[Type of Accommodation]],10,FALSE)</f>
        <v>Relocated</v>
      </c>
      <c r="BW313" s="782" t="str">
        <f>VLOOKUP(WWWW[[#This Row],[Village  Name]],SiteDB6[[Site Name]:[Ethnic or GCA/NGCA]],11,FALSE)</f>
        <v>Maramargyi</v>
      </c>
      <c r="BX313" s="782">
        <f>VLOOKUP(WWWW[[#This Row],[Village  Name]],SiteDB6[[Site Name]:[Lat]],12,FALSE)</f>
        <v>20.148584</v>
      </c>
      <c r="BY313" s="782">
        <f>VLOOKUP(WWWW[[#This Row],[Village  Name]],SiteDB6[[Site Name]:[Long]],13,FALSE)</f>
        <v>92.880319999999998</v>
      </c>
      <c r="BZ313" s="782" t="str">
        <f>VLOOKUP(WWWW[[#This Row],[Village  Name]],SiteDB6[[Site Name]:[Pcode]],3,FALSE)</f>
        <v>MMR012CMP056</v>
      </c>
      <c r="CA313" s="782" t="str">
        <f t="shared" si="19"/>
        <v>Covered</v>
      </c>
      <c r="CB313" s="783"/>
    </row>
    <row r="314" spans="1:80">
      <c r="A314" s="774" t="s">
        <v>3199</v>
      </c>
      <c r="B314" s="727" t="s">
        <v>2282</v>
      </c>
      <c r="C314" s="728" t="s">
        <v>2282</v>
      </c>
      <c r="D314" s="728" t="s">
        <v>39</v>
      </c>
      <c r="E314" s="728" t="s">
        <v>2648</v>
      </c>
      <c r="F314" s="728" t="s">
        <v>295</v>
      </c>
      <c r="G314" s="644" t="str">
        <f>VLOOKUP(WWWW[[#This Row],[Village  Name]],SiteDB6[[Site Name]:[Location Type]],8,FALSE)</f>
        <v>Village</v>
      </c>
      <c r="H314" s="728" t="s">
        <v>1898</v>
      </c>
      <c r="I314" s="775">
        <v>151</v>
      </c>
      <c r="J314" s="775">
        <v>625</v>
      </c>
      <c r="K314" s="784">
        <v>43009</v>
      </c>
      <c r="L314" s="785">
        <v>44104</v>
      </c>
      <c r="M314" s="775"/>
      <c r="N314" s="775">
        <v>0</v>
      </c>
      <c r="O314" s="773"/>
      <c r="P314" s="775"/>
      <c r="Q314" s="775"/>
      <c r="R314" s="775"/>
      <c r="S314" s="775"/>
      <c r="T314" s="775"/>
      <c r="U314" s="776"/>
      <c r="V314" s="775"/>
      <c r="W314" s="773" t="s">
        <v>130</v>
      </c>
      <c r="X314" s="775"/>
      <c r="Y314" s="775"/>
      <c r="Z314" s="775"/>
      <c r="AA314" s="775"/>
      <c r="AB314" s="775"/>
      <c r="AC314" s="776"/>
      <c r="AD314" s="775">
        <v>155</v>
      </c>
      <c r="AE314" s="775">
        <v>277</v>
      </c>
      <c r="AF314" s="775">
        <v>15</v>
      </c>
      <c r="AG314" s="775">
        <v>57</v>
      </c>
      <c r="AH314" s="775"/>
      <c r="AI314" s="775"/>
      <c r="AJ314" s="773"/>
      <c r="AK314" s="775"/>
      <c r="AL314" s="773"/>
      <c r="AM314" s="773"/>
      <c r="AN314" s="776"/>
      <c r="AO314" s="769"/>
      <c r="AP314" s="769"/>
      <c r="AQ314" s="773"/>
      <c r="AR314" s="773"/>
      <c r="AS314" s="773"/>
      <c r="AT31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14" s="779">
        <f>WWWW[[#This Row],[%Equitable and continuous access to sufficient quantity of safe drinking water]]*WWWW[[#This Row],[Total PoP ]]</f>
        <v>0</v>
      </c>
      <c r="AV31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14" s="779">
        <f>WWWW[[#This Row],[% Access to unimproved water points]]*WWWW[[#This Row],[Total PoP ]]</f>
        <v>0</v>
      </c>
      <c r="AX31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1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14" s="779">
        <f>WWWW[[#This Row],[HRP1]]/250</f>
        <v>0</v>
      </c>
      <c r="BA314" s="780">
        <f>1-WWWW[[#This Row],[% Equitable and continuous access to sufficient quantity of domestic water]]</f>
        <v>1</v>
      </c>
      <c r="BB314" s="779">
        <f>WWWW[[#This Row],[%equitable and continuous access to sufficient quantity of safe drinking and domestic water''s GAP]]*WWWW[[#This Row],[Total PoP ]]</f>
        <v>625</v>
      </c>
      <c r="BC314" s="781">
        <f>IF(WWWW[[#This Row],[Total required water points]]-WWWW[[#This Row],['#Water points coverage]]&lt;0,0,WWWW[[#This Row],[Total required water points]]-WWWW[[#This Row],['#Water points coverage]])</f>
        <v>3</v>
      </c>
      <c r="BD314" s="781">
        <f>ROUND(IF(WWWW[[#This Row],[Total PoP ]]&lt;250,1,WWWW[[#This Row],[Total PoP ]]/250),0)</f>
        <v>3</v>
      </c>
      <c r="BE31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14" s="779">
        <f>WWWW[[#This Row],[% people access to functioning Latrine]]*WWWW[[#This Row],[Total PoP ]]</f>
        <v>0</v>
      </c>
      <c r="BG314" s="781">
        <f>WWWW[[#This Row],['#_of_Functioning_latrines_in_school]]*50</f>
        <v>0</v>
      </c>
      <c r="BH314" s="781">
        <f>ROUND((WWWW[[#This Row],[Total PoP ]]/6),0)</f>
        <v>104</v>
      </c>
      <c r="BI314" s="781">
        <f>IF(WWWW[[#This Row],[Total required Latrines]]-(WWWW[[#This Row],['#_of_sanitary_fly-proof_HH_latrines]])&lt;0,0,WWWW[[#This Row],[Total required Latrines]]-(WWWW[[#This Row],['#_of_sanitary_fly-proof_HH_latrines]]))</f>
        <v>104</v>
      </c>
      <c r="BJ314" s="778">
        <f>1-WWWW[[#This Row],[% people access to functioning Latrine]]</f>
        <v>1</v>
      </c>
      <c r="BK31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504</v>
      </c>
      <c r="BL314" s="772">
        <f>IF(WWWW[[#This Row],['#_of_functional_handwashing_facilities_at_HH_level]]*6&gt;WWWW[[#This Row],[Total PoP ]],WWWW[[#This Row],[Total PoP ]],WWWW[[#This Row],['#_of_functional_handwashing_facilities_at_HH_level]]*6)</f>
        <v>0</v>
      </c>
      <c r="BM314" s="781">
        <f>IF(WWWW[[#This Row],['# people reached by regular dedicated hygiene promotion]]&gt;WWWW[[#This Row],['# People received regular supply of hygiene items]],WWWW[[#This Row],['# people reached by regular dedicated hygiene promotion]],WWWW[[#This Row],['# People received regular supply of hygiene items]])</f>
        <v>504</v>
      </c>
      <c r="BN314" s="780">
        <f>IF(WWWW[[#This Row],[HRP3]]/WWWW[[#This Row],[Total PoP ]]&gt;100%,100%,WWWW[[#This Row],[HRP3]]/WWWW[[#This Row],[Total PoP ]])</f>
        <v>0.80640000000000001</v>
      </c>
      <c r="BO314" s="778">
        <f>1-WWWW[[#This Row],[Hygiene Coverage%]]</f>
        <v>0.19359999999999999</v>
      </c>
      <c r="BP314" s="777">
        <f>WWWW[[#This Row],['# people reached by regular dedicated hygiene promotion]]/WWWW[[#This Row],[Total PoP ]]</f>
        <v>0.80640000000000001</v>
      </c>
      <c r="BQ31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14" s="770">
        <f>WWWW[[#This Row],['#_of_affected_women_and_girls_receiving_a_sufficient_quantity_of_sanitary_pads]]</f>
        <v>0</v>
      </c>
      <c r="BS314" s="773">
        <f>IF(WWWW[[#This Row],['# People with access to soap]]&gt;WWWW[[#This Row],['# People with access to Sanity Pads]],WWWW[[#This Row],['# People with access to soap]],WWWW[[#This Row],['# People with access to Sanity Pads]])</f>
        <v>0</v>
      </c>
      <c r="BT314" s="772" t="str">
        <f>IF(OR(WWWW[[#This Row],['#of students in school]]="",WWWW[[#This Row],['#of students in school]]=0),"No","Yes")</f>
        <v>No</v>
      </c>
      <c r="BU314" s="782" t="str">
        <f>VLOOKUP(WWWW[[#This Row],[Village  Name]],SiteDB6[[Site Name]:[Location Type 1]],9,FALSE)</f>
        <v>Village</v>
      </c>
      <c r="BV314" s="782" t="str">
        <f>VLOOKUP(WWWW[[#This Row],[Village  Name]],SiteDB6[[Site Name]:[Type of Accommodation]],10,FALSE)</f>
        <v>Relocated</v>
      </c>
      <c r="BW314" s="782" t="str">
        <f>VLOOKUP(WWWW[[#This Row],[Village  Name]],SiteDB6[[Site Name]:[Ethnic or GCA/NGCA]],11,FALSE)</f>
        <v>Rakhine</v>
      </c>
      <c r="BX314" s="782">
        <f>VLOOKUP(WWWW[[#This Row],[Village  Name]],SiteDB6[[Site Name]:[Lat]],12,FALSE)</f>
        <v>20.155805999999998</v>
      </c>
      <c r="BY314" s="782">
        <f>VLOOKUP(WWWW[[#This Row],[Village  Name]],SiteDB6[[Site Name]:[Long]],13,FALSE)</f>
        <v>92.879138999999995</v>
      </c>
      <c r="BZ314" s="782" t="str">
        <f>VLOOKUP(WWWW[[#This Row],[Village  Name]],SiteDB6[[Site Name]:[Pcode]],3,FALSE)</f>
        <v>MMR012CMP093</v>
      </c>
      <c r="CA314" s="782" t="str">
        <f t="shared" si="19"/>
        <v>Covered</v>
      </c>
      <c r="CB314" s="783"/>
    </row>
    <row r="315" spans="1:80">
      <c r="A315" s="774" t="s">
        <v>3199</v>
      </c>
      <c r="B315" s="727" t="s">
        <v>2283</v>
      </c>
      <c r="C315" s="728" t="s">
        <v>2283</v>
      </c>
      <c r="D315" s="728" t="s">
        <v>39</v>
      </c>
      <c r="E315" s="728" t="s">
        <v>2648</v>
      </c>
      <c r="F315" s="728" t="s">
        <v>295</v>
      </c>
      <c r="G315" s="644" t="str">
        <f>VLOOKUP(WWWW[[#This Row],[Village  Name]],SiteDB6[[Site Name]:[Location Type]],8,FALSE)</f>
        <v>Village</v>
      </c>
      <c r="H315" s="728" t="s">
        <v>689</v>
      </c>
      <c r="I315" s="775">
        <v>173</v>
      </c>
      <c r="J315" s="775">
        <v>749</v>
      </c>
      <c r="K315" s="784">
        <v>43009</v>
      </c>
      <c r="L315" s="785">
        <v>44104</v>
      </c>
      <c r="M315" s="775"/>
      <c r="N315" s="775">
        <v>0</v>
      </c>
      <c r="O315" s="773"/>
      <c r="P315" s="775">
        <v>9</v>
      </c>
      <c r="Q315" s="775"/>
      <c r="R315" s="775"/>
      <c r="S315" s="775"/>
      <c r="T315" s="775"/>
      <c r="U315" s="776"/>
      <c r="V315" s="775">
        <v>28</v>
      </c>
      <c r="W315" s="773" t="s">
        <v>130</v>
      </c>
      <c r="X315" s="775"/>
      <c r="Y315" s="775"/>
      <c r="Z315" s="775"/>
      <c r="AA315" s="775"/>
      <c r="AB315" s="775"/>
      <c r="AC315" s="776"/>
      <c r="AD315" s="775">
        <v>0</v>
      </c>
      <c r="AE315" s="775">
        <v>10</v>
      </c>
      <c r="AF315" s="775"/>
      <c r="AG315" s="775"/>
      <c r="AH315" s="775"/>
      <c r="AI315" s="775"/>
      <c r="AJ315" s="773"/>
      <c r="AK315" s="775"/>
      <c r="AL315" s="773"/>
      <c r="AM315" s="773"/>
      <c r="AN315" s="776"/>
      <c r="AO315" s="769"/>
      <c r="AP315" s="769"/>
      <c r="AQ315" s="773"/>
      <c r="AR315" s="773"/>
      <c r="AS315" s="773"/>
      <c r="AT31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15" s="779">
        <f>WWWW[[#This Row],[%Equitable and continuous access to sufficient quantity of safe drinking water]]*WWWW[[#This Row],[Total PoP ]]</f>
        <v>749</v>
      </c>
      <c r="AV31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15" s="779">
        <f>WWWW[[#This Row],[% Access to unimproved water points]]*WWWW[[#This Row],[Total PoP ]]</f>
        <v>0</v>
      </c>
      <c r="AX31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1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749</v>
      </c>
      <c r="AZ315" s="779">
        <f>WWWW[[#This Row],[HRP1]]/250</f>
        <v>2.996</v>
      </c>
      <c r="BA315" s="780">
        <f>1-WWWW[[#This Row],[% Equitable and continuous access to sufficient quantity of domestic water]]</f>
        <v>0</v>
      </c>
      <c r="BB315" s="779">
        <f>WWWW[[#This Row],[%equitable and continuous access to sufficient quantity of safe drinking and domestic water''s GAP]]*WWWW[[#This Row],[Total PoP ]]</f>
        <v>0</v>
      </c>
      <c r="BC315" s="781">
        <f>IF(WWWW[[#This Row],[Total required water points]]-WWWW[[#This Row],['#Water points coverage]]&lt;0,0,WWWW[[#This Row],[Total required water points]]-WWWW[[#This Row],['#Water points coverage]])</f>
        <v>4.0000000000000036E-3</v>
      </c>
      <c r="BD315" s="781">
        <f>ROUND(IF(WWWW[[#This Row],[Total PoP ]]&lt;250,1,WWWW[[#This Row],[Total PoP ]]/250),0)</f>
        <v>3</v>
      </c>
      <c r="BE31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0.22429906542056074</v>
      </c>
      <c r="BF315" s="779">
        <f>WWWW[[#This Row],[% people access to functioning Latrine]]*WWWW[[#This Row],[Total PoP ]]</f>
        <v>168</v>
      </c>
      <c r="BG315" s="781">
        <f>WWWW[[#This Row],['#_of_Functioning_latrines_in_school]]*50</f>
        <v>0</v>
      </c>
      <c r="BH315" s="781">
        <f>ROUND((WWWW[[#This Row],[Total PoP ]]/6),0)</f>
        <v>125</v>
      </c>
      <c r="BI315" s="781">
        <f>IF(WWWW[[#This Row],[Total required Latrines]]-(WWWW[[#This Row],['#_of_sanitary_fly-proof_HH_latrines]])&lt;0,0,WWWW[[#This Row],[Total required Latrines]]-(WWWW[[#This Row],['#_of_sanitary_fly-proof_HH_latrines]]))</f>
        <v>97</v>
      </c>
      <c r="BJ315" s="778">
        <f>1-WWWW[[#This Row],[% people access to functioning Latrine]]</f>
        <v>0.77570093457943923</v>
      </c>
      <c r="BK31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10</v>
      </c>
      <c r="BL315" s="772">
        <f>IF(WWWW[[#This Row],['#_of_functional_handwashing_facilities_at_HH_level]]*6&gt;WWWW[[#This Row],[Total PoP ]],WWWW[[#This Row],[Total PoP ]],WWWW[[#This Row],['#_of_functional_handwashing_facilities_at_HH_level]]*6)</f>
        <v>0</v>
      </c>
      <c r="BM315" s="781">
        <f>IF(WWWW[[#This Row],['# people reached by regular dedicated hygiene promotion]]&gt;WWWW[[#This Row],['# People received regular supply of hygiene items]],WWWW[[#This Row],['# people reached by regular dedicated hygiene promotion]],WWWW[[#This Row],['# People received regular supply of hygiene items]])</f>
        <v>10</v>
      </c>
      <c r="BN315" s="780">
        <f>IF(WWWW[[#This Row],[HRP3]]/WWWW[[#This Row],[Total PoP ]]&gt;100%,100%,WWWW[[#This Row],[HRP3]]/WWWW[[#This Row],[Total PoP ]])</f>
        <v>1.335113484646195E-2</v>
      </c>
      <c r="BO315" s="778">
        <f>1-WWWW[[#This Row],[Hygiene Coverage%]]</f>
        <v>0.986648865153538</v>
      </c>
      <c r="BP315" s="777">
        <f>WWWW[[#This Row],['# people reached by regular dedicated hygiene promotion]]/WWWW[[#This Row],[Total PoP ]]</f>
        <v>1.335113484646195E-2</v>
      </c>
      <c r="BQ31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15" s="770">
        <f>WWWW[[#This Row],['#_of_affected_women_and_girls_receiving_a_sufficient_quantity_of_sanitary_pads]]</f>
        <v>0</v>
      </c>
      <c r="BS315" s="773">
        <f>IF(WWWW[[#This Row],['# People with access to soap]]&gt;WWWW[[#This Row],['# People with access to Sanity Pads]],WWWW[[#This Row],['# People with access to soap]],WWWW[[#This Row],['# People with access to Sanity Pads]])</f>
        <v>0</v>
      </c>
      <c r="BT315" s="772" t="str">
        <f>IF(OR(WWWW[[#This Row],['#of students in school]]="",WWWW[[#This Row],['#of students in school]]=0),"No","Yes")</f>
        <v>No</v>
      </c>
      <c r="BU315" s="782" t="str">
        <f>VLOOKUP(WWWW[[#This Row],[Village  Name]],SiteDB6[[Site Name]:[Location Type 1]],9,FALSE)</f>
        <v>Village</v>
      </c>
      <c r="BV315" s="782" t="str">
        <f>VLOOKUP(WWWW[[#This Row],[Village  Name]],SiteDB6[[Site Name]:[Type of Accommodation]],10,FALSE)</f>
        <v>Village</v>
      </c>
      <c r="BW315" s="782" t="str">
        <f>VLOOKUP(WWWW[[#This Row],[Village  Name]],SiteDB6[[Site Name]:[Ethnic or GCA/NGCA]],11,FALSE)</f>
        <v>Rakhine</v>
      </c>
      <c r="BX315" s="782">
        <f>VLOOKUP(WWWW[[#This Row],[Village  Name]],SiteDB6[[Site Name]:[Lat]],12,FALSE)</f>
        <v>20.16259956</v>
      </c>
      <c r="BY315" s="782">
        <f>VLOOKUP(WWWW[[#This Row],[Village  Name]],SiteDB6[[Site Name]:[Long]],13,FALSE)</f>
        <v>92.834457400000005</v>
      </c>
      <c r="BZ315" s="782">
        <f>VLOOKUP(WWWW[[#This Row],[Village  Name]],SiteDB6[[Site Name]:[Pcode]],3,FALSE)</f>
        <v>196210</v>
      </c>
      <c r="CA315" s="782" t="str">
        <f t="shared" si="19"/>
        <v>Covered</v>
      </c>
      <c r="CB315" s="783"/>
    </row>
    <row r="316" spans="1:80">
      <c r="A316" s="774" t="s">
        <v>3199</v>
      </c>
      <c r="B316" s="727" t="s">
        <v>2283</v>
      </c>
      <c r="C316" s="728" t="s">
        <v>2283</v>
      </c>
      <c r="D316" s="728" t="s">
        <v>39</v>
      </c>
      <c r="E316" s="728" t="s">
        <v>2648</v>
      </c>
      <c r="F316" s="728" t="s">
        <v>295</v>
      </c>
      <c r="G316" s="644" t="str">
        <f>VLOOKUP(WWWW[[#This Row],[Village  Name]],SiteDB6[[Site Name]:[Location Type]],8,FALSE)</f>
        <v>Village</v>
      </c>
      <c r="H316" s="728" t="s">
        <v>421</v>
      </c>
      <c r="I316" s="775">
        <v>763</v>
      </c>
      <c r="J316" s="775">
        <v>3797</v>
      </c>
      <c r="K316" s="784">
        <v>43009</v>
      </c>
      <c r="L316" s="785">
        <v>44104</v>
      </c>
      <c r="M316" s="775"/>
      <c r="N316" s="775">
        <v>0</v>
      </c>
      <c r="O316" s="773"/>
      <c r="P316" s="775">
        <v>15</v>
      </c>
      <c r="Q316" s="775"/>
      <c r="R316" s="775"/>
      <c r="S316" s="775"/>
      <c r="T316" s="775"/>
      <c r="U316" s="776"/>
      <c r="V316" s="775">
        <v>158</v>
      </c>
      <c r="W316" s="773" t="s">
        <v>130</v>
      </c>
      <c r="X316" s="775"/>
      <c r="Y316" s="775"/>
      <c r="Z316" s="775"/>
      <c r="AA316" s="775"/>
      <c r="AB316" s="775"/>
      <c r="AC316" s="776"/>
      <c r="AD316" s="775">
        <v>28</v>
      </c>
      <c r="AE316" s="775">
        <v>158</v>
      </c>
      <c r="AF316" s="775"/>
      <c r="AG316" s="775"/>
      <c r="AH316" s="775"/>
      <c r="AI316" s="775"/>
      <c r="AJ316" s="773"/>
      <c r="AK316" s="775"/>
      <c r="AL316" s="773">
        <v>758</v>
      </c>
      <c r="AM316" s="773"/>
      <c r="AN316" s="776"/>
      <c r="AO316" s="769">
        <v>1</v>
      </c>
      <c r="AP316" s="769"/>
      <c r="AQ316" s="773"/>
      <c r="AR316" s="773"/>
      <c r="AS316" s="773"/>
      <c r="AT31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16" s="779">
        <f>WWWW[[#This Row],[%Equitable and continuous access to sufficient quantity of safe drinking water]]*WWWW[[#This Row],[Total PoP ]]</f>
        <v>3797</v>
      </c>
      <c r="AV31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16" s="779">
        <f>WWWW[[#This Row],[% Access to unimproved water points]]*WWWW[[#This Row],[Total PoP ]]</f>
        <v>0</v>
      </c>
      <c r="AX31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1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3797</v>
      </c>
      <c r="AZ316" s="779">
        <f>WWWW[[#This Row],[HRP1]]/250</f>
        <v>15.188000000000001</v>
      </c>
      <c r="BA316" s="780">
        <f>1-WWWW[[#This Row],[% Equitable and continuous access to sufficient quantity of domestic water]]</f>
        <v>0</v>
      </c>
      <c r="BB316" s="779">
        <f>WWWW[[#This Row],[%equitable and continuous access to sufficient quantity of safe drinking and domestic water''s GAP]]*WWWW[[#This Row],[Total PoP ]]</f>
        <v>0</v>
      </c>
      <c r="BC316" s="781">
        <f>IF(WWWW[[#This Row],[Total required water points]]-WWWW[[#This Row],['#Water points coverage]]&lt;0,0,WWWW[[#This Row],[Total required water points]]-WWWW[[#This Row],['#Water points coverage]])</f>
        <v>0</v>
      </c>
      <c r="BD316" s="781">
        <f>ROUND(IF(WWWW[[#This Row],[Total PoP ]]&lt;250,1,WWWW[[#This Row],[Total PoP ]]/250),0)</f>
        <v>15</v>
      </c>
      <c r="BE31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0.24967079273110351</v>
      </c>
      <c r="BF316" s="779">
        <f>WWWW[[#This Row],[% people access to functioning Latrine]]*WWWW[[#This Row],[Total PoP ]]</f>
        <v>948</v>
      </c>
      <c r="BG316" s="781">
        <f>WWWW[[#This Row],['#_of_Functioning_latrines_in_school]]*50</f>
        <v>0</v>
      </c>
      <c r="BH316" s="781">
        <f>ROUND((WWWW[[#This Row],[Total PoP ]]/6),0)</f>
        <v>633</v>
      </c>
      <c r="BI316" s="781">
        <f>IF(WWWW[[#This Row],[Total required Latrines]]-(WWWW[[#This Row],['#_of_sanitary_fly-proof_HH_latrines]])&lt;0,0,WWWW[[#This Row],[Total required Latrines]]-(WWWW[[#This Row],['#_of_sanitary_fly-proof_HH_latrines]]))</f>
        <v>475</v>
      </c>
      <c r="BJ316" s="778">
        <f>1-WWWW[[#This Row],[% people access to functioning Latrine]]</f>
        <v>0.75032920726889651</v>
      </c>
      <c r="BK31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186</v>
      </c>
      <c r="BL316" s="772">
        <f>IF(WWWW[[#This Row],['#_of_functional_handwashing_facilities_at_HH_level]]*6&gt;WWWW[[#This Row],[Total PoP ]],WWWW[[#This Row],[Total PoP ]],WWWW[[#This Row],['#_of_functional_handwashing_facilities_at_HH_level]]*6)</f>
        <v>0</v>
      </c>
      <c r="BM316" s="781">
        <f>IF(WWWW[[#This Row],['# people reached by regular dedicated hygiene promotion]]&gt;WWWW[[#This Row],['# People received regular supply of hygiene items]],WWWW[[#This Row],['# people reached by regular dedicated hygiene promotion]],WWWW[[#This Row],['# People received regular supply of hygiene items]])</f>
        <v>3797</v>
      </c>
      <c r="BN316" s="780">
        <f>IF(WWWW[[#This Row],[HRP3]]/WWWW[[#This Row],[Total PoP ]]&gt;100%,100%,WWWW[[#This Row],[HRP3]]/WWWW[[#This Row],[Total PoP ]])</f>
        <v>1</v>
      </c>
      <c r="BO316" s="778">
        <f>1-WWWW[[#This Row],[Hygiene Coverage%]]</f>
        <v>0</v>
      </c>
      <c r="BP316" s="777">
        <f>WWWW[[#This Row],['# people reached by regular dedicated hygiene promotion]]/WWWW[[#This Row],[Total PoP ]]</f>
        <v>4.8986041611798786E-2</v>
      </c>
      <c r="BQ31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3797</v>
      </c>
      <c r="BR316" s="770">
        <f>WWWW[[#This Row],['#_of_affected_women_and_girls_receiving_a_sufficient_quantity_of_sanitary_pads]]</f>
        <v>0</v>
      </c>
      <c r="BS316" s="773">
        <f>IF(WWWW[[#This Row],['# People with access to soap]]&gt;WWWW[[#This Row],['# People with access to Sanity Pads]],WWWW[[#This Row],['# People with access to soap]],WWWW[[#This Row],['# People with access to Sanity Pads]])</f>
        <v>3797</v>
      </c>
      <c r="BT316" s="772" t="str">
        <f>IF(OR(WWWW[[#This Row],['#of students in school]]="",WWWW[[#This Row],['#of students in school]]=0),"No","Yes")</f>
        <v>No</v>
      </c>
      <c r="BU316" s="782" t="str">
        <f>VLOOKUP(WWWW[[#This Row],[Village  Name]],SiteDB6[[Site Name]:[Location Type 1]],9,FALSE)</f>
        <v>Village</v>
      </c>
      <c r="BV316" s="782" t="str">
        <f>VLOOKUP(WWWW[[#This Row],[Village  Name]],SiteDB6[[Site Name]:[Type of Accommodation]],10,FALSE)</f>
        <v>Village</v>
      </c>
      <c r="BW316" s="782" t="str">
        <f>VLOOKUP(WWWW[[#This Row],[Village  Name]],SiteDB6[[Site Name]:[Ethnic or GCA/NGCA]],11,FALSE)</f>
        <v>Muslim</v>
      </c>
      <c r="BX316" s="782">
        <f>VLOOKUP(WWWW[[#This Row],[Village  Name]],SiteDB6[[Site Name]:[Lat]],12,FALSE)</f>
        <v>20.15736008</v>
      </c>
      <c r="BY316" s="782">
        <f>VLOOKUP(WWWW[[#This Row],[Village  Name]],SiteDB6[[Site Name]:[Long]],13,FALSE)</f>
        <v>92.838653559999997</v>
      </c>
      <c r="BZ316" s="782">
        <f>VLOOKUP(WWWW[[#This Row],[Village  Name]],SiteDB6[[Site Name]:[Pcode]],3,FALSE)</f>
        <v>196211</v>
      </c>
      <c r="CA316" s="782" t="str">
        <f t="shared" si="19"/>
        <v>Covered</v>
      </c>
      <c r="CB316" s="783"/>
    </row>
    <row r="317" spans="1:80">
      <c r="A317" s="774" t="s">
        <v>3199</v>
      </c>
      <c r="B317" s="727" t="s">
        <v>2283</v>
      </c>
      <c r="C317" s="728" t="s">
        <v>2283</v>
      </c>
      <c r="D317" s="728" t="s">
        <v>39</v>
      </c>
      <c r="E317" s="728" t="s">
        <v>2648</v>
      </c>
      <c r="F317" s="728" t="s">
        <v>295</v>
      </c>
      <c r="G317" s="644" t="str">
        <f>VLOOKUP(WWWW[[#This Row],[Village  Name]],SiteDB6[[Site Name]:[Location Type]],8,FALSE)</f>
        <v>Village</v>
      </c>
      <c r="H317" s="728" t="s">
        <v>417</v>
      </c>
      <c r="I317" s="775">
        <v>427</v>
      </c>
      <c r="J317" s="775">
        <v>2455</v>
      </c>
      <c r="K317" s="784">
        <v>43009</v>
      </c>
      <c r="L317" s="785">
        <v>44104</v>
      </c>
      <c r="M317" s="775"/>
      <c r="N317" s="775">
        <v>0</v>
      </c>
      <c r="O317" s="773"/>
      <c r="P317" s="775">
        <v>18</v>
      </c>
      <c r="Q317" s="775"/>
      <c r="R317" s="775"/>
      <c r="S317" s="775"/>
      <c r="T317" s="775"/>
      <c r="U317" s="776"/>
      <c r="V317" s="775">
        <v>35</v>
      </c>
      <c r="W317" s="773" t="s">
        <v>130</v>
      </c>
      <c r="X317" s="775"/>
      <c r="Y317" s="775"/>
      <c r="Z317" s="775"/>
      <c r="AA317" s="775"/>
      <c r="AB317" s="775"/>
      <c r="AC317" s="776"/>
      <c r="AD317" s="775">
        <v>18</v>
      </c>
      <c r="AE317" s="775">
        <v>102</v>
      </c>
      <c r="AF317" s="775"/>
      <c r="AG317" s="775"/>
      <c r="AH317" s="775"/>
      <c r="AI317" s="775"/>
      <c r="AJ317" s="773"/>
      <c r="AK317" s="775"/>
      <c r="AL317" s="773">
        <v>426</v>
      </c>
      <c r="AM317" s="773"/>
      <c r="AN317" s="776"/>
      <c r="AO317" s="769">
        <v>0.96</v>
      </c>
      <c r="AP317" s="769"/>
      <c r="AQ317" s="773"/>
      <c r="AR317" s="773"/>
      <c r="AS317" s="773"/>
      <c r="AT31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17" s="779">
        <f>WWWW[[#This Row],[%Equitable and continuous access to sufficient quantity of safe drinking water]]*WWWW[[#This Row],[Total PoP ]]</f>
        <v>2455</v>
      </c>
      <c r="AV31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17" s="779">
        <f>WWWW[[#This Row],[% Access to unimproved water points]]*WWWW[[#This Row],[Total PoP ]]</f>
        <v>0</v>
      </c>
      <c r="AX31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1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2455</v>
      </c>
      <c r="AZ317" s="779">
        <f>WWWW[[#This Row],[HRP1]]/250</f>
        <v>9.82</v>
      </c>
      <c r="BA317" s="780">
        <f>1-WWWW[[#This Row],[% Equitable and continuous access to sufficient quantity of domestic water]]</f>
        <v>0</v>
      </c>
      <c r="BB317" s="779">
        <f>WWWW[[#This Row],[%equitable and continuous access to sufficient quantity of safe drinking and domestic water''s GAP]]*WWWW[[#This Row],[Total PoP ]]</f>
        <v>0</v>
      </c>
      <c r="BC317" s="781">
        <f>IF(WWWW[[#This Row],[Total required water points]]-WWWW[[#This Row],['#Water points coverage]]&lt;0,0,WWWW[[#This Row],[Total required water points]]-WWWW[[#This Row],['#Water points coverage]])</f>
        <v>0.17999999999999972</v>
      </c>
      <c r="BD317" s="781">
        <f>ROUND(IF(WWWW[[#This Row],[Total PoP ]]&lt;250,1,WWWW[[#This Row],[Total PoP ]]/250),0)</f>
        <v>10</v>
      </c>
      <c r="BE31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8.5539714867617106E-2</v>
      </c>
      <c r="BF317" s="779">
        <f>WWWW[[#This Row],[% people access to functioning Latrine]]*WWWW[[#This Row],[Total PoP ]]</f>
        <v>210</v>
      </c>
      <c r="BG317" s="781">
        <f>WWWW[[#This Row],['#_of_Functioning_latrines_in_school]]*50</f>
        <v>0</v>
      </c>
      <c r="BH317" s="781">
        <f>ROUND((WWWW[[#This Row],[Total PoP ]]/6),0)</f>
        <v>409</v>
      </c>
      <c r="BI317" s="781">
        <f>IF(WWWW[[#This Row],[Total required Latrines]]-(WWWW[[#This Row],['#_of_sanitary_fly-proof_HH_latrines]])&lt;0,0,WWWW[[#This Row],[Total required Latrines]]-(WWWW[[#This Row],['#_of_sanitary_fly-proof_HH_latrines]]))</f>
        <v>374</v>
      </c>
      <c r="BJ317" s="778">
        <f>1-WWWW[[#This Row],[% people access to functioning Latrine]]</f>
        <v>0.91446028513238287</v>
      </c>
      <c r="BK31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120</v>
      </c>
      <c r="BL317" s="772">
        <f>IF(WWWW[[#This Row],['#_of_functional_handwashing_facilities_at_HH_level]]*6&gt;WWWW[[#This Row],[Total PoP ]],WWWW[[#This Row],[Total PoP ]],WWWW[[#This Row],['#_of_functional_handwashing_facilities_at_HH_level]]*6)</f>
        <v>0</v>
      </c>
      <c r="BM317" s="781">
        <f>IF(WWWW[[#This Row],['# people reached by regular dedicated hygiene promotion]]&gt;WWWW[[#This Row],['# People received regular supply of hygiene items]],WWWW[[#This Row],['# people reached by regular dedicated hygiene promotion]],WWWW[[#This Row],['# People received regular supply of hygiene items]])</f>
        <v>2455</v>
      </c>
      <c r="BN317" s="780">
        <f>IF(WWWW[[#This Row],[HRP3]]/WWWW[[#This Row],[Total PoP ]]&gt;100%,100%,WWWW[[#This Row],[HRP3]]/WWWW[[#This Row],[Total PoP ]])</f>
        <v>1</v>
      </c>
      <c r="BO317" s="778">
        <f>1-WWWW[[#This Row],[Hygiene Coverage%]]</f>
        <v>0</v>
      </c>
      <c r="BP317" s="777">
        <f>WWWW[[#This Row],['# people reached by regular dedicated hygiene promotion]]/WWWW[[#This Row],[Total PoP ]]</f>
        <v>4.8879837067209775E-2</v>
      </c>
      <c r="BQ31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2455</v>
      </c>
      <c r="BR317" s="770">
        <f>WWWW[[#This Row],['#_of_affected_women_and_girls_receiving_a_sufficient_quantity_of_sanitary_pads]]</f>
        <v>0</v>
      </c>
      <c r="BS317" s="773">
        <f>IF(WWWW[[#This Row],['# People with access to soap]]&gt;WWWW[[#This Row],['# People with access to Sanity Pads]],WWWW[[#This Row],['# People with access to soap]],WWWW[[#This Row],['# People with access to Sanity Pads]])</f>
        <v>2455</v>
      </c>
      <c r="BT317" s="772" t="str">
        <f>IF(OR(WWWW[[#This Row],['#of students in school]]="",WWWW[[#This Row],['#of students in school]]=0),"No","Yes")</f>
        <v>No</v>
      </c>
      <c r="BU317" s="782" t="str">
        <f>VLOOKUP(WWWW[[#This Row],[Village  Name]],SiteDB6[[Site Name]:[Location Type 1]],9,FALSE)</f>
        <v>Village</v>
      </c>
      <c r="BV317" s="782" t="str">
        <f>VLOOKUP(WWWW[[#This Row],[Village  Name]],SiteDB6[[Site Name]:[Type of Accommodation]],10,FALSE)</f>
        <v>Village</v>
      </c>
      <c r="BW317" s="782" t="str">
        <f>VLOOKUP(WWWW[[#This Row],[Village  Name]],SiteDB6[[Site Name]:[Ethnic or GCA/NGCA]],11,FALSE)</f>
        <v>Muslim</v>
      </c>
      <c r="BX317" s="782">
        <f>VLOOKUP(WWWW[[#This Row],[Village  Name]],SiteDB6[[Site Name]:[Lat]],12,FALSE)</f>
        <v>20.147863431600001</v>
      </c>
      <c r="BY317" s="782">
        <f>VLOOKUP(WWWW[[#This Row],[Village  Name]],SiteDB6[[Site Name]:[Long]],13,FALSE)</f>
        <v>92.846768572000002</v>
      </c>
      <c r="BZ317" s="782">
        <f>VLOOKUP(WWWW[[#This Row],[Village  Name]],SiteDB6[[Site Name]:[Pcode]],3,FALSE)</f>
        <v>196209</v>
      </c>
      <c r="CA317" s="782" t="str">
        <f t="shared" si="19"/>
        <v>Covered</v>
      </c>
      <c r="CB317" s="783"/>
    </row>
    <row r="318" spans="1:80">
      <c r="A318" s="774" t="s">
        <v>3199</v>
      </c>
      <c r="B318" s="727" t="s">
        <v>314</v>
      </c>
      <c r="C318" s="728" t="s">
        <v>314</v>
      </c>
      <c r="D318" s="728" t="s">
        <v>327</v>
      </c>
      <c r="E318" s="728" t="s">
        <v>2648</v>
      </c>
      <c r="F318" s="728" t="s">
        <v>295</v>
      </c>
      <c r="G318" s="644" t="str">
        <f>VLOOKUP(WWWW[[#This Row],[Village  Name]],SiteDB6[[Site Name]:[Location Type]],8,FALSE)</f>
        <v>Village</v>
      </c>
      <c r="H318" s="728" t="s">
        <v>2226</v>
      </c>
      <c r="I318" s="775">
        <v>452</v>
      </c>
      <c r="J318" s="775">
        <v>1901</v>
      </c>
      <c r="K318" s="784">
        <v>42736</v>
      </c>
      <c r="L318" s="785">
        <v>44551</v>
      </c>
      <c r="M318" s="775"/>
      <c r="N318" s="775"/>
      <c r="O318" s="773"/>
      <c r="P318" s="775"/>
      <c r="Q318" s="775"/>
      <c r="R318" s="775"/>
      <c r="S318" s="775"/>
      <c r="T318" s="775"/>
      <c r="U318" s="776"/>
      <c r="V318" s="775"/>
      <c r="W318" s="775" t="s">
        <v>130</v>
      </c>
      <c r="X318" s="775"/>
      <c r="Y318" s="775"/>
      <c r="Z318" s="775"/>
      <c r="AA318" s="775"/>
      <c r="AB318" s="775"/>
      <c r="AC318" s="776"/>
      <c r="AD318" s="775"/>
      <c r="AE318" s="775"/>
      <c r="AF318" s="775"/>
      <c r="AG318" s="775"/>
      <c r="AH318" s="775"/>
      <c r="AI318" s="775"/>
      <c r="AJ318" s="773"/>
      <c r="AK318" s="775"/>
      <c r="AL318" s="773"/>
      <c r="AM318" s="773"/>
      <c r="AN318" s="776"/>
      <c r="AO318" s="769"/>
      <c r="AP318" s="769"/>
      <c r="AQ318" s="773"/>
      <c r="AR318" s="773"/>
      <c r="AS318" s="773"/>
      <c r="AT31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18" s="779">
        <f>WWWW[[#This Row],[%Equitable and continuous access to sufficient quantity of safe drinking water]]*WWWW[[#This Row],[Total PoP ]]</f>
        <v>0</v>
      </c>
      <c r="AV31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18" s="779">
        <f>WWWW[[#This Row],[% Access to unimproved water points]]*WWWW[[#This Row],[Total PoP ]]</f>
        <v>0</v>
      </c>
      <c r="AX31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1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18" s="779">
        <f>WWWW[[#This Row],[HRP1]]/250</f>
        <v>0</v>
      </c>
      <c r="BA318" s="780">
        <f>1-WWWW[[#This Row],[% Equitable and continuous access to sufficient quantity of domestic water]]</f>
        <v>1</v>
      </c>
      <c r="BB318" s="779">
        <f>WWWW[[#This Row],[%equitable and continuous access to sufficient quantity of safe drinking and domestic water''s GAP]]*WWWW[[#This Row],[Total PoP ]]</f>
        <v>1901</v>
      </c>
      <c r="BC318" s="781">
        <f>IF(WWWW[[#This Row],[Total required water points]]-WWWW[[#This Row],['#Water points coverage]]&lt;0,0,WWWW[[#This Row],[Total required water points]]-WWWW[[#This Row],['#Water points coverage]])</f>
        <v>8</v>
      </c>
      <c r="BD318" s="781">
        <f>ROUND(IF(WWWW[[#This Row],[Total PoP ]]&lt;250,1,WWWW[[#This Row],[Total PoP ]]/250),0)</f>
        <v>8</v>
      </c>
      <c r="BE31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18" s="779">
        <f>WWWW[[#This Row],[% people access to functioning Latrine]]*WWWW[[#This Row],[Total PoP ]]</f>
        <v>0</v>
      </c>
      <c r="BG318" s="781">
        <f>WWWW[[#This Row],['#_of_Functioning_latrines_in_school]]*50</f>
        <v>0</v>
      </c>
      <c r="BH318" s="781">
        <f>ROUND((WWWW[[#This Row],[Total PoP ]]/6),0)</f>
        <v>317</v>
      </c>
      <c r="BI318" s="781">
        <f>IF(WWWW[[#This Row],[Total required Latrines]]-(WWWW[[#This Row],['#_of_sanitary_fly-proof_HH_latrines]])&lt;0,0,WWWW[[#This Row],[Total required Latrines]]-(WWWW[[#This Row],['#_of_sanitary_fly-proof_HH_latrines]]))</f>
        <v>317</v>
      </c>
      <c r="BJ318" s="778">
        <f>1-WWWW[[#This Row],[% people access to functioning Latrine]]</f>
        <v>1</v>
      </c>
      <c r="BK31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18" s="772">
        <f>IF(WWWW[[#This Row],['#_of_functional_handwashing_facilities_at_HH_level]]*6&gt;WWWW[[#This Row],[Total PoP ]],WWWW[[#This Row],[Total PoP ]],WWWW[[#This Row],['#_of_functional_handwashing_facilities_at_HH_level]]*6)</f>
        <v>0</v>
      </c>
      <c r="BM318" s="781">
        <f>IF(WWWW[[#This Row],['# people reached by regular dedicated hygiene promotion]]&gt;WWWW[[#This Row],['# People received regular supply of hygiene items]],WWWW[[#This Row],['# people reached by regular dedicated hygiene promotion]],WWWW[[#This Row],['# People received regular supply of hygiene items]])</f>
        <v>0</v>
      </c>
      <c r="BN318" s="780">
        <f>IF(WWWW[[#This Row],[HRP3]]/WWWW[[#This Row],[Total PoP ]]&gt;100%,100%,WWWW[[#This Row],[HRP3]]/WWWW[[#This Row],[Total PoP ]])</f>
        <v>0</v>
      </c>
      <c r="BO318" s="778">
        <f>1-WWWW[[#This Row],[Hygiene Coverage%]]</f>
        <v>1</v>
      </c>
      <c r="BP318" s="777">
        <f>WWWW[[#This Row],['# people reached by regular dedicated hygiene promotion]]/WWWW[[#This Row],[Total PoP ]]</f>
        <v>0</v>
      </c>
      <c r="BQ31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18" s="770">
        <f>WWWW[[#This Row],['#_of_affected_women_and_girls_receiving_a_sufficient_quantity_of_sanitary_pads]]</f>
        <v>0</v>
      </c>
      <c r="BS318" s="773">
        <f>IF(WWWW[[#This Row],['# People with access to soap]]&gt;WWWW[[#This Row],['# People with access to Sanity Pads]],WWWW[[#This Row],['# People with access to soap]],WWWW[[#This Row],['# People with access to Sanity Pads]])</f>
        <v>0</v>
      </c>
      <c r="BT318" s="772" t="str">
        <f>IF(OR(WWWW[[#This Row],['#of students in school]]="",WWWW[[#This Row],['#of students in school]]=0),"No","Yes")</f>
        <v>No</v>
      </c>
      <c r="BU318" s="782" t="str">
        <f>VLOOKUP(WWWW[[#This Row],[Village  Name]],SiteDB6[[Site Name]:[Location Type 1]],9,FALSE)</f>
        <v>Village</v>
      </c>
      <c r="BV318" s="782" t="str">
        <f>VLOOKUP(WWWW[[#This Row],[Village  Name]],SiteDB6[[Site Name]:[Type of Accommodation]],10,FALSE)</f>
        <v>Village</v>
      </c>
      <c r="BW318" s="782">
        <f>VLOOKUP(WWWW[[#This Row],[Village  Name]],SiteDB6[[Site Name]:[Ethnic or GCA/NGCA]],11,FALSE)</f>
        <v>0</v>
      </c>
      <c r="BX318" s="782">
        <f>VLOOKUP(WWWW[[#This Row],[Village  Name]],SiteDB6[[Site Name]:[Lat]],12,FALSE)</f>
        <v>20.760820389999999</v>
      </c>
      <c r="BY318" s="782">
        <f>VLOOKUP(WWWW[[#This Row],[Village  Name]],SiteDB6[[Site Name]:[Long]],13,FALSE)</f>
        <v>92.960083010000005</v>
      </c>
      <c r="BZ318" s="782">
        <f>VLOOKUP(WWWW[[#This Row],[Village  Name]],SiteDB6[[Site Name]:[Pcode]],3,FALSE)</f>
        <v>196893</v>
      </c>
      <c r="CA318" s="782" t="str">
        <f t="shared" si="19"/>
        <v>Covered</v>
      </c>
      <c r="CB318" s="783"/>
    </row>
    <row r="319" spans="1:80">
      <c r="A319" s="774" t="s">
        <v>3199</v>
      </c>
      <c r="B319" s="727" t="s">
        <v>2282</v>
      </c>
      <c r="C319" s="728" t="s">
        <v>2282</v>
      </c>
      <c r="D319" s="728" t="s">
        <v>39</v>
      </c>
      <c r="E319" s="728" t="s">
        <v>2648</v>
      </c>
      <c r="F319" s="728" t="s">
        <v>295</v>
      </c>
      <c r="G319" s="644" t="str">
        <f>VLOOKUP(WWWW[[#This Row],[Village  Name]],SiteDB6[[Site Name]:[Location Type]],8,FALSE)</f>
        <v>Village</v>
      </c>
      <c r="H319" s="728" t="s">
        <v>434</v>
      </c>
      <c r="I319" s="775">
        <v>17</v>
      </c>
      <c r="J319" s="775">
        <v>74</v>
      </c>
      <c r="K319" s="784">
        <v>43009</v>
      </c>
      <c r="L319" s="785">
        <v>44104</v>
      </c>
      <c r="M319" s="775"/>
      <c r="N319" s="775">
        <v>0</v>
      </c>
      <c r="O319" s="773"/>
      <c r="P319" s="775"/>
      <c r="Q319" s="775"/>
      <c r="R319" s="775"/>
      <c r="S319" s="775"/>
      <c r="T319" s="775"/>
      <c r="U319" s="776"/>
      <c r="V319" s="775"/>
      <c r="W319" s="773" t="s">
        <v>130</v>
      </c>
      <c r="X319" s="775"/>
      <c r="Y319" s="775"/>
      <c r="Z319" s="775"/>
      <c r="AA319" s="775"/>
      <c r="AB319" s="775"/>
      <c r="AC319" s="776"/>
      <c r="AD319" s="775"/>
      <c r="AE319" s="775"/>
      <c r="AF319" s="775"/>
      <c r="AG319" s="775"/>
      <c r="AH319" s="775"/>
      <c r="AI319" s="775"/>
      <c r="AJ319" s="773"/>
      <c r="AK319" s="775"/>
      <c r="AL319" s="773"/>
      <c r="AM319" s="773"/>
      <c r="AN319" s="776"/>
      <c r="AO319" s="769"/>
      <c r="AP319" s="769"/>
      <c r="AQ319" s="773"/>
      <c r="AR319" s="773"/>
      <c r="AS319" s="773"/>
      <c r="AT31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19" s="779">
        <f>WWWW[[#This Row],[%Equitable and continuous access to sufficient quantity of safe drinking water]]*WWWW[[#This Row],[Total PoP ]]</f>
        <v>0</v>
      </c>
      <c r="AV31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19" s="779">
        <f>WWWW[[#This Row],[% Access to unimproved water points]]*WWWW[[#This Row],[Total PoP ]]</f>
        <v>0</v>
      </c>
      <c r="AX31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1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19" s="779">
        <f>WWWW[[#This Row],[HRP1]]/250</f>
        <v>0</v>
      </c>
      <c r="BA319" s="780">
        <f>1-WWWW[[#This Row],[% Equitable and continuous access to sufficient quantity of domestic water]]</f>
        <v>1</v>
      </c>
      <c r="BB319" s="779">
        <f>WWWW[[#This Row],[%equitable and continuous access to sufficient quantity of safe drinking and domestic water''s GAP]]*WWWW[[#This Row],[Total PoP ]]</f>
        <v>74</v>
      </c>
      <c r="BC319" s="781">
        <f>IF(WWWW[[#This Row],[Total required water points]]-WWWW[[#This Row],['#Water points coverage]]&lt;0,0,WWWW[[#This Row],[Total required water points]]-WWWW[[#This Row],['#Water points coverage]])</f>
        <v>1</v>
      </c>
      <c r="BD319" s="781">
        <f>ROUND(IF(WWWW[[#This Row],[Total PoP ]]&lt;250,1,WWWW[[#This Row],[Total PoP ]]/250),0)</f>
        <v>1</v>
      </c>
      <c r="BE31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19" s="779">
        <f>WWWW[[#This Row],[% people access to functioning Latrine]]*WWWW[[#This Row],[Total PoP ]]</f>
        <v>0</v>
      </c>
      <c r="BG319" s="781">
        <f>WWWW[[#This Row],['#_of_Functioning_latrines_in_school]]*50</f>
        <v>0</v>
      </c>
      <c r="BH319" s="781">
        <f>ROUND((WWWW[[#This Row],[Total PoP ]]/6),0)</f>
        <v>12</v>
      </c>
      <c r="BI319" s="781">
        <f>IF(WWWW[[#This Row],[Total required Latrines]]-(WWWW[[#This Row],['#_of_sanitary_fly-proof_HH_latrines]])&lt;0,0,WWWW[[#This Row],[Total required Latrines]]-(WWWW[[#This Row],['#_of_sanitary_fly-proof_HH_latrines]]))</f>
        <v>12</v>
      </c>
      <c r="BJ319" s="778">
        <f>1-WWWW[[#This Row],[% people access to functioning Latrine]]</f>
        <v>1</v>
      </c>
      <c r="BK31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19" s="772">
        <f>IF(WWWW[[#This Row],['#_of_functional_handwashing_facilities_at_HH_level]]*6&gt;WWWW[[#This Row],[Total PoP ]],WWWW[[#This Row],[Total PoP ]],WWWW[[#This Row],['#_of_functional_handwashing_facilities_at_HH_level]]*6)</f>
        <v>0</v>
      </c>
      <c r="BM319" s="781">
        <f>IF(WWWW[[#This Row],['# people reached by regular dedicated hygiene promotion]]&gt;WWWW[[#This Row],['# People received regular supply of hygiene items]],WWWW[[#This Row],['# people reached by regular dedicated hygiene promotion]],WWWW[[#This Row],['# People received regular supply of hygiene items]])</f>
        <v>0</v>
      </c>
      <c r="BN319" s="780">
        <f>IF(WWWW[[#This Row],[HRP3]]/WWWW[[#This Row],[Total PoP ]]&gt;100%,100%,WWWW[[#This Row],[HRP3]]/WWWW[[#This Row],[Total PoP ]])</f>
        <v>0</v>
      </c>
      <c r="BO319" s="778">
        <f>1-WWWW[[#This Row],[Hygiene Coverage%]]</f>
        <v>1</v>
      </c>
      <c r="BP319" s="777">
        <f>WWWW[[#This Row],['# people reached by regular dedicated hygiene promotion]]/WWWW[[#This Row],[Total PoP ]]</f>
        <v>0</v>
      </c>
      <c r="BQ31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19" s="770">
        <f>WWWW[[#This Row],['#_of_affected_women_and_girls_receiving_a_sufficient_quantity_of_sanitary_pads]]</f>
        <v>0</v>
      </c>
      <c r="BS319" s="773">
        <f>IF(WWWW[[#This Row],['# People with access to soap]]&gt;WWWW[[#This Row],['# People with access to Sanity Pads]],WWWW[[#This Row],['# People with access to soap]],WWWW[[#This Row],['# People with access to Sanity Pads]])</f>
        <v>0</v>
      </c>
      <c r="BT319" s="772" t="str">
        <f>IF(OR(WWWW[[#This Row],['#of students in school]]="",WWWW[[#This Row],['#of students in school]]=0),"No","Yes")</f>
        <v>No</v>
      </c>
      <c r="BU319" s="782" t="str">
        <f>VLOOKUP(WWWW[[#This Row],[Village  Name]],SiteDB6[[Site Name]:[Location Type 1]],9,FALSE)</f>
        <v>Village</v>
      </c>
      <c r="BV319" s="782" t="str">
        <f>VLOOKUP(WWWW[[#This Row],[Village  Name]],SiteDB6[[Site Name]:[Type of Accommodation]],10,FALSE)</f>
        <v>Village</v>
      </c>
      <c r="BW319" s="782" t="str">
        <f>VLOOKUP(WWWW[[#This Row],[Village  Name]],SiteDB6[[Site Name]:[Ethnic or GCA/NGCA]],11,FALSE)</f>
        <v>Muslim</v>
      </c>
      <c r="BX319" s="782">
        <f>VLOOKUP(WWWW[[#This Row],[Village  Name]],SiteDB6[[Site Name]:[Lat]],12,FALSE)</f>
        <v>20.193460460000001</v>
      </c>
      <c r="BY319" s="782">
        <f>VLOOKUP(WWWW[[#This Row],[Village  Name]],SiteDB6[[Site Name]:[Long]],13,FALSE)</f>
        <v>92.867782590000004</v>
      </c>
      <c r="BZ319" s="782">
        <f>VLOOKUP(WWWW[[#This Row],[Village  Name]],SiteDB6[[Site Name]:[Pcode]],3,FALSE)</f>
        <v>196147</v>
      </c>
      <c r="CA319" s="782" t="str">
        <f t="shared" si="19"/>
        <v>Covered</v>
      </c>
      <c r="CB319" s="783"/>
    </row>
    <row r="320" spans="1:80">
      <c r="A320" s="774" t="s">
        <v>3199</v>
      </c>
      <c r="B320" s="727" t="s">
        <v>266</v>
      </c>
      <c r="C320" s="728" t="s">
        <v>266</v>
      </c>
      <c r="D320" s="728" t="s">
        <v>3151</v>
      </c>
      <c r="E320" s="728" t="s">
        <v>2648</v>
      </c>
      <c r="F320" s="728" t="s">
        <v>402</v>
      </c>
      <c r="G320" s="644" t="str">
        <f>VLOOKUP(WWWW[[#This Row],[Village  Name]],SiteDB6[[Site Name]:[Location Type]],8,FALSE)</f>
        <v>Village</v>
      </c>
      <c r="H320" s="728" t="s">
        <v>411</v>
      </c>
      <c r="I320" s="775">
        <v>483</v>
      </c>
      <c r="J320" s="775">
        <v>2228</v>
      </c>
      <c r="K320" s="784">
        <v>43525</v>
      </c>
      <c r="L320" s="785">
        <v>44255</v>
      </c>
      <c r="M320" s="775"/>
      <c r="N320" s="775">
        <v>454</v>
      </c>
      <c r="O320" s="773">
        <v>0</v>
      </c>
      <c r="P320" s="775">
        <v>0</v>
      </c>
      <c r="Q320" s="775">
        <v>1</v>
      </c>
      <c r="R320" s="775"/>
      <c r="S320" s="775"/>
      <c r="T320" s="775"/>
      <c r="U320" s="776"/>
      <c r="V320" s="775"/>
      <c r="W320" s="775" t="s">
        <v>130</v>
      </c>
      <c r="X320" s="775"/>
      <c r="Y320" s="775"/>
      <c r="Z320" s="775"/>
      <c r="AA320" s="775"/>
      <c r="AB320" s="775"/>
      <c r="AC320" s="776"/>
      <c r="AD320" s="775">
        <v>417</v>
      </c>
      <c r="AE320" s="775">
        <v>463</v>
      </c>
      <c r="AF320" s="775">
        <v>614</v>
      </c>
      <c r="AG320" s="775">
        <v>556</v>
      </c>
      <c r="AH320" s="775"/>
      <c r="AI320" s="775"/>
      <c r="AJ320" s="773">
        <v>0</v>
      </c>
      <c r="AK320" s="775">
        <v>0</v>
      </c>
      <c r="AL320" s="773">
        <v>483</v>
      </c>
      <c r="AM320" s="773">
        <v>1019</v>
      </c>
      <c r="AN320" s="776" t="s">
        <v>3296</v>
      </c>
      <c r="AO320" s="769"/>
      <c r="AP320" s="769"/>
      <c r="AQ320" s="773">
        <v>0</v>
      </c>
      <c r="AR320" s="773"/>
      <c r="AS320" s="773">
        <v>0</v>
      </c>
      <c r="AT32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20" s="779">
        <f>WWWW[[#This Row],[%Equitable and continuous access to sufficient quantity of safe drinking water]]*WWWW[[#This Row],[Total PoP ]]</f>
        <v>0</v>
      </c>
      <c r="AV32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20" s="779">
        <f>WWWW[[#This Row],[% Access to unimproved water points]]*WWWW[[#This Row],[Total PoP ]]</f>
        <v>2228</v>
      </c>
      <c r="AX32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2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2228</v>
      </c>
      <c r="AZ320" s="779">
        <f>WWWW[[#This Row],[HRP1]]/250</f>
        <v>8.9120000000000008</v>
      </c>
      <c r="BA320" s="780">
        <f>1-WWWW[[#This Row],[% Equitable and continuous access to sufficient quantity of domestic water]]</f>
        <v>0</v>
      </c>
      <c r="BB320" s="779">
        <f>WWWW[[#This Row],[%equitable and continuous access to sufficient quantity of safe drinking and domestic water''s GAP]]*WWWW[[#This Row],[Total PoP ]]</f>
        <v>0</v>
      </c>
      <c r="BC320" s="781">
        <f>IF(WWWW[[#This Row],[Total required water points]]-WWWW[[#This Row],['#Water points coverage]]&lt;0,0,WWWW[[#This Row],[Total required water points]]-WWWW[[#This Row],['#Water points coverage]])</f>
        <v>8.799999999999919E-2</v>
      </c>
      <c r="BD320" s="781">
        <f>ROUND(IF(WWWW[[#This Row],[Total PoP ]]&lt;250,1,WWWW[[#This Row],[Total PoP ]]/250),0)</f>
        <v>9</v>
      </c>
      <c r="BE32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20" s="779">
        <f>WWWW[[#This Row],[% people access to functioning Latrine]]*WWWW[[#This Row],[Total PoP ]]</f>
        <v>0</v>
      </c>
      <c r="BG320" s="781">
        <f>WWWW[[#This Row],['#_of_Functioning_latrines_in_school]]*50</f>
        <v>0</v>
      </c>
      <c r="BH320" s="781">
        <f>ROUND((WWWW[[#This Row],[Total PoP ]]/6),0)</f>
        <v>371</v>
      </c>
      <c r="BI320" s="781">
        <f>IF(WWWW[[#This Row],[Total required Latrines]]-(WWWW[[#This Row],['#_of_sanitary_fly-proof_HH_latrines]])&lt;0,0,WWWW[[#This Row],[Total required Latrines]]-(WWWW[[#This Row],['#_of_sanitary_fly-proof_HH_latrines]]))</f>
        <v>371</v>
      </c>
      <c r="BJ320" s="778">
        <f>1-WWWW[[#This Row],[% people access to functioning Latrine]]</f>
        <v>1</v>
      </c>
      <c r="BK32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2050</v>
      </c>
      <c r="BL320" s="772">
        <f>IF(WWWW[[#This Row],['#_of_functional_handwashing_facilities_at_HH_level]]*6&gt;WWWW[[#This Row],[Total PoP ]],WWWW[[#This Row],[Total PoP ]],WWWW[[#This Row],['#_of_functional_handwashing_facilities_at_HH_level]]*6)</f>
        <v>0</v>
      </c>
      <c r="BM320" s="781">
        <f>IF(WWWW[[#This Row],['# people reached by regular dedicated hygiene promotion]]&gt;WWWW[[#This Row],['# People received regular supply of hygiene items]],WWWW[[#This Row],['# people reached by regular dedicated hygiene promotion]],WWWW[[#This Row],['# People received regular supply of hygiene items]])</f>
        <v>2228</v>
      </c>
      <c r="BN320" s="780">
        <f>IF(WWWW[[#This Row],[HRP3]]/WWWW[[#This Row],[Total PoP ]]&gt;100%,100%,WWWW[[#This Row],[HRP3]]/WWWW[[#This Row],[Total PoP ]])</f>
        <v>1</v>
      </c>
      <c r="BO320" s="778">
        <f>1-WWWW[[#This Row],[Hygiene Coverage%]]</f>
        <v>0</v>
      </c>
      <c r="BP320" s="777">
        <f>WWWW[[#This Row],['# people reached by regular dedicated hygiene promotion]]/WWWW[[#This Row],[Total PoP ]]</f>
        <v>0.92010771992818674</v>
      </c>
      <c r="BQ32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2228</v>
      </c>
      <c r="BR320" s="770">
        <f>WWWW[[#This Row],['#_of_affected_women_and_girls_receiving_a_sufficient_quantity_of_sanitary_pads]]</f>
        <v>1019</v>
      </c>
      <c r="BS320" s="773">
        <f>IF(WWWW[[#This Row],['# People with access to soap]]&gt;WWWW[[#This Row],['# People with access to Sanity Pads]],WWWW[[#This Row],['# People with access to soap]],WWWW[[#This Row],['# People with access to Sanity Pads]])</f>
        <v>2228</v>
      </c>
      <c r="BT320" s="772" t="str">
        <f>IF(OR(WWWW[[#This Row],['#of students in school]]="",WWWW[[#This Row],['#of students in school]]=0),"No","Yes")</f>
        <v>No</v>
      </c>
      <c r="BU320" s="782" t="str">
        <f>VLOOKUP(WWWW[[#This Row],[Village  Name]],SiteDB6[[Site Name]:[Location Type 1]],9,FALSE)</f>
        <v>Village</v>
      </c>
      <c r="BV320" s="782" t="str">
        <f>VLOOKUP(WWWW[[#This Row],[Village  Name]],SiteDB6[[Site Name]:[Type of Accommodation]],10,FALSE)</f>
        <v>Village</v>
      </c>
      <c r="BW320" s="782" t="str">
        <f>VLOOKUP(WWWW[[#This Row],[Village  Name]],SiteDB6[[Site Name]:[Ethnic or GCA/NGCA]],11,FALSE)</f>
        <v>Muslim</v>
      </c>
      <c r="BX320" s="782">
        <f>VLOOKUP(WWWW[[#This Row],[Village  Name]],SiteDB6[[Site Name]:[Lat]],12,FALSE)</f>
        <v>20.099340439999999</v>
      </c>
      <c r="BY320" s="782">
        <f>VLOOKUP(WWWW[[#This Row],[Village  Name]],SiteDB6[[Site Name]:[Long]],13,FALSE)</f>
        <v>92.989143369999994</v>
      </c>
      <c r="BZ320" s="782">
        <f>VLOOKUP(WWWW[[#This Row],[Village  Name]],SiteDB6[[Site Name]:[Pcode]],3,FALSE)</f>
        <v>197558</v>
      </c>
      <c r="CA320" s="782" t="str">
        <f t="shared" si="19"/>
        <v>Covered</v>
      </c>
      <c r="CB320" s="783"/>
    </row>
    <row r="321" spans="1:80">
      <c r="A321" s="774" t="s">
        <v>3199</v>
      </c>
      <c r="B321" s="727" t="s">
        <v>287</v>
      </c>
      <c r="C321" s="728" t="s">
        <v>287</v>
      </c>
      <c r="D321" s="728" t="s">
        <v>327</v>
      </c>
      <c r="E321" s="728" t="s">
        <v>2648</v>
      </c>
      <c r="F321" s="728" t="s">
        <v>402</v>
      </c>
      <c r="G321" s="644" t="str">
        <f>VLOOKUP(WWWW[[#This Row],[Village  Name]],SiteDB6[[Site Name]:[Location Type]],8,FALSE)</f>
        <v>Village</v>
      </c>
      <c r="H321" s="728" t="s">
        <v>2536</v>
      </c>
      <c r="I321" s="775">
        <v>36</v>
      </c>
      <c r="J321" s="775">
        <v>172</v>
      </c>
      <c r="K321" s="784">
        <v>43359</v>
      </c>
      <c r="L321" s="785">
        <v>44196</v>
      </c>
      <c r="M321" s="775">
        <v>52</v>
      </c>
      <c r="N321" s="775"/>
      <c r="O321" s="773"/>
      <c r="P321" s="775"/>
      <c r="Q321" s="775">
        <v>0</v>
      </c>
      <c r="R321" s="775"/>
      <c r="S321" s="775">
        <v>172</v>
      </c>
      <c r="T321" s="775">
        <v>0</v>
      </c>
      <c r="U321" s="776"/>
      <c r="V321" s="775">
        <v>0</v>
      </c>
      <c r="W321" s="775" t="s">
        <v>126</v>
      </c>
      <c r="X321" s="775">
        <v>0</v>
      </c>
      <c r="Y321" s="775">
        <v>2</v>
      </c>
      <c r="Z321" s="775"/>
      <c r="AA321" s="775"/>
      <c r="AB321" s="775"/>
      <c r="AC321" s="776"/>
      <c r="AD321" s="775"/>
      <c r="AE321" s="775"/>
      <c r="AF321" s="775"/>
      <c r="AG321" s="775"/>
      <c r="AH321" s="775"/>
      <c r="AI321" s="775"/>
      <c r="AJ321" s="773"/>
      <c r="AK321" s="775"/>
      <c r="AL321" s="773"/>
      <c r="AM321" s="773"/>
      <c r="AN321" s="776"/>
      <c r="AO321" s="769"/>
      <c r="AP321" s="769"/>
      <c r="AQ321" s="773"/>
      <c r="AR321" s="773"/>
      <c r="AS321" s="773"/>
      <c r="AT32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21" s="779">
        <f>WWWW[[#This Row],[%Equitable and continuous access to sufficient quantity of safe drinking water]]*WWWW[[#This Row],[Total PoP ]]</f>
        <v>0</v>
      </c>
      <c r="AV32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21" s="779">
        <f>WWWW[[#This Row],[% Access to unimproved water points]]*WWWW[[#This Row],[Total PoP ]]</f>
        <v>172</v>
      </c>
      <c r="AX32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2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172</v>
      </c>
      <c r="AZ321" s="779">
        <f>WWWW[[#This Row],[HRP1]]/250</f>
        <v>0.68799999999999994</v>
      </c>
      <c r="BA321" s="780">
        <f>1-WWWW[[#This Row],[% Equitable and continuous access to sufficient quantity of domestic water]]</f>
        <v>0</v>
      </c>
      <c r="BB321" s="779">
        <f>WWWW[[#This Row],[%equitable and continuous access to sufficient quantity of safe drinking and domestic water''s GAP]]*WWWW[[#This Row],[Total PoP ]]</f>
        <v>0</v>
      </c>
      <c r="BC321" s="781">
        <f>IF(WWWW[[#This Row],[Total required water points]]-WWWW[[#This Row],['#Water points coverage]]&lt;0,0,WWWW[[#This Row],[Total required water points]]-WWWW[[#This Row],['#Water points coverage]])</f>
        <v>0.31200000000000006</v>
      </c>
      <c r="BD321" s="781">
        <f>ROUND(IF(WWWW[[#This Row],[Total PoP ]]&lt;250,1,WWWW[[#This Row],[Total PoP ]]/250),0)</f>
        <v>1</v>
      </c>
      <c r="BE32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21" s="779">
        <f>WWWW[[#This Row],[% people access to functioning Latrine]]*WWWW[[#This Row],[Total PoP ]]</f>
        <v>0</v>
      </c>
      <c r="BG321" s="781">
        <f>WWWW[[#This Row],['#_of_Functioning_latrines_in_school]]*50</f>
        <v>0</v>
      </c>
      <c r="BH321" s="781">
        <f>ROUND((WWWW[[#This Row],[Total PoP ]]/6),0)</f>
        <v>29</v>
      </c>
      <c r="BI321" s="781">
        <f>IF(WWWW[[#This Row],[Total required Latrines]]-(WWWW[[#This Row],['#_of_sanitary_fly-proof_HH_latrines]])&lt;0,0,WWWW[[#This Row],[Total required Latrines]]-(WWWW[[#This Row],['#_of_sanitary_fly-proof_HH_latrines]]))</f>
        <v>29</v>
      </c>
      <c r="BJ321" s="778">
        <f>1-WWWW[[#This Row],[% people access to functioning Latrine]]</f>
        <v>1</v>
      </c>
      <c r="BK32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21" s="772">
        <f>IF(WWWW[[#This Row],['#_of_functional_handwashing_facilities_at_HH_level]]*6&gt;WWWW[[#This Row],[Total PoP ]],WWWW[[#This Row],[Total PoP ]],WWWW[[#This Row],['#_of_functional_handwashing_facilities_at_HH_level]]*6)</f>
        <v>0</v>
      </c>
      <c r="BM321" s="781">
        <f>IF(WWWW[[#This Row],['# people reached by regular dedicated hygiene promotion]]&gt;WWWW[[#This Row],['# People received regular supply of hygiene items]],WWWW[[#This Row],['# people reached by regular dedicated hygiene promotion]],WWWW[[#This Row],['# People received regular supply of hygiene items]])</f>
        <v>0</v>
      </c>
      <c r="BN321" s="780">
        <f>IF(WWWW[[#This Row],[HRP3]]/WWWW[[#This Row],[Total PoP ]]&gt;100%,100%,WWWW[[#This Row],[HRP3]]/WWWW[[#This Row],[Total PoP ]])</f>
        <v>0</v>
      </c>
      <c r="BO321" s="778">
        <f>1-WWWW[[#This Row],[Hygiene Coverage%]]</f>
        <v>1</v>
      </c>
      <c r="BP321" s="777">
        <f>WWWW[[#This Row],['# people reached by regular dedicated hygiene promotion]]/WWWW[[#This Row],[Total PoP ]]</f>
        <v>0</v>
      </c>
      <c r="BQ32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21" s="770">
        <f>WWWW[[#This Row],['#_of_affected_women_and_girls_receiving_a_sufficient_quantity_of_sanitary_pads]]</f>
        <v>0</v>
      </c>
      <c r="BS321" s="773">
        <f>IF(WWWW[[#This Row],['# People with access to soap]]&gt;WWWW[[#This Row],['# People with access to Sanity Pads]],WWWW[[#This Row],['# People with access to soap]],WWWW[[#This Row],['# People with access to Sanity Pads]])</f>
        <v>0</v>
      </c>
      <c r="BT321" s="772" t="str">
        <f>IF(OR(WWWW[[#This Row],['#of students in school]]="",WWWW[[#This Row],['#of students in school]]=0),"No","Yes")</f>
        <v>Yes</v>
      </c>
      <c r="BU321" s="782" t="str">
        <f>VLOOKUP(WWWW[[#This Row],[Village  Name]],SiteDB6[[Site Name]:[Location Type 1]],9,FALSE)</f>
        <v>Village</v>
      </c>
      <c r="BV321" s="782" t="str">
        <f>VLOOKUP(WWWW[[#This Row],[Village  Name]],SiteDB6[[Site Name]:[Type of Accommodation]],10,FALSE)</f>
        <v>Village</v>
      </c>
      <c r="BW321" s="782">
        <f>VLOOKUP(WWWW[[#This Row],[Village  Name]],SiteDB6[[Site Name]:[Ethnic or GCA/NGCA]],11,FALSE)</f>
        <v>0</v>
      </c>
      <c r="BX321" s="782">
        <f>VLOOKUP(WWWW[[#This Row],[Village  Name]],SiteDB6[[Site Name]:[Lat]],12,FALSE)</f>
        <v>20.005199432373001</v>
      </c>
      <c r="BY321" s="782">
        <f>VLOOKUP(WWWW[[#This Row],[Village  Name]],SiteDB6[[Site Name]:[Long]],13,FALSE)</f>
        <v>92.948463439941406</v>
      </c>
      <c r="BZ321" s="782">
        <f>VLOOKUP(WWWW[[#This Row],[Village  Name]],SiteDB6[[Site Name]:[Pcode]],3,FALSE)</f>
        <v>197565</v>
      </c>
      <c r="CA321" s="782" t="str">
        <f t="shared" si="19"/>
        <v>Covered</v>
      </c>
      <c r="CB321" s="783"/>
    </row>
    <row r="322" spans="1:80">
      <c r="A322" s="774" t="s">
        <v>3199</v>
      </c>
      <c r="B322" s="727" t="s">
        <v>318</v>
      </c>
      <c r="C322" s="728" t="s">
        <v>318</v>
      </c>
      <c r="D322" s="728" t="s">
        <v>334</v>
      </c>
      <c r="E322" s="728" t="s">
        <v>2648</v>
      </c>
      <c r="F322" s="728" t="s">
        <v>302</v>
      </c>
      <c r="G322" s="644" t="str">
        <f>VLOOKUP(WWWW[[#This Row],[Village  Name]],SiteDB6[[Site Name]:[Location Type]],8,FALSE)</f>
        <v>Village</v>
      </c>
      <c r="H322" s="728" t="s">
        <v>2276</v>
      </c>
      <c r="I322" s="775">
        <v>128</v>
      </c>
      <c r="J322" s="775">
        <v>583</v>
      </c>
      <c r="K322" s="784">
        <v>43647</v>
      </c>
      <c r="L322" s="785">
        <v>44043</v>
      </c>
      <c r="M322" s="775">
        <v>90</v>
      </c>
      <c r="N322" s="775"/>
      <c r="O322" s="773"/>
      <c r="P322" s="775"/>
      <c r="Q322" s="775">
        <v>4</v>
      </c>
      <c r="R322" s="775"/>
      <c r="S322" s="775"/>
      <c r="T322" s="775"/>
      <c r="U322" s="776"/>
      <c r="V322" s="775">
        <v>6</v>
      </c>
      <c r="W322" s="775" t="s">
        <v>130</v>
      </c>
      <c r="X322" s="775">
        <v>3</v>
      </c>
      <c r="Y322" s="775">
        <v>3</v>
      </c>
      <c r="Z322" s="775"/>
      <c r="AA322" s="775"/>
      <c r="AB322" s="775"/>
      <c r="AC322" s="776"/>
      <c r="AD322" s="775"/>
      <c r="AE322" s="775"/>
      <c r="AF322" s="775"/>
      <c r="AG322" s="775"/>
      <c r="AH322" s="775"/>
      <c r="AI322" s="775"/>
      <c r="AJ322" s="773">
        <v>11</v>
      </c>
      <c r="AK322" s="775"/>
      <c r="AL322" s="773"/>
      <c r="AM322" s="773"/>
      <c r="AN322" s="776"/>
      <c r="AO322" s="769"/>
      <c r="AP322" s="769"/>
      <c r="AQ322" s="773"/>
      <c r="AR322" s="773"/>
      <c r="AS322" s="773"/>
      <c r="AT32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22" s="779">
        <f>WWWW[[#This Row],[%Equitable and continuous access to sufficient quantity of safe drinking water]]*WWWW[[#This Row],[Total PoP ]]</f>
        <v>0</v>
      </c>
      <c r="AV32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22" s="779">
        <f>WWWW[[#This Row],[% Access to unimproved water points]]*WWWW[[#This Row],[Total PoP ]]</f>
        <v>583</v>
      </c>
      <c r="AX32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2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583</v>
      </c>
      <c r="AZ322" s="779">
        <f>WWWW[[#This Row],[HRP1]]/250</f>
        <v>2.3319999999999999</v>
      </c>
      <c r="BA322" s="780">
        <f>1-WWWW[[#This Row],[% Equitable and continuous access to sufficient quantity of domestic water]]</f>
        <v>0</v>
      </c>
      <c r="BB322" s="779">
        <f>WWWW[[#This Row],[%equitable and continuous access to sufficient quantity of safe drinking and domestic water''s GAP]]*WWWW[[#This Row],[Total PoP ]]</f>
        <v>0</v>
      </c>
      <c r="BC322" s="781">
        <f>IF(WWWW[[#This Row],[Total required water points]]-WWWW[[#This Row],['#Water points coverage]]&lt;0,0,WWWW[[#This Row],[Total required water points]]-WWWW[[#This Row],['#Water points coverage]])</f>
        <v>0</v>
      </c>
      <c r="BD322" s="781">
        <f>ROUND(IF(WWWW[[#This Row],[Total PoP ]]&lt;250,1,WWWW[[#This Row],[Total PoP ]]/250),0)</f>
        <v>2</v>
      </c>
      <c r="BE32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6.1749571183533448E-2</v>
      </c>
      <c r="BF322" s="779">
        <f>WWWW[[#This Row],[% people access to functioning Latrine]]*WWWW[[#This Row],[Total PoP ]]</f>
        <v>36</v>
      </c>
      <c r="BG322" s="781">
        <f>WWWW[[#This Row],['#_of_Functioning_latrines_in_school]]*50</f>
        <v>150</v>
      </c>
      <c r="BH322" s="781">
        <f>ROUND((WWWW[[#This Row],[Total PoP ]]/6),0)</f>
        <v>97</v>
      </c>
      <c r="BI322" s="781">
        <f>IF(WWWW[[#This Row],[Total required Latrines]]-(WWWW[[#This Row],['#_of_sanitary_fly-proof_HH_latrines]])&lt;0,0,WWWW[[#This Row],[Total required Latrines]]-(WWWW[[#This Row],['#_of_sanitary_fly-proof_HH_latrines]]))</f>
        <v>91</v>
      </c>
      <c r="BJ322" s="778">
        <f>1-WWWW[[#This Row],[% people access to functioning Latrine]]</f>
        <v>0.93825042881646659</v>
      </c>
      <c r="BK32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22" s="772">
        <f>IF(WWWW[[#This Row],['#_of_functional_handwashing_facilities_at_HH_level]]*6&gt;WWWW[[#This Row],[Total PoP ]],WWWW[[#This Row],[Total PoP ]],WWWW[[#This Row],['#_of_functional_handwashing_facilities_at_HH_level]]*6)</f>
        <v>66</v>
      </c>
      <c r="BM322" s="781">
        <f>IF(WWWW[[#This Row],['# people reached by regular dedicated hygiene promotion]]&gt;WWWW[[#This Row],['# People received regular supply of hygiene items]],WWWW[[#This Row],['# people reached by regular dedicated hygiene promotion]],WWWW[[#This Row],['# People received regular supply of hygiene items]])</f>
        <v>0</v>
      </c>
      <c r="BN322" s="780">
        <f>IF(WWWW[[#This Row],[HRP3]]/WWWW[[#This Row],[Total PoP ]]&gt;100%,100%,WWWW[[#This Row],[HRP3]]/WWWW[[#This Row],[Total PoP ]])</f>
        <v>0</v>
      </c>
      <c r="BO322" s="778">
        <f>1-WWWW[[#This Row],[Hygiene Coverage%]]</f>
        <v>1</v>
      </c>
      <c r="BP322" s="777">
        <f>WWWW[[#This Row],['# people reached by regular dedicated hygiene promotion]]/WWWW[[#This Row],[Total PoP ]]</f>
        <v>0</v>
      </c>
      <c r="BQ32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22" s="770">
        <f>WWWW[[#This Row],['#_of_affected_women_and_girls_receiving_a_sufficient_quantity_of_sanitary_pads]]</f>
        <v>0</v>
      </c>
      <c r="BS322" s="773">
        <f>IF(WWWW[[#This Row],['# People with access to soap]]&gt;WWWW[[#This Row],['# People with access to Sanity Pads]],WWWW[[#This Row],['# People with access to soap]],WWWW[[#This Row],['# People with access to Sanity Pads]])</f>
        <v>0</v>
      </c>
      <c r="BT322" s="772" t="str">
        <f>IF(OR(WWWW[[#This Row],['#of students in school]]="",WWWW[[#This Row],['#of students in school]]=0),"No","Yes")</f>
        <v>Yes</v>
      </c>
      <c r="BU322" s="782" t="str">
        <f>VLOOKUP(WWWW[[#This Row],[Village  Name]],SiteDB6[[Site Name]:[Location Type 1]],9,FALSE)</f>
        <v>Village</v>
      </c>
      <c r="BV322" s="782" t="str">
        <f>VLOOKUP(WWWW[[#This Row],[Village  Name]],SiteDB6[[Site Name]:[Type of Accommodation]],10,FALSE)</f>
        <v>Village</v>
      </c>
      <c r="BW322" s="782" t="str">
        <f>VLOOKUP(WWWW[[#This Row],[Village  Name]],SiteDB6[[Site Name]:[Ethnic or GCA/NGCA]],11,FALSE)</f>
        <v>Rakhine</v>
      </c>
      <c r="BX322" s="782">
        <f>VLOOKUP(WWWW[[#This Row],[Village  Name]],SiteDB6[[Site Name]:[Lat]],12,FALSE)</f>
        <v>20.646560668945298</v>
      </c>
      <c r="BY322" s="782">
        <f>VLOOKUP(WWWW[[#This Row],[Village  Name]],SiteDB6[[Site Name]:[Long]],13,FALSE)</f>
        <v>92.976043701171903</v>
      </c>
      <c r="BZ322" s="782">
        <f>VLOOKUP(WWWW[[#This Row],[Village  Name]],SiteDB6[[Site Name]:[Pcode]],3,FALSE)</f>
        <v>196937</v>
      </c>
      <c r="CA322" s="782" t="str">
        <f t="shared" ref="CA322:CA337" si="20">IF(C322="none","Notcovered","Covered")</f>
        <v>Covered</v>
      </c>
      <c r="CB322" s="783"/>
    </row>
    <row r="323" spans="1:80">
      <c r="A323" s="774" t="s">
        <v>3199</v>
      </c>
      <c r="B323" s="727" t="s">
        <v>318</v>
      </c>
      <c r="C323" s="728" t="s">
        <v>318</v>
      </c>
      <c r="D323" s="728" t="s">
        <v>334</v>
      </c>
      <c r="E323" s="728" t="s">
        <v>2648</v>
      </c>
      <c r="F323" s="728" t="s">
        <v>302</v>
      </c>
      <c r="G323" s="644" t="str">
        <f>VLOOKUP(WWWW[[#This Row],[Village  Name]],SiteDB6[[Site Name]:[Location Type]],8,FALSE)</f>
        <v>Village</v>
      </c>
      <c r="H323" s="728" t="s">
        <v>3166</v>
      </c>
      <c r="I323" s="775">
        <v>178</v>
      </c>
      <c r="J323" s="775">
        <v>849</v>
      </c>
      <c r="K323" s="784">
        <v>43647</v>
      </c>
      <c r="L323" s="785">
        <v>44043</v>
      </c>
      <c r="M323" s="775">
        <v>154</v>
      </c>
      <c r="N323" s="775"/>
      <c r="O323" s="773"/>
      <c r="P323" s="775"/>
      <c r="Q323" s="775"/>
      <c r="R323" s="775"/>
      <c r="S323" s="775">
        <v>3</v>
      </c>
      <c r="T323" s="775"/>
      <c r="U323" s="776"/>
      <c r="V323" s="775">
        <v>35</v>
      </c>
      <c r="W323" s="775" t="s">
        <v>130</v>
      </c>
      <c r="X323" s="775">
        <v>1</v>
      </c>
      <c r="Y323" s="775">
        <v>2</v>
      </c>
      <c r="Z323" s="775"/>
      <c r="AA323" s="775"/>
      <c r="AB323" s="775"/>
      <c r="AC323" s="776"/>
      <c r="AD323" s="775"/>
      <c r="AE323" s="775"/>
      <c r="AF323" s="775"/>
      <c r="AG323" s="775"/>
      <c r="AH323" s="775"/>
      <c r="AI323" s="775"/>
      <c r="AJ323" s="773">
        <v>12</v>
      </c>
      <c r="AK323" s="775"/>
      <c r="AL323" s="773"/>
      <c r="AM323" s="773"/>
      <c r="AN323" s="776"/>
      <c r="AO323" s="769"/>
      <c r="AP323" s="769"/>
      <c r="AQ323" s="773"/>
      <c r="AR323" s="773"/>
      <c r="AS323" s="773"/>
      <c r="AT32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23" s="779">
        <f>WWWW[[#This Row],[%Equitable and continuous access to sufficient quantity of safe drinking water]]*WWWW[[#This Row],[Total PoP ]]</f>
        <v>0</v>
      </c>
      <c r="AV32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3.5335689045936395E-3</v>
      </c>
      <c r="AW323" s="779">
        <f>WWWW[[#This Row],[% Access to unimproved water points]]*WWWW[[#This Row],[Total PoP ]]</f>
        <v>3</v>
      </c>
      <c r="AX32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3.5335689045936395E-3</v>
      </c>
      <c r="AY32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v>
      </c>
      <c r="AZ323" s="779">
        <f>WWWW[[#This Row],[HRP1]]/250</f>
        <v>1.2E-2</v>
      </c>
      <c r="BA323" s="780">
        <f>1-WWWW[[#This Row],[% Equitable and continuous access to sufficient quantity of domestic water]]</f>
        <v>0.99646643109540634</v>
      </c>
      <c r="BB323" s="779">
        <f>WWWW[[#This Row],[%equitable and continuous access to sufficient quantity of safe drinking and domestic water''s GAP]]*WWWW[[#This Row],[Total PoP ]]</f>
        <v>846</v>
      </c>
      <c r="BC323" s="781">
        <f>IF(WWWW[[#This Row],[Total required water points]]-WWWW[[#This Row],['#Water points coverage]]&lt;0,0,WWWW[[#This Row],[Total required water points]]-WWWW[[#This Row],['#Water points coverage]])</f>
        <v>2.988</v>
      </c>
      <c r="BD323" s="781">
        <f>ROUND(IF(WWWW[[#This Row],[Total PoP ]]&lt;250,1,WWWW[[#This Row],[Total PoP ]]/250),0)</f>
        <v>3</v>
      </c>
      <c r="BE32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0.24734982332155478</v>
      </c>
      <c r="BF323" s="779">
        <f>WWWW[[#This Row],[% people access to functioning Latrine]]*WWWW[[#This Row],[Total PoP ]]</f>
        <v>210</v>
      </c>
      <c r="BG323" s="781">
        <f>WWWW[[#This Row],['#_of_Functioning_latrines_in_school]]*50</f>
        <v>50</v>
      </c>
      <c r="BH323" s="781">
        <f>ROUND((WWWW[[#This Row],[Total PoP ]]/6),0)</f>
        <v>142</v>
      </c>
      <c r="BI323" s="781">
        <f>IF(WWWW[[#This Row],[Total required Latrines]]-(WWWW[[#This Row],['#_of_sanitary_fly-proof_HH_latrines]])&lt;0,0,WWWW[[#This Row],[Total required Latrines]]-(WWWW[[#This Row],['#_of_sanitary_fly-proof_HH_latrines]]))</f>
        <v>107</v>
      </c>
      <c r="BJ323" s="778">
        <f>1-WWWW[[#This Row],[% people access to functioning Latrine]]</f>
        <v>0.75265017667844525</v>
      </c>
      <c r="BK32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23" s="772">
        <f>IF(WWWW[[#This Row],['#_of_functional_handwashing_facilities_at_HH_level]]*6&gt;WWWW[[#This Row],[Total PoP ]],WWWW[[#This Row],[Total PoP ]],WWWW[[#This Row],['#_of_functional_handwashing_facilities_at_HH_level]]*6)</f>
        <v>72</v>
      </c>
      <c r="BM323" s="781">
        <f>IF(WWWW[[#This Row],['# people reached by regular dedicated hygiene promotion]]&gt;WWWW[[#This Row],['# People received regular supply of hygiene items]],WWWW[[#This Row],['# people reached by regular dedicated hygiene promotion]],WWWW[[#This Row],['# People received regular supply of hygiene items]])</f>
        <v>0</v>
      </c>
      <c r="BN323" s="780">
        <f>IF(WWWW[[#This Row],[HRP3]]/WWWW[[#This Row],[Total PoP ]]&gt;100%,100%,WWWW[[#This Row],[HRP3]]/WWWW[[#This Row],[Total PoP ]])</f>
        <v>0</v>
      </c>
      <c r="BO323" s="778">
        <f>1-WWWW[[#This Row],[Hygiene Coverage%]]</f>
        <v>1</v>
      </c>
      <c r="BP323" s="777">
        <f>WWWW[[#This Row],['# people reached by regular dedicated hygiene promotion]]/WWWW[[#This Row],[Total PoP ]]</f>
        <v>0</v>
      </c>
      <c r="BQ32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23" s="770">
        <f>WWWW[[#This Row],['#_of_affected_women_and_girls_receiving_a_sufficient_quantity_of_sanitary_pads]]</f>
        <v>0</v>
      </c>
      <c r="BS323" s="773">
        <f>IF(WWWW[[#This Row],['# People with access to soap]]&gt;WWWW[[#This Row],['# People with access to Sanity Pads]],WWWW[[#This Row],['# People with access to soap]],WWWW[[#This Row],['# People with access to Sanity Pads]])</f>
        <v>0</v>
      </c>
      <c r="BT323" s="772" t="str">
        <f>IF(OR(WWWW[[#This Row],['#of students in school]]="",WWWW[[#This Row],['#of students in school]]=0),"No","Yes")</f>
        <v>Yes</v>
      </c>
      <c r="BU323" s="782" t="str">
        <f>VLOOKUP(WWWW[[#This Row],[Village  Name]],SiteDB6[[Site Name]:[Location Type 1]],9,FALSE)</f>
        <v>Village</v>
      </c>
      <c r="BV323" s="782" t="str">
        <f>VLOOKUP(WWWW[[#This Row],[Village  Name]],SiteDB6[[Site Name]:[Type of Accommodation]],10,FALSE)</f>
        <v>Village</v>
      </c>
      <c r="BW323" s="782">
        <f>VLOOKUP(WWWW[[#This Row],[Village  Name]],SiteDB6[[Site Name]:[Ethnic or GCA/NGCA]],11,FALSE)</f>
        <v>0</v>
      </c>
      <c r="BX323" s="782">
        <f>VLOOKUP(WWWW[[#This Row],[Village  Name]],SiteDB6[[Site Name]:[Lat]],12,FALSE)</f>
        <v>92.998542785644503</v>
      </c>
      <c r="BY323" s="782">
        <f>VLOOKUP(WWWW[[#This Row],[Village  Name]],SiteDB6[[Site Name]:[Long]],13,FALSE)</f>
        <v>20.6563606262207</v>
      </c>
      <c r="BZ323" s="782">
        <f>VLOOKUP(WWWW[[#This Row],[Village  Name]],SiteDB6[[Site Name]:[Pcode]],3,FALSE)</f>
        <v>196940</v>
      </c>
      <c r="CA323" s="782" t="str">
        <f t="shared" si="20"/>
        <v>Covered</v>
      </c>
      <c r="CB323" s="783"/>
    </row>
    <row r="324" spans="1:80">
      <c r="A324" s="774" t="s">
        <v>3199</v>
      </c>
      <c r="B324" s="727" t="s">
        <v>318</v>
      </c>
      <c r="C324" s="728" t="s">
        <v>318</v>
      </c>
      <c r="D324" s="728" t="s">
        <v>334</v>
      </c>
      <c r="E324" s="728" t="s">
        <v>2648</v>
      </c>
      <c r="F324" s="728" t="s">
        <v>302</v>
      </c>
      <c r="G324" s="644" t="str">
        <f>VLOOKUP(WWWW[[#This Row],[Village  Name]],SiteDB6[[Site Name]:[Location Type]],8,FALSE)</f>
        <v>Village</v>
      </c>
      <c r="H324" s="728" t="s">
        <v>3157</v>
      </c>
      <c r="I324" s="775">
        <v>176</v>
      </c>
      <c r="J324" s="775">
        <v>880</v>
      </c>
      <c r="K324" s="784">
        <v>43647</v>
      </c>
      <c r="L324" s="785">
        <v>44043</v>
      </c>
      <c r="M324" s="775">
        <v>105</v>
      </c>
      <c r="N324" s="775"/>
      <c r="O324" s="773"/>
      <c r="P324" s="775"/>
      <c r="Q324" s="775"/>
      <c r="R324" s="775"/>
      <c r="S324" s="775">
        <v>3</v>
      </c>
      <c r="T324" s="775"/>
      <c r="U324" s="776"/>
      <c r="V324" s="775">
        <v>50</v>
      </c>
      <c r="W324" s="775" t="s">
        <v>130</v>
      </c>
      <c r="X324" s="775">
        <v>1</v>
      </c>
      <c r="Y324" s="775">
        <v>2</v>
      </c>
      <c r="Z324" s="775"/>
      <c r="AA324" s="775"/>
      <c r="AB324" s="775"/>
      <c r="AC324" s="776"/>
      <c r="AD324" s="775"/>
      <c r="AE324" s="775"/>
      <c r="AF324" s="775"/>
      <c r="AG324" s="775"/>
      <c r="AH324" s="775"/>
      <c r="AI324" s="775"/>
      <c r="AJ324" s="773">
        <v>12</v>
      </c>
      <c r="AK324" s="775"/>
      <c r="AL324" s="773"/>
      <c r="AM324" s="773"/>
      <c r="AN324" s="776"/>
      <c r="AO324" s="769"/>
      <c r="AP324" s="769"/>
      <c r="AQ324" s="773"/>
      <c r="AR324" s="773"/>
      <c r="AS324" s="773"/>
      <c r="AT32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24" s="779">
        <f>WWWW[[#This Row],[%Equitable and continuous access to sufficient quantity of safe drinking water]]*WWWW[[#This Row],[Total PoP ]]</f>
        <v>0</v>
      </c>
      <c r="AV32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3.4090909090909089E-3</v>
      </c>
      <c r="AW324" s="779">
        <f>WWWW[[#This Row],[% Access to unimproved water points]]*WWWW[[#This Row],[Total PoP ]]</f>
        <v>3</v>
      </c>
      <c r="AX32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3.4090909090909089E-3</v>
      </c>
      <c r="AY32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v>
      </c>
      <c r="AZ324" s="779">
        <f>WWWW[[#This Row],[HRP1]]/250</f>
        <v>1.2E-2</v>
      </c>
      <c r="BA324" s="780">
        <f>1-WWWW[[#This Row],[% Equitable and continuous access to sufficient quantity of domestic water]]</f>
        <v>0.99659090909090908</v>
      </c>
      <c r="BB324" s="779">
        <f>WWWW[[#This Row],[%equitable and continuous access to sufficient quantity of safe drinking and domestic water''s GAP]]*WWWW[[#This Row],[Total PoP ]]</f>
        <v>877</v>
      </c>
      <c r="BC324" s="781">
        <f>IF(WWWW[[#This Row],[Total required water points]]-WWWW[[#This Row],['#Water points coverage]]&lt;0,0,WWWW[[#This Row],[Total required water points]]-WWWW[[#This Row],['#Water points coverage]])</f>
        <v>3.988</v>
      </c>
      <c r="BD324" s="781">
        <f>ROUND(IF(WWWW[[#This Row],[Total PoP ]]&lt;250,1,WWWW[[#This Row],[Total PoP ]]/250),0)</f>
        <v>4</v>
      </c>
      <c r="BE32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0.34090909090909088</v>
      </c>
      <c r="BF324" s="779">
        <f>WWWW[[#This Row],[% people access to functioning Latrine]]*WWWW[[#This Row],[Total PoP ]]</f>
        <v>300</v>
      </c>
      <c r="BG324" s="781">
        <f>WWWW[[#This Row],['#_of_Functioning_latrines_in_school]]*50</f>
        <v>50</v>
      </c>
      <c r="BH324" s="781">
        <f>ROUND((WWWW[[#This Row],[Total PoP ]]/6),0)</f>
        <v>147</v>
      </c>
      <c r="BI324" s="781">
        <f>IF(WWWW[[#This Row],[Total required Latrines]]-(WWWW[[#This Row],['#_of_sanitary_fly-proof_HH_latrines]])&lt;0,0,WWWW[[#This Row],[Total required Latrines]]-(WWWW[[#This Row],['#_of_sanitary_fly-proof_HH_latrines]]))</f>
        <v>97</v>
      </c>
      <c r="BJ324" s="778">
        <f>1-WWWW[[#This Row],[% people access to functioning Latrine]]</f>
        <v>0.65909090909090917</v>
      </c>
      <c r="BK32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24" s="772">
        <f>IF(WWWW[[#This Row],['#_of_functional_handwashing_facilities_at_HH_level]]*6&gt;WWWW[[#This Row],[Total PoP ]],WWWW[[#This Row],[Total PoP ]],WWWW[[#This Row],['#_of_functional_handwashing_facilities_at_HH_level]]*6)</f>
        <v>72</v>
      </c>
      <c r="BM324" s="781">
        <f>IF(WWWW[[#This Row],['# people reached by regular dedicated hygiene promotion]]&gt;WWWW[[#This Row],['# People received regular supply of hygiene items]],WWWW[[#This Row],['# people reached by regular dedicated hygiene promotion]],WWWW[[#This Row],['# People received regular supply of hygiene items]])</f>
        <v>0</v>
      </c>
      <c r="BN324" s="780">
        <f>IF(WWWW[[#This Row],[HRP3]]/WWWW[[#This Row],[Total PoP ]]&gt;100%,100%,WWWW[[#This Row],[HRP3]]/WWWW[[#This Row],[Total PoP ]])</f>
        <v>0</v>
      </c>
      <c r="BO324" s="778">
        <f>1-WWWW[[#This Row],[Hygiene Coverage%]]</f>
        <v>1</v>
      </c>
      <c r="BP324" s="777">
        <f>WWWW[[#This Row],['# people reached by regular dedicated hygiene promotion]]/WWWW[[#This Row],[Total PoP ]]</f>
        <v>0</v>
      </c>
      <c r="BQ32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24" s="770">
        <f>WWWW[[#This Row],['#_of_affected_women_and_girls_receiving_a_sufficient_quantity_of_sanitary_pads]]</f>
        <v>0</v>
      </c>
      <c r="BS324" s="773">
        <f>IF(WWWW[[#This Row],['# People with access to soap]]&gt;WWWW[[#This Row],['# People with access to Sanity Pads]],WWWW[[#This Row],['# People with access to soap]],WWWW[[#This Row],['# People with access to Sanity Pads]])</f>
        <v>0</v>
      </c>
      <c r="BT324" s="772" t="str">
        <f>IF(OR(WWWW[[#This Row],['#of students in school]]="",WWWW[[#This Row],['#of students in school]]=0),"No","Yes")</f>
        <v>Yes</v>
      </c>
      <c r="BU324" s="782" t="str">
        <f>VLOOKUP(WWWW[[#This Row],[Village  Name]],SiteDB6[[Site Name]:[Location Type 1]],9,FALSE)</f>
        <v>Village</v>
      </c>
      <c r="BV324" s="782" t="str">
        <f>VLOOKUP(WWWW[[#This Row],[Village  Name]],SiteDB6[[Site Name]:[Type of Accommodation]],10,FALSE)</f>
        <v>Village</v>
      </c>
      <c r="BW324" s="782">
        <f>VLOOKUP(WWWW[[#This Row],[Village  Name]],SiteDB6[[Site Name]:[Ethnic or GCA/NGCA]],11,FALSE)</f>
        <v>0</v>
      </c>
      <c r="BX324" s="782">
        <f>VLOOKUP(WWWW[[#This Row],[Village  Name]],SiteDB6[[Site Name]:[Lat]],12,FALSE)</f>
        <v>92.983703613281307</v>
      </c>
      <c r="BY324" s="782">
        <f>VLOOKUP(WWWW[[#This Row],[Village  Name]],SiteDB6[[Site Name]:[Long]],13,FALSE)</f>
        <v>20.776130676269499</v>
      </c>
      <c r="BZ324" s="782">
        <f>VLOOKUP(WWWW[[#This Row],[Village  Name]],SiteDB6[[Site Name]:[Pcode]],3,FALSE)</f>
        <v>196962</v>
      </c>
      <c r="CA324" s="782" t="str">
        <f t="shared" si="20"/>
        <v>Covered</v>
      </c>
      <c r="CB324" s="783"/>
    </row>
    <row r="325" spans="1:80">
      <c r="A325" s="774" t="s">
        <v>3199</v>
      </c>
      <c r="B325" s="727" t="s">
        <v>318</v>
      </c>
      <c r="C325" s="728" t="s">
        <v>318</v>
      </c>
      <c r="D325" s="728" t="s">
        <v>334</v>
      </c>
      <c r="E325" s="728" t="s">
        <v>2648</v>
      </c>
      <c r="F325" s="728" t="s">
        <v>302</v>
      </c>
      <c r="G325" s="644" t="str">
        <f>VLOOKUP(WWWW[[#This Row],[Village  Name]],SiteDB6[[Site Name]:[Location Type]],8,FALSE)</f>
        <v>Village</v>
      </c>
      <c r="H325" s="728" t="s">
        <v>3167</v>
      </c>
      <c r="I325" s="775">
        <v>29</v>
      </c>
      <c r="J325" s="775">
        <v>137</v>
      </c>
      <c r="K325" s="784">
        <v>43647</v>
      </c>
      <c r="L325" s="785">
        <v>44043</v>
      </c>
      <c r="M325" s="775">
        <v>30</v>
      </c>
      <c r="N325" s="775"/>
      <c r="O325" s="773"/>
      <c r="P325" s="775"/>
      <c r="Q325" s="775">
        <v>2</v>
      </c>
      <c r="R325" s="775"/>
      <c r="S325" s="775">
        <v>2</v>
      </c>
      <c r="T325" s="775"/>
      <c r="U325" s="776"/>
      <c r="V325" s="775">
        <v>15</v>
      </c>
      <c r="W325" s="775" t="s">
        <v>130</v>
      </c>
      <c r="X325" s="775"/>
      <c r="Y325" s="775"/>
      <c r="Z325" s="775"/>
      <c r="AA325" s="775"/>
      <c r="AB325" s="775"/>
      <c r="AC325" s="776"/>
      <c r="AD325" s="775"/>
      <c r="AE325" s="775"/>
      <c r="AF325" s="775"/>
      <c r="AG325" s="775"/>
      <c r="AH325" s="775"/>
      <c r="AI325" s="775"/>
      <c r="AJ325" s="773">
        <v>12</v>
      </c>
      <c r="AK325" s="775"/>
      <c r="AL325" s="773"/>
      <c r="AM325" s="773"/>
      <c r="AN325" s="776"/>
      <c r="AO325" s="769"/>
      <c r="AP325" s="769"/>
      <c r="AQ325" s="773"/>
      <c r="AR325" s="773"/>
      <c r="AS325" s="773"/>
      <c r="AT32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25" s="779">
        <f>WWWW[[#This Row],[%Equitable and continuous access to sufficient quantity of safe drinking water]]*WWWW[[#This Row],[Total PoP ]]</f>
        <v>0</v>
      </c>
      <c r="AV32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25" s="779">
        <f>WWWW[[#This Row],[% Access to unimproved water points]]*WWWW[[#This Row],[Total PoP ]]</f>
        <v>137</v>
      </c>
      <c r="AX32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2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137</v>
      </c>
      <c r="AZ325" s="779">
        <f>WWWW[[#This Row],[HRP1]]/250</f>
        <v>0.54800000000000004</v>
      </c>
      <c r="BA325" s="780">
        <f>1-WWWW[[#This Row],[% Equitable and continuous access to sufficient quantity of domestic water]]</f>
        <v>0</v>
      </c>
      <c r="BB325" s="779">
        <f>WWWW[[#This Row],[%equitable and continuous access to sufficient quantity of safe drinking and domestic water''s GAP]]*WWWW[[#This Row],[Total PoP ]]</f>
        <v>0</v>
      </c>
      <c r="BC325" s="781">
        <f>IF(WWWW[[#This Row],[Total required water points]]-WWWW[[#This Row],['#Water points coverage]]&lt;0,0,WWWW[[#This Row],[Total required water points]]-WWWW[[#This Row],['#Water points coverage]])</f>
        <v>0.45199999999999996</v>
      </c>
      <c r="BD325" s="781">
        <f>ROUND(IF(WWWW[[#This Row],[Total PoP ]]&lt;250,1,WWWW[[#This Row],[Total PoP ]]/250),0)</f>
        <v>1</v>
      </c>
      <c r="BE32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0.65693430656934304</v>
      </c>
      <c r="BF325" s="779">
        <f>WWWW[[#This Row],[% people access to functioning Latrine]]*WWWW[[#This Row],[Total PoP ]]</f>
        <v>90</v>
      </c>
      <c r="BG325" s="781">
        <f>WWWW[[#This Row],['#_of_Functioning_latrines_in_school]]*50</f>
        <v>0</v>
      </c>
      <c r="BH325" s="781">
        <f>ROUND((WWWW[[#This Row],[Total PoP ]]/6),0)</f>
        <v>23</v>
      </c>
      <c r="BI325" s="781">
        <f>IF(WWWW[[#This Row],[Total required Latrines]]-(WWWW[[#This Row],['#_of_sanitary_fly-proof_HH_latrines]])&lt;0,0,WWWW[[#This Row],[Total required Latrines]]-(WWWW[[#This Row],['#_of_sanitary_fly-proof_HH_latrines]]))</f>
        <v>8</v>
      </c>
      <c r="BJ325" s="778">
        <f>1-WWWW[[#This Row],[% people access to functioning Latrine]]</f>
        <v>0.34306569343065696</v>
      </c>
      <c r="BK32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25" s="772">
        <f>IF(WWWW[[#This Row],['#_of_functional_handwashing_facilities_at_HH_level]]*6&gt;WWWW[[#This Row],[Total PoP ]],WWWW[[#This Row],[Total PoP ]],WWWW[[#This Row],['#_of_functional_handwashing_facilities_at_HH_level]]*6)</f>
        <v>72</v>
      </c>
      <c r="BM325" s="781">
        <f>IF(WWWW[[#This Row],['# people reached by regular dedicated hygiene promotion]]&gt;WWWW[[#This Row],['# People received regular supply of hygiene items]],WWWW[[#This Row],['# people reached by regular dedicated hygiene promotion]],WWWW[[#This Row],['# People received regular supply of hygiene items]])</f>
        <v>0</v>
      </c>
      <c r="BN325" s="780">
        <f>IF(WWWW[[#This Row],[HRP3]]/WWWW[[#This Row],[Total PoP ]]&gt;100%,100%,WWWW[[#This Row],[HRP3]]/WWWW[[#This Row],[Total PoP ]])</f>
        <v>0</v>
      </c>
      <c r="BO325" s="778">
        <f>1-WWWW[[#This Row],[Hygiene Coverage%]]</f>
        <v>1</v>
      </c>
      <c r="BP325" s="777">
        <f>WWWW[[#This Row],['# people reached by regular dedicated hygiene promotion]]/WWWW[[#This Row],[Total PoP ]]</f>
        <v>0</v>
      </c>
      <c r="BQ32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25" s="770">
        <f>WWWW[[#This Row],['#_of_affected_women_and_girls_receiving_a_sufficient_quantity_of_sanitary_pads]]</f>
        <v>0</v>
      </c>
      <c r="BS325" s="773">
        <f>IF(WWWW[[#This Row],['# People with access to soap]]&gt;WWWW[[#This Row],['# People with access to Sanity Pads]],WWWW[[#This Row],['# People with access to soap]],WWWW[[#This Row],['# People with access to Sanity Pads]])</f>
        <v>0</v>
      </c>
      <c r="BT325" s="772" t="str">
        <f>IF(OR(WWWW[[#This Row],['#of students in school]]="",WWWW[[#This Row],['#of students in school]]=0),"No","Yes")</f>
        <v>Yes</v>
      </c>
      <c r="BU325" s="782" t="str">
        <f>VLOOKUP(WWWW[[#This Row],[Village  Name]],SiteDB6[[Site Name]:[Location Type 1]],9,FALSE)</f>
        <v>Village</v>
      </c>
      <c r="BV325" s="782" t="str">
        <f>VLOOKUP(WWWW[[#This Row],[Village  Name]],SiteDB6[[Site Name]:[Type of Accommodation]],10,FALSE)</f>
        <v>Village</v>
      </c>
      <c r="BW325" s="782">
        <f>VLOOKUP(WWWW[[#This Row],[Village  Name]],SiteDB6[[Site Name]:[Ethnic or GCA/NGCA]],11,FALSE)</f>
        <v>0</v>
      </c>
      <c r="BX325" s="782">
        <f>VLOOKUP(WWWW[[#This Row],[Village  Name]],SiteDB6[[Site Name]:[Lat]],12,FALSE)</f>
        <v>92.929412841796903</v>
      </c>
      <c r="BY325" s="782">
        <f>VLOOKUP(WWWW[[#This Row],[Village  Name]],SiteDB6[[Site Name]:[Long]],13,FALSE)</f>
        <v>20.642980575561499</v>
      </c>
      <c r="BZ325" s="782">
        <f>VLOOKUP(WWWW[[#This Row],[Village  Name]],SiteDB6[[Site Name]:[Pcode]],3,FALSE)</f>
        <v>196919</v>
      </c>
      <c r="CA325" s="782" t="str">
        <f t="shared" si="20"/>
        <v>Covered</v>
      </c>
      <c r="CB325" s="783"/>
    </row>
    <row r="326" spans="1:80">
      <c r="A326" s="774" t="s">
        <v>3199</v>
      </c>
      <c r="B326" s="727" t="s">
        <v>318</v>
      </c>
      <c r="C326" s="728" t="s">
        <v>318</v>
      </c>
      <c r="D326" s="728" t="s">
        <v>334</v>
      </c>
      <c r="E326" s="728" t="s">
        <v>2648</v>
      </c>
      <c r="F326" s="728" t="s">
        <v>302</v>
      </c>
      <c r="G326" s="644" t="str">
        <f>VLOOKUP(WWWW[[#This Row],[Village  Name]],SiteDB6[[Site Name]:[Location Type]],8,FALSE)</f>
        <v>Village</v>
      </c>
      <c r="H326" s="728" t="s">
        <v>552</v>
      </c>
      <c r="I326" s="775">
        <v>361</v>
      </c>
      <c r="J326" s="775">
        <v>1669</v>
      </c>
      <c r="K326" s="784">
        <v>43647</v>
      </c>
      <c r="L326" s="785">
        <v>44043</v>
      </c>
      <c r="M326" s="775">
        <v>512</v>
      </c>
      <c r="N326" s="775"/>
      <c r="O326" s="773"/>
      <c r="P326" s="775"/>
      <c r="Q326" s="775">
        <v>4</v>
      </c>
      <c r="R326" s="775"/>
      <c r="S326" s="775">
        <v>5</v>
      </c>
      <c r="T326" s="775">
        <v>1</v>
      </c>
      <c r="U326" s="776"/>
      <c r="V326" s="775">
        <v>210</v>
      </c>
      <c r="W326" s="775" t="s">
        <v>130</v>
      </c>
      <c r="X326" s="775">
        <v>4</v>
      </c>
      <c r="Y326" s="775">
        <v>6</v>
      </c>
      <c r="Z326" s="775"/>
      <c r="AA326" s="775">
        <v>1</v>
      </c>
      <c r="AB326" s="775"/>
      <c r="AC326" s="776"/>
      <c r="AD326" s="775"/>
      <c r="AE326" s="775"/>
      <c r="AF326" s="775"/>
      <c r="AG326" s="775"/>
      <c r="AH326" s="775"/>
      <c r="AI326" s="775"/>
      <c r="AJ326" s="773">
        <v>12</v>
      </c>
      <c r="AK326" s="775"/>
      <c r="AL326" s="773"/>
      <c r="AM326" s="773"/>
      <c r="AN326" s="776"/>
      <c r="AO326" s="769"/>
      <c r="AP326" s="769"/>
      <c r="AQ326" s="773"/>
      <c r="AR326" s="773"/>
      <c r="AS326" s="773"/>
      <c r="AT32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0.14979029358897544</v>
      </c>
      <c r="AU326" s="779">
        <f>WWWW[[#This Row],[%Equitable and continuous access to sufficient quantity of safe drinking water]]*WWWW[[#This Row],[Total PoP ]]</f>
        <v>250</v>
      </c>
      <c r="AV32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26" s="779">
        <f>WWWW[[#This Row],[% Access to unimproved water points]]*WWWW[[#This Row],[Total PoP ]]</f>
        <v>1669</v>
      </c>
      <c r="AX32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2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1669</v>
      </c>
      <c r="AZ326" s="779">
        <f>WWWW[[#This Row],[HRP1]]/250</f>
        <v>6.6760000000000002</v>
      </c>
      <c r="BA326" s="780">
        <f>1-WWWW[[#This Row],[% Equitable and continuous access to sufficient quantity of domestic water]]</f>
        <v>0</v>
      </c>
      <c r="BB326" s="779">
        <f>WWWW[[#This Row],[%equitable and continuous access to sufficient quantity of safe drinking and domestic water''s GAP]]*WWWW[[#This Row],[Total PoP ]]</f>
        <v>0</v>
      </c>
      <c r="BC326" s="781">
        <f>IF(WWWW[[#This Row],[Total required water points]]-WWWW[[#This Row],['#Water points coverage]]&lt;0,0,WWWW[[#This Row],[Total required water points]]-WWWW[[#This Row],['#Water points coverage]])</f>
        <v>0.32399999999999984</v>
      </c>
      <c r="BD326" s="781">
        <f>ROUND(IF(WWWW[[#This Row],[Total PoP ]]&lt;250,1,WWWW[[#This Row],[Total PoP ]]/250),0)</f>
        <v>7</v>
      </c>
      <c r="BE32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0.75494307968843621</v>
      </c>
      <c r="BF326" s="779">
        <f>WWWW[[#This Row],[% people access to functioning Latrine]]*WWWW[[#This Row],[Total PoP ]]</f>
        <v>1260</v>
      </c>
      <c r="BG326" s="781">
        <f>WWWW[[#This Row],['#_of_Functioning_latrines_in_school]]*50</f>
        <v>200</v>
      </c>
      <c r="BH326" s="781">
        <f>ROUND((WWWW[[#This Row],[Total PoP ]]/6),0)</f>
        <v>278</v>
      </c>
      <c r="BI326" s="781">
        <f>IF(WWWW[[#This Row],[Total required Latrines]]-(WWWW[[#This Row],['#_of_sanitary_fly-proof_HH_latrines]])&lt;0,0,WWWW[[#This Row],[Total required Latrines]]-(WWWW[[#This Row],['#_of_sanitary_fly-proof_HH_latrines]]))</f>
        <v>68</v>
      </c>
      <c r="BJ326" s="778">
        <f>1-WWWW[[#This Row],[% people access to functioning Latrine]]</f>
        <v>0.24505692031156379</v>
      </c>
      <c r="BK32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26" s="772">
        <f>IF(WWWW[[#This Row],['#_of_functional_handwashing_facilities_at_HH_level]]*6&gt;WWWW[[#This Row],[Total PoP ]],WWWW[[#This Row],[Total PoP ]],WWWW[[#This Row],['#_of_functional_handwashing_facilities_at_HH_level]]*6)</f>
        <v>72</v>
      </c>
      <c r="BM326" s="781">
        <f>IF(WWWW[[#This Row],['# people reached by regular dedicated hygiene promotion]]&gt;WWWW[[#This Row],['# People received regular supply of hygiene items]],WWWW[[#This Row],['# people reached by regular dedicated hygiene promotion]],WWWW[[#This Row],['# People received regular supply of hygiene items]])</f>
        <v>0</v>
      </c>
      <c r="BN326" s="780">
        <f>IF(WWWW[[#This Row],[HRP3]]/WWWW[[#This Row],[Total PoP ]]&gt;100%,100%,WWWW[[#This Row],[HRP3]]/WWWW[[#This Row],[Total PoP ]])</f>
        <v>0</v>
      </c>
      <c r="BO326" s="778">
        <f>1-WWWW[[#This Row],[Hygiene Coverage%]]</f>
        <v>1</v>
      </c>
      <c r="BP326" s="777">
        <f>WWWW[[#This Row],['# people reached by regular dedicated hygiene promotion]]/WWWW[[#This Row],[Total PoP ]]</f>
        <v>0</v>
      </c>
      <c r="BQ32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26" s="770">
        <f>WWWW[[#This Row],['#_of_affected_women_and_girls_receiving_a_sufficient_quantity_of_sanitary_pads]]</f>
        <v>0</v>
      </c>
      <c r="BS326" s="773">
        <f>IF(WWWW[[#This Row],['# People with access to soap]]&gt;WWWW[[#This Row],['# People with access to Sanity Pads]],WWWW[[#This Row],['# People with access to soap]],WWWW[[#This Row],['# People with access to Sanity Pads]])</f>
        <v>0</v>
      </c>
      <c r="BT326" s="772" t="str">
        <f>IF(OR(WWWW[[#This Row],['#of students in school]]="",WWWW[[#This Row],['#of students in school]]=0),"No","Yes")</f>
        <v>Yes</v>
      </c>
      <c r="BU326" s="782" t="str">
        <f>VLOOKUP(WWWW[[#This Row],[Village  Name]],SiteDB6[[Site Name]:[Location Type 1]],9,FALSE)</f>
        <v>Village</v>
      </c>
      <c r="BV326" s="782" t="str">
        <f>VLOOKUP(WWWW[[#This Row],[Village  Name]],SiteDB6[[Site Name]:[Type of Accommodation]],10,FALSE)</f>
        <v>Village</v>
      </c>
      <c r="BW326" s="782" t="str">
        <f>VLOOKUP(WWWW[[#This Row],[Village  Name]],SiteDB6[[Site Name]:[Ethnic or GCA/NGCA]],11,FALSE)</f>
        <v>Rakhine</v>
      </c>
      <c r="BX326" s="782">
        <f>VLOOKUP(WWWW[[#This Row],[Village  Name]],SiteDB6[[Site Name]:[Lat]],12,FALSE)</f>
        <v>20.705930710000001</v>
      </c>
      <c r="BY326" s="782">
        <f>VLOOKUP(WWWW[[#This Row],[Village  Name]],SiteDB6[[Site Name]:[Long]],13,FALSE)</f>
        <v>93.001953130000004</v>
      </c>
      <c r="BZ326" s="782">
        <f>VLOOKUP(WWWW[[#This Row],[Village  Name]],SiteDB6[[Site Name]:[Pcode]],3,FALSE)</f>
        <v>196943</v>
      </c>
      <c r="CA326" s="782" t="str">
        <f t="shared" si="20"/>
        <v>Covered</v>
      </c>
      <c r="CB326" s="783"/>
    </row>
    <row r="327" spans="1:80">
      <c r="A327" s="774" t="s">
        <v>3199</v>
      </c>
      <c r="B327" s="727" t="s">
        <v>318</v>
      </c>
      <c r="C327" s="728" t="s">
        <v>318</v>
      </c>
      <c r="D327" s="728" t="s">
        <v>334</v>
      </c>
      <c r="E327" s="728" t="s">
        <v>2648</v>
      </c>
      <c r="F327" s="728" t="s">
        <v>302</v>
      </c>
      <c r="G327" s="644" t="str">
        <f>VLOOKUP(WWWW[[#This Row],[Village  Name]],SiteDB6[[Site Name]:[Location Type]],8,FALSE)</f>
        <v>Village</v>
      </c>
      <c r="H327" s="728" t="s">
        <v>2280</v>
      </c>
      <c r="I327" s="775">
        <v>86</v>
      </c>
      <c r="J327" s="775">
        <v>404</v>
      </c>
      <c r="K327" s="784">
        <v>43647</v>
      </c>
      <c r="L327" s="785">
        <v>44043</v>
      </c>
      <c r="M327" s="775">
        <v>55</v>
      </c>
      <c r="N327" s="775"/>
      <c r="O327" s="773"/>
      <c r="P327" s="775"/>
      <c r="Q327" s="775">
        <v>3</v>
      </c>
      <c r="R327" s="775"/>
      <c r="S327" s="775"/>
      <c r="T327" s="775"/>
      <c r="U327" s="776"/>
      <c r="V327" s="775">
        <v>35</v>
      </c>
      <c r="W327" s="775" t="s">
        <v>130</v>
      </c>
      <c r="X327" s="775">
        <v>2</v>
      </c>
      <c r="Y327" s="775">
        <v>4</v>
      </c>
      <c r="Z327" s="775"/>
      <c r="AA327" s="775"/>
      <c r="AB327" s="775"/>
      <c r="AC327" s="776"/>
      <c r="AD327" s="775"/>
      <c r="AE327" s="775"/>
      <c r="AF327" s="775"/>
      <c r="AG327" s="775"/>
      <c r="AH327" s="775"/>
      <c r="AI327" s="775"/>
      <c r="AJ327" s="773">
        <v>9</v>
      </c>
      <c r="AK327" s="775"/>
      <c r="AL327" s="773"/>
      <c r="AM327" s="773"/>
      <c r="AN327" s="776"/>
      <c r="AO327" s="769"/>
      <c r="AP327" s="769"/>
      <c r="AQ327" s="773"/>
      <c r="AR327" s="773"/>
      <c r="AS327" s="773"/>
      <c r="AT32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27" s="779">
        <f>WWWW[[#This Row],[%Equitable and continuous access to sufficient quantity of safe drinking water]]*WWWW[[#This Row],[Total PoP ]]</f>
        <v>0</v>
      </c>
      <c r="AV32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27" s="779">
        <f>WWWW[[#This Row],[% Access to unimproved water points]]*WWWW[[#This Row],[Total PoP ]]</f>
        <v>404</v>
      </c>
      <c r="AX32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2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404</v>
      </c>
      <c r="AZ327" s="779">
        <f>WWWW[[#This Row],[HRP1]]/250</f>
        <v>1.6160000000000001</v>
      </c>
      <c r="BA327" s="780">
        <f>1-WWWW[[#This Row],[% Equitable and continuous access to sufficient quantity of domestic water]]</f>
        <v>0</v>
      </c>
      <c r="BB327" s="779">
        <f>WWWW[[#This Row],[%equitable and continuous access to sufficient quantity of safe drinking and domestic water''s GAP]]*WWWW[[#This Row],[Total PoP ]]</f>
        <v>0</v>
      </c>
      <c r="BC327" s="781">
        <f>IF(WWWW[[#This Row],[Total required water points]]-WWWW[[#This Row],['#Water points coverage]]&lt;0,0,WWWW[[#This Row],[Total required water points]]-WWWW[[#This Row],['#Water points coverage]])</f>
        <v>0.3839999999999999</v>
      </c>
      <c r="BD327" s="781">
        <f>ROUND(IF(WWWW[[#This Row],[Total PoP ]]&lt;250,1,WWWW[[#This Row],[Total PoP ]]/250),0)</f>
        <v>2</v>
      </c>
      <c r="BE32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0.51980198019801982</v>
      </c>
      <c r="BF327" s="779">
        <f>WWWW[[#This Row],[% people access to functioning Latrine]]*WWWW[[#This Row],[Total PoP ]]</f>
        <v>210</v>
      </c>
      <c r="BG327" s="781">
        <f>WWWW[[#This Row],['#_of_Functioning_latrines_in_school]]*50</f>
        <v>100</v>
      </c>
      <c r="BH327" s="781">
        <f>ROUND((WWWW[[#This Row],[Total PoP ]]/6),0)</f>
        <v>67</v>
      </c>
      <c r="BI327" s="781">
        <f>IF(WWWW[[#This Row],[Total required Latrines]]-(WWWW[[#This Row],['#_of_sanitary_fly-proof_HH_latrines]])&lt;0,0,WWWW[[#This Row],[Total required Latrines]]-(WWWW[[#This Row],['#_of_sanitary_fly-proof_HH_latrines]]))</f>
        <v>32</v>
      </c>
      <c r="BJ327" s="778">
        <f>1-WWWW[[#This Row],[% people access to functioning Latrine]]</f>
        <v>0.48019801980198018</v>
      </c>
      <c r="BK32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27" s="772">
        <f>IF(WWWW[[#This Row],['#_of_functional_handwashing_facilities_at_HH_level]]*6&gt;WWWW[[#This Row],[Total PoP ]],WWWW[[#This Row],[Total PoP ]],WWWW[[#This Row],['#_of_functional_handwashing_facilities_at_HH_level]]*6)</f>
        <v>54</v>
      </c>
      <c r="BM327" s="781">
        <f>IF(WWWW[[#This Row],['# people reached by regular dedicated hygiene promotion]]&gt;WWWW[[#This Row],['# People received regular supply of hygiene items]],WWWW[[#This Row],['# people reached by regular dedicated hygiene promotion]],WWWW[[#This Row],['# People received regular supply of hygiene items]])</f>
        <v>0</v>
      </c>
      <c r="BN327" s="780">
        <f>IF(WWWW[[#This Row],[HRP3]]/WWWW[[#This Row],[Total PoP ]]&gt;100%,100%,WWWW[[#This Row],[HRP3]]/WWWW[[#This Row],[Total PoP ]])</f>
        <v>0</v>
      </c>
      <c r="BO327" s="778">
        <f>1-WWWW[[#This Row],[Hygiene Coverage%]]</f>
        <v>1</v>
      </c>
      <c r="BP327" s="777">
        <f>WWWW[[#This Row],['# people reached by regular dedicated hygiene promotion]]/WWWW[[#This Row],[Total PoP ]]</f>
        <v>0</v>
      </c>
      <c r="BQ32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27" s="770">
        <f>WWWW[[#This Row],['#_of_affected_women_and_girls_receiving_a_sufficient_quantity_of_sanitary_pads]]</f>
        <v>0</v>
      </c>
      <c r="BS327" s="773">
        <f>IF(WWWW[[#This Row],['# People with access to soap]]&gt;WWWW[[#This Row],['# People with access to Sanity Pads]],WWWW[[#This Row],['# People with access to soap]],WWWW[[#This Row],['# People with access to Sanity Pads]])</f>
        <v>0</v>
      </c>
      <c r="BT327" s="772" t="str">
        <f>IF(OR(WWWW[[#This Row],['#of students in school]]="",WWWW[[#This Row],['#of students in school]]=0),"No","Yes")</f>
        <v>Yes</v>
      </c>
      <c r="BU327" s="782" t="str">
        <f>VLOOKUP(WWWW[[#This Row],[Village  Name]],SiteDB6[[Site Name]:[Location Type 1]],9,FALSE)</f>
        <v>Village</v>
      </c>
      <c r="BV327" s="782" t="str">
        <f>VLOOKUP(WWWW[[#This Row],[Village  Name]],SiteDB6[[Site Name]:[Type of Accommodation]],10,FALSE)</f>
        <v>Village</v>
      </c>
      <c r="BW327" s="782">
        <f>VLOOKUP(WWWW[[#This Row],[Village  Name]],SiteDB6[[Site Name]:[Ethnic or GCA/NGCA]],11,FALSE)</f>
        <v>0</v>
      </c>
      <c r="BX327" s="782">
        <f>VLOOKUP(WWWW[[#This Row],[Village  Name]],SiteDB6[[Site Name]:[Lat]],12,FALSE)</f>
        <v>20.640909189999999</v>
      </c>
      <c r="BY327" s="782">
        <f>VLOOKUP(WWWW[[#This Row],[Village  Name]],SiteDB6[[Site Name]:[Long]],13,FALSE)</f>
        <v>92.979751590000006</v>
      </c>
      <c r="BZ327" s="782">
        <f>VLOOKUP(WWWW[[#This Row],[Village  Name]],SiteDB6[[Site Name]:[Pcode]],3,FALSE)</f>
        <v>196938</v>
      </c>
      <c r="CA327" s="782" t="str">
        <f t="shared" si="20"/>
        <v>Covered</v>
      </c>
      <c r="CB327" s="783"/>
    </row>
    <row r="328" spans="1:80">
      <c r="A328" s="774" t="s">
        <v>3199</v>
      </c>
      <c r="B328" s="727" t="s">
        <v>318</v>
      </c>
      <c r="C328" s="728" t="s">
        <v>318</v>
      </c>
      <c r="D328" s="728" t="s">
        <v>334</v>
      </c>
      <c r="E328" s="728" t="s">
        <v>2648</v>
      </c>
      <c r="F328" s="728" t="s">
        <v>302</v>
      </c>
      <c r="G328" s="644" t="str">
        <f>VLOOKUP(WWWW[[#This Row],[Village  Name]],SiteDB6[[Site Name]:[Location Type]],8,FALSE)</f>
        <v>Village</v>
      </c>
      <c r="H328" s="728" t="s">
        <v>3169</v>
      </c>
      <c r="I328" s="775">
        <v>181</v>
      </c>
      <c r="J328" s="775">
        <v>833</v>
      </c>
      <c r="K328" s="784">
        <v>43647</v>
      </c>
      <c r="L328" s="785">
        <v>44043</v>
      </c>
      <c r="M328" s="775">
        <v>195</v>
      </c>
      <c r="N328" s="775"/>
      <c r="O328" s="773"/>
      <c r="P328" s="775"/>
      <c r="Q328" s="775"/>
      <c r="R328" s="775"/>
      <c r="S328" s="775">
        <v>4</v>
      </c>
      <c r="T328" s="775"/>
      <c r="U328" s="776"/>
      <c r="V328" s="775">
        <v>75</v>
      </c>
      <c r="W328" s="775" t="s">
        <v>130</v>
      </c>
      <c r="X328" s="775">
        <v>1</v>
      </c>
      <c r="Y328" s="775">
        <v>4</v>
      </c>
      <c r="Z328" s="775"/>
      <c r="AA328" s="775"/>
      <c r="AB328" s="775"/>
      <c r="AC328" s="776"/>
      <c r="AD328" s="775"/>
      <c r="AE328" s="775"/>
      <c r="AF328" s="775"/>
      <c r="AG328" s="775"/>
      <c r="AH328" s="775"/>
      <c r="AI328" s="775"/>
      <c r="AJ328" s="773">
        <v>11</v>
      </c>
      <c r="AK328" s="775"/>
      <c r="AL328" s="773"/>
      <c r="AM328" s="773"/>
      <c r="AN328" s="776"/>
      <c r="AO328" s="769"/>
      <c r="AP328" s="769"/>
      <c r="AQ328" s="773"/>
      <c r="AR328" s="773"/>
      <c r="AS328" s="773"/>
      <c r="AT32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28" s="779">
        <f>WWWW[[#This Row],[%Equitable and continuous access to sufficient quantity of safe drinking water]]*WWWW[[#This Row],[Total PoP ]]</f>
        <v>0</v>
      </c>
      <c r="AV32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4.8019207683073226E-3</v>
      </c>
      <c r="AW328" s="779">
        <f>WWWW[[#This Row],[% Access to unimproved water points]]*WWWW[[#This Row],[Total PoP ]]</f>
        <v>3.9999999999999996</v>
      </c>
      <c r="AX32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4.8019207683073226E-3</v>
      </c>
      <c r="AY32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3.9999999999999996</v>
      </c>
      <c r="AZ328" s="779">
        <f>WWWW[[#This Row],[HRP1]]/250</f>
        <v>1.5999999999999997E-2</v>
      </c>
      <c r="BA328" s="780">
        <f>1-WWWW[[#This Row],[% Equitable and continuous access to sufficient quantity of domestic water]]</f>
        <v>0.99519807923169268</v>
      </c>
      <c r="BB328" s="779">
        <f>WWWW[[#This Row],[%equitable and continuous access to sufficient quantity of safe drinking and domestic water''s GAP]]*WWWW[[#This Row],[Total PoP ]]</f>
        <v>829</v>
      </c>
      <c r="BC328" s="781">
        <f>IF(WWWW[[#This Row],[Total required water points]]-WWWW[[#This Row],['#Water points coverage]]&lt;0,0,WWWW[[#This Row],[Total required water points]]-WWWW[[#This Row],['#Water points coverage]])</f>
        <v>2.984</v>
      </c>
      <c r="BD328" s="781">
        <f>ROUND(IF(WWWW[[#This Row],[Total PoP ]]&lt;250,1,WWWW[[#This Row],[Total PoP ]]/250),0)</f>
        <v>3</v>
      </c>
      <c r="BE32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0.54021608643457386</v>
      </c>
      <c r="BF328" s="779">
        <f>WWWW[[#This Row],[% people access to functioning Latrine]]*WWWW[[#This Row],[Total PoP ]]</f>
        <v>450</v>
      </c>
      <c r="BG328" s="781">
        <f>WWWW[[#This Row],['#_of_Functioning_latrines_in_school]]*50</f>
        <v>50</v>
      </c>
      <c r="BH328" s="781">
        <f>ROUND((WWWW[[#This Row],[Total PoP ]]/6),0)</f>
        <v>139</v>
      </c>
      <c r="BI328" s="781">
        <f>IF(WWWW[[#This Row],[Total required Latrines]]-(WWWW[[#This Row],['#_of_sanitary_fly-proof_HH_latrines]])&lt;0,0,WWWW[[#This Row],[Total required Latrines]]-(WWWW[[#This Row],['#_of_sanitary_fly-proof_HH_latrines]]))</f>
        <v>64</v>
      </c>
      <c r="BJ328" s="778">
        <f>1-WWWW[[#This Row],[% people access to functioning Latrine]]</f>
        <v>0.45978391356542614</v>
      </c>
      <c r="BK32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28" s="772">
        <f>IF(WWWW[[#This Row],['#_of_functional_handwashing_facilities_at_HH_level]]*6&gt;WWWW[[#This Row],[Total PoP ]],WWWW[[#This Row],[Total PoP ]],WWWW[[#This Row],['#_of_functional_handwashing_facilities_at_HH_level]]*6)</f>
        <v>66</v>
      </c>
      <c r="BM328" s="781">
        <f>IF(WWWW[[#This Row],['# people reached by regular dedicated hygiene promotion]]&gt;WWWW[[#This Row],['# People received regular supply of hygiene items]],WWWW[[#This Row],['# people reached by regular dedicated hygiene promotion]],WWWW[[#This Row],['# People received regular supply of hygiene items]])</f>
        <v>0</v>
      </c>
      <c r="BN328" s="780">
        <f>IF(WWWW[[#This Row],[HRP3]]/WWWW[[#This Row],[Total PoP ]]&gt;100%,100%,WWWW[[#This Row],[HRP3]]/WWWW[[#This Row],[Total PoP ]])</f>
        <v>0</v>
      </c>
      <c r="BO328" s="778">
        <f>1-WWWW[[#This Row],[Hygiene Coverage%]]</f>
        <v>1</v>
      </c>
      <c r="BP328" s="777">
        <f>WWWW[[#This Row],['# people reached by regular dedicated hygiene promotion]]/WWWW[[#This Row],[Total PoP ]]</f>
        <v>0</v>
      </c>
      <c r="BQ32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28" s="770">
        <f>WWWW[[#This Row],['#_of_affected_women_and_girls_receiving_a_sufficient_quantity_of_sanitary_pads]]</f>
        <v>0</v>
      </c>
      <c r="BS328" s="773">
        <f>IF(WWWW[[#This Row],['# People with access to soap]]&gt;WWWW[[#This Row],['# People with access to Sanity Pads]],WWWW[[#This Row],['# People with access to soap]],WWWW[[#This Row],['# People with access to Sanity Pads]])</f>
        <v>0</v>
      </c>
      <c r="BT328" s="772" t="str">
        <f>IF(OR(WWWW[[#This Row],['#of students in school]]="",WWWW[[#This Row],['#of students in school]]=0),"No","Yes")</f>
        <v>Yes</v>
      </c>
      <c r="BU328" s="782" t="str">
        <f>VLOOKUP(WWWW[[#This Row],[Village  Name]],SiteDB6[[Site Name]:[Location Type 1]],9,FALSE)</f>
        <v>Village</v>
      </c>
      <c r="BV328" s="782" t="str">
        <f>VLOOKUP(WWWW[[#This Row],[Village  Name]],SiteDB6[[Site Name]:[Type of Accommodation]],10,FALSE)</f>
        <v>Village</v>
      </c>
      <c r="BW328" s="782">
        <f>VLOOKUP(WWWW[[#This Row],[Village  Name]],SiteDB6[[Site Name]:[Ethnic or GCA/NGCA]],11,FALSE)</f>
        <v>0</v>
      </c>
      <c r="BX328" s="782">
        <f>VLOOKUP(WWWW[[#This Row],[Village  Name]],SiteDB6[[Site Name]:[Lat]],12,FALSE)</f>
        <v>92.934356689453097</v>
      </c>
      <c r="BY328" s="782">
        <f>VLOOKUP(WWWW[[#This Row],[Village  Name]],SiteDB6[[Site Name]:[Long]],13,FALSE)</f>
        <v>20.657760620117202</v>
      </c>
      <c r="BZ328" s="782">
        <f>VLOOKUP(WWWW[[#This Row],[Village  Name]],SiteDB6[[Site Name]:[Pcode]],3,FALSE)</f>
        <v>196925</v>
      </c>
      <c r="CA328" s="782" t="str">
        <f t="shared" si="20"/>
        <v>Covered</v>
      </c>
      <c r="CB328" s="783"/>
    </row>
    <row r="329" spans="1:80">
      <c r="A329" s="774" t="s">
        <v>3199</v>
      </c>
      <c r="B329" s="727" t="s">
        <v>318</v>
      </c>
      <c r="C329" s="728" t="s">
        <v>318</v>
      </c>
      <c r="D329" s="728" t="s">
        <v>334</v>
      </c>
      <c r="E329" s="728" t="s">
        <v>2648</v>
      </c>
      <c r="F329" s="728" t="s">
        <v>302</v>
      </c>
      <c r="G329" s="644" t="str">
        <f>VLOOKUP(WWWW[[#This Row],[Village  Name]],SiteDB6[[Site Name]:[Location Type]],8,FALSE)</f>
        <v>Village</v>
      </c>
      <c r="H329" s="728" t="s">
        <v>2940</v>
      </c>
      <c r="I329" s="775">
        <v>26</v>
      </c>
      <c r="J329" s="775">
        <v>98</v>
      </c>
      <c r="K329" s="784">
        <v>43647</v>
      </c>
      <c r="L329" s="785">
        <v>44043</v>
      </c>
      <c r="M329" s="775">
        <v>30</v>
      </c>
      <c r="N329" s="775"/>
      <c r="O329" s="773"/>
      <c r="P329" s="775"/>
      <c r="Q329" s="775"/>
      <c r="R329" s="775"/>
      <c r="S329" s="775"/>
      <c r="T329" s="775"/>
      <c r="U329" s="776"/>
      <c r="V329" s="775"/>
      <c r="W329" s="773" t="s">
        <v>130</v>
      </c>
      <c r="X329" s="775"/>
      <c r="Y329" s="775"/>
      <c r="Z329" s="775"/>
      <c r="AA329" s="775"/>
      <c r="AB329" s="775"/>
      <c r="AC329" s="776"/>
      <c r="AD329" s="775"/>
      <c r="AE329" s="775"/>
      <c r="AF329" s="775"/>
      <c r="AG329" s="775"/>
      <c r="AH329" s="775"/>
      <c r="AI329" s="775"/>
      <c r="AJ329" s="773"/>
      <c r="AK329" s="775"/>
      <c r="AL329" s="773"/>
      <c r="AM329" s="773"/>
      <c r="AN329" s="776"/>
      <c r="AO329" s="769"/>
      <c r="AP329" s="769"/>
      <c r="AQ329" s="773"/>
      <c r="AR329" s="773"/>
      <c r="AS329" s="773"/>
      <c r="AT32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29" s="779">
        <f>WWWW[[#This Row],[%Equitable and continuous access to sufficient quantity of safe drinking water]]*WWWW[[#This Row],[Total PoP ]]</f>
        <v>0</v>
      </c>
      <c r="AV32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29" s="779">
        <f>WWWW[[#This Row],[% Access to unimproved water points]]*WWWW[[#This Row],[Total PoP ]]</f>
        <v>0</v>
      </c>
      <c r="AX32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2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29" s="779">
        <f>WWWW[[#This Row],[HRP1]]/250</f>
        <v>0</v>
      </c>
      <c r="BA329" s="780">
        <f>1-WWWW[[#This Row],[% Equitable and continuous access to sufficient quantity of domestic water]]</f>
        <v>1</v>
      </c>
      <c r="BB329" s="779">
        <f>WWWW[[#This Row],[%equitable and continuous access to sufficient quantity of safe drinking and domestic water''s GAP]]*WWWW[[#This Row],[Total PoP ]]</f>
        <v>98</v>
      </c>
      <c r="BC329" s="781">
        <f>IF(WWWW[[#This Row],[Total required water points]]-WWWW[[#This Row],['#Water points coverage]]&lt;0,0,WWWW[[#This Row],[Total required water points]]-WWWW[[#This Row],['#Water points coverage]])</f>
        <v>1</v>
      </c>
      <c r="BD329" s="781">
        <f>ROUND(IF(WWWW[[#This Row],[Total PoP ]]&lt;250,1,WWWW[[#This Row],[Total PoP ]]/250),0)</f>
        <v>1</v>
      </c>
      <c r="BE32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29" s="779">
        <f>WWWW[[#This Row],[% people access to functioning Latrine]]*WWWW[[#This Row],[Total PoP ]]</f>
        <v>0</v>
      </c>
      <c r="BG329" s="781">
        <f>WWWW[[#This Row],['#_of_Functioning_latrines_in_school]]*50</f>
        <v>0</v>
      </c>
      <c r="BH329" s="781">
        <f>ROUND((WWWW[[#This Row],[Total PoP ]]/6),0)</f>
        <v>16</v>
      </c>
      <c r="BI329" s="781">
        <f>IF(WWWW[[#This Row],[Total required Latrines]]-(WWWW[[#This Row],['#_of_sanitary_fly-proof_HH_latrines]])&lt;0,0,WWWW[[#This Row],[Total required Latrines]]-(WWWW[[#This Row],['#_of_sanitary_fly-proof_HH_latrines]]))</f>
        <v>16</v>
      </c>
      <c r="BJ329" s="778">
        <f>1-WWWW[[#This Row],[% people access to functioning Latrine]]</f>
        <v>1</v>
      </c>
      <c r="BK32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29" s="772">
        <f>IF(WWWW[[#This Row],['#_of_functional_handwashing_facilities_at_HH_level]]*6&gt;WWWW[[#This Row],[Total PoP ]],WWWW[[#This Row],[Total PoP ]],WWWW[[#This Row],['#_of_functional_handwashing_facilities_at_HH_level]]*6)</f>
        <v>0</v>
      </c>
      <c r="BM329" s="781">
        <f>IF(WWWW[[#This Row],['# people reached by regular dedicated hygiene promotion]]&gt;WWWW[[#This Row],['# People received regular supply of hygiene items]],WWWW[[#This Row],['# people reached by regular dedicated hygiene promotion]],WWWW[[#This Row],['# People received regular supply of hygiene items]])</f>
        <v>0</v>
      </c>
      <c r="BN329" s="780">
        <f>IF(WWWW[[#This Row],[HRP3]]/WWWW[[#This Row],[Total PoP ]]&gt;100%,100%,WWWW[[#This Row],[HRP3]]/WWWW[[#This Row],[Total PoP ]])</f>
        <v>0</v>
      </c>
      <c r="BO329" s="778">
        <f>1-WWWW[[#This Row],[Hygiene Coverage%]]</f>
        <v>1</v>
      </c>
      <c r="BP329" s="777">
        <f>WWWW[[#This Row],['# people reached by regular dedicated hygiene promotion]]/WWWW[[#This Row],[Total PoP ]]</f>
        <v>0</v>
      </c>
      <c r="BQ32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29" s="770">
        <f>WWWW[[#This Row],['#_of_affected_women_and_girls_receiving_a_sufficient_quantity_of_sanitary_pads]]</f>
        <v>0</v>
      </c>
      <c r="BS329" s="773">
        <f>IF(WWWW[[#This Row],['# People with access to soap]]&gt;WWWW[[#This Row],['# People with access to Sanity Pads]],WWWW[[#This Row],['# People with access to soap]],WWWW[[#This Row],['# People with access to Sanity Pads]])</f>
        <v>0</v>
      </c>
      <c r="BT329" s="772" t="str">
        <f>IF(OR(WWWW[[#This Row],['#of students in school]]="",WWWW[[#This Row],['#of students in school]]=0),"No","Yes")</f>
        <v>Yes</v>
      </c>
      <c r="BU329" s="782" t="str">
        <f>VLOOKUP(WWWW[[#This Row],[Village  Name]],SiteDB6[[Site Name]:[Location Type 1]],9,FALSE)</f>
        <v>Village</v>
      </c>
      <c r="BV329" s="782" t="str">
        <f>VLOOKUP(WWWW[[#This Row],[Village  Name]],SiteDB6[[Site Name]:[Type of Accommodation]],10,FALSE)</f>
        <v>Village</v>
      </c>
      <c r="BW329" s="782">
        <f>VLOOKUP(WWWW[[#This Row],[Village  Name]],SiteDB6[[Site Name]:[Ethnic or GCA/NGCA]],11,FALSE)</f>
        <v>0</v>
      </c>
      <c r="BX329" s="782">
        <f>VLOOKUP(WWWW[[#This Row],[Village  Name]],SiteDB6[[Site Name]:[Lat]],12,FALSE)</f>
        <v>0</v>
      </c>
      <c r="BY329" s="782">
        <f>VLOOKUP(WWWW[[#This Row],[Village  Name]],SiteDB6[[Site Name]:[Long]],13,FALSE)</f>
        <v>0</v>
      </c>
      <c r="BZ329" s="782">
        <f>VLOOKUP(WWWW[[#This Row],[Village  Name]],SiteDB6[[Site Name]:[Pcode]],3,FALSE)</f>
        <v>0</v>
      </c>
      <c r="CA329" s="782" t="str">
        <f t="shared" si="20"/>
        <v>Covered</v>
      </c>
      <c r="CB329" s="783"/>
    </row>
    <row r="330" spans="1:80">
      <c r="A330" s="774" t="s">
        <v>3199</v>
      </c>
      <c r="B330" s="727" t="s">
        <v>318</v>
      </c>
      <c r="C330" s="728" t="s">
        <v>318</v>
      </c>
      <c r="D330" s="728" t="s">
        <v>334</v>
      </c>
      <c r="E330" s="728" t="s">
        <v>2648</v>
      </c>
      <c r="F330" s="728" t="s">
        <v>302</v>
      </c>
      <c r="G330" s="644" t="str">
        <f>VLOOKUP(WWWW[[#This Row],[Village  Name]],SiteDB6[[Site Name]:[Location Type]],8,FALSE)</f>
        <v>Village</v>
      </c>
      <c r="H330" s="728" t="s">
        <v>3173</v>
      </c>
      <c r="I330" s="775">
        <v>289</v>
      </c>
      <c r="J330" s="775">
        <v>1331</v>
      </c>
      <c r="K330" s="784">
        <v>43647</v>
      </c>
      <c r="L330" s="785">
        <v>44043</v>
      </c>
      <c r="M330" s="775">
        <v>100</v>
      </c>
      <c r="N330" s="775"/>
      <c r="O330" s="773"/>
      <c r="P330" s="775"/>
      <c r="Q330" s="775">
        <v>1</v>
      </c>
      <c r="R330" s="775"/>
      <c r="S330" s="775">
        <v>4</v>
      </c>
      <c r="T330" s="775"/>
      <c r="U330" s="776"/>
      <c r="V330" s="775">
        <v>51</v>
      </c>
      <c r="W330" s="775" t="s">
        <v>130</v>
      </c>
      <c r="X330" s="775">
        <v>2</v>
      </c>
      <c r="Y330" s="775">
        <v>10</v>
      </c>
      <c r="Z330" s="775"/>
      <c r="AA330" s="775"/>
      <c r="AB330" s="775"/>
      <c r="AC330" s="776"/>
      <c r="AD330" s="775"/>
      <c r="AE330" s="775"/>
      <c r="AF330" s="775"/>
      <c r="AG330" s="775"/>
      <c r="AH330" s="775"/>
      <c r="AI330" s="775"/>
      <c r="AJ330" s="773">
        <v>10</v>
      </c>
      <c r="AK330" s="775"/>
      <c r="AL330" s="773"/>
      <c r="AM330" s="773"/>
      <c r="AN330" s="776"/>
      <c r="AO330" s="769"/>
      <c r="AP330" s="769"/>
      <c r="AQ330" s="773"/>
      <c r="AR330" s="773"/>
      <c r="AS330" s="773"/>
      <c r="AT33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30" s="779">
        <f>WWWW[[#This Row],[%Equitable and continuous access to sufficient quantity of safe drinking water]]*WWWW[[#This Row],[Total PoP ]]</f>
        <v>0</v>
      </c>
      <c r="AV33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30" s="779">
        <f>WWWW[[#This Row],[% Access to unimproved water points]]*WWWW[[#This Row],[Total PoP ]]</f>
        <v>1331</v>
      </c>
      <c r="AX33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3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1331</v>
      </c>
      <c r="AZ330" s="779">
        <f>WWWW[[#This Row],[HRP1]]/250</f>
        <v>5.3239999999999998</v>
      </c>
      <c r="BA330" s="780">
        <f>1-WWWW[[#This Row],[% Equitable and continuous access to sufficient quantity of domestic water]]</f>
        <v>0</v>
      </c>
      <c r="BB330" s="779">
        <f>WWWW[[#This Row],[%equitable and continuous access to sufficient quantity of safe drinking and domestic water''s GAP]]*WWWW[[#This Row],[Total PoP ]]</f>
        <v>0</v>
      </c>
      <c r="BC330" s="781">
        <f>IF(WWWW[[#This Row],[Total required water points]]-WWWW[[#This Row],['#Water points coverage]]&lt;0,0,WWWW[[#This Row],[Total required water points]]-WWWW[[#This Row],['#Water points coverage]])</f>
        <v>0</v>
      </c>
      <c r="BD330" s="781">
        <f>ROUND(IF(WWWW[[#This Row],[Total PoP ]]&lt;250,1,WWWW[[#This Row],[Total PoP ]]/250),0)</f>
        <v>5</v>
      </c>
      <c r="BE33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0.22990232907588279</v>
      </c>
      <c r="BF330" s="779">
        <f>WWWW[[#This Row],[% people access to functioning Latrine]]*WWWW[[#This Row],[Total PoP ]]</f>
        <v>306</v>
      </c>
      <c r="BG330" s="781">
        <f>WWWW[[#This Row],['#_of_Functioning_latrines_in_school]]*50</f>
        <v>100</v>
      </c>
      <c r="BH330" s="781">
        <f>ROUND((WWWW[[#This Row],[Total PoP ]]/6),0)</f>
        <v>222</v>
      </c>
      <c r="BI330" s="781">
        <f>IF(WWWW[[#This Row],[Total required Latrines]]-(WWWW[[#This Row],['#_of_sanitary_fly-proof_HH_latrines]])&lt;0,0,WWWW[[#This Row],[Total required Latrines]]-(WWWW[[#This Row],['#_of_sanitary_fly-proof_HH_latrines]]))</f>
        <v>171</v>
      </c>
      <c r="BJ330" s="778">
        <f>1-WWWW[[#This Row],[% people access to functioning Latrine]]</f>
        <v>0.77009767092411718</v>
      </c>
      <c r="BK33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30" s="772">
        <f>IF(WWWW[[#This Row],['#_of_functional_handwashing_facilities_at_HH_level]]*6&gt;WWWW[[#This Row],[Total PoP ]],WWWW[[#This Row],[Total PoP ]],WWWW[[#This Row],['#_of_functional_handwashing_facilities_at_HH_level]]*6)</f>
        <v>60</v>
      </c>
      <c r="BM330" s="781">
        <f>IF(WWWW[[#This Row],['# people reached by regular dedicated hygiene promotion]]&gt;WWWW[[#This Row],['# People received regular supply of hygiene items]],WWWW[[#This Row],['# people reached by regular dedicated hygiene promotion]],WWWW[[#This Row],['# People received regular supply of hygiene items]])</f>
        <v>0</v>
      </c>
      <c r="BN330" s="780">
        <f>IF(WWWW[[#This Row],[HRP3]]/WWWW[[#This Row],[Total PoP ]]&gt;100%,100%,WWWW[[#This Row],[HRP3]]/WWWW[[#This Row],[Total PoP ]])</f>
        <v>0</v>
      </c>
      <c r="BO330" s="778">
        <f>1-WWWW[[#This Row],[Hygiene Coverage%]]</f>
        <v>1</v>
      </c>
      <c r="BP330" s="777">
        <f>WWWW[[#This Row],['# people reached by regular dedicated hygiene promotion]]/WWWW[[#This Row],[Total PoP ]]</f>
        <v>0</v>
      </c>
      <c r="BQ33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30" s="770">
        <f>WWWW[[#This Row],['#_of_affected_women_and_girls_receiving_a_sufficient_quantity_of_sanitary_pads]]</f>
        <v>0</v>
      </c>
      <c r="BS330" s="773">
        <f>IF(WWWW[[#This Row],['# People with access to soap]]&gt;WWWW[[#This Row],['# People with access to Sanity Pads]],WWWW[[#This Row],['# People with access to soap]],WWWW[[#This Row],['# People with access to Sanity Pads]])</f>
        <v>0</v>
      </c>
      <c r="BT330" s="772" t="str">
        <f>IF(OR(WWWW[[#This Row],['#of students in school]]="",WWWW[[#This Row],['#of students in school]]=0),"No","Yes")</f>
        <v>Yes</v>
      </c>
      <c r="BU330" s="782" t="str">
        <f>VLOOKUP(WWWW[[#This Row],[Village  Name]],SiteDB6[[Site Name]:[Location Type 1]],9,FALSE)</f>
        <v>Village</v>
      </c>
      <c r="BV330" s="782" t="str">
        <f>VLOOKUP(WWWW[[#This Row],[Village  Name]],SiteDB6[[Site Name]:[Type of Accommodation]],10,FALSE)</f>
        <v>Village</v>
      </c>
      <c r="BW330" s="782">
        <f>VLOOKUP(WWWW[[#This Row],[Village  Name]],SiteDB6[[Site Name]:[Ethnic or GCA/NGCA]],11,FALSE)</f>
        <v>0</v>
      </c>
      <c r="BX330" s="782">
        <f>VLOOKUP(WWWW[[#This Row],[Village  Name]],SiteDB6[[Site Name]:[Lat]],12,FALSE)</f>
        <v>92.981712341308594</v>
      </c>
      <c r="BY330" s="782">
        <f>VLOOKUP(WWWW[[#This Row],[Village  Name]],SiteDB6[[Site Name]:[Long]],13,FALSE)</f>
        <v>20.772109985351602</v>
      </c>
      <c r="BZ330" s="782">
        <f>VLOOKUP(WWWW[[#This Row],[Village  Name]],SiteDB6[[Site Name]:[Pcode]],3,FALSE)</f>
        <v>196959</v>
      </c>
      <c r="CA330" s="782" t="str">
        <f t="shared" si="20"/>
        <v>Covered</v>
      </c>
      <c r="CB330" s="783"/>
    </row>
    <row r="331" spans="1:80">
      <c r="A331" s="774" t="s">
        <v>3199</v>
      </c>
      <c r="B331" s="727" t="s">
        <v>318</v>
      </c>
      <c r="C331" s="728" t="s">
        <v>318</v>
      </c>
      <c r="D331" s="728" t="s">
        <v>334</v>
      </c>
      <c r="E331" s="728" t="s">
        <v>2648</v>
      </c>
      <c r="F331" s="728" t="s">
        <v>302</v>
      </c>
      <c r="G331" s="644" t="str">
        <f>VLOOKUP(WWWW[[#This Row],[Village  Name]],SiteDB6[[Site Name]:[Location Type]],8,FALSE)</f>
        <v>Village</v>
      </c>
      <c r="H331" s="728" t="s">
        <v>3172</v>
      </c>
      <c r="I331" s="775">
        <v>76</v>
      </c>
      <c r="J331" s="775">
        <v>365</v>
      </c>
      <c r="K331" s="784">
        <v>43647</v>
      </c>
      <c r="L331" s="785">
        <v>44043</v>
      </c>
      <c r="M331" s="775">
        <v>400</v>
      </c>
      <c r="N331" s="775"/>
      <c r="O331" s="773"/>
      <c r="P331" s="775"/>
      <c r="Q331" s="775">
        <v>1</v>
      </c>
      <c r="R331" s="775"/>
      <c r="S331" s="775"/>
      <c r="T331" s="775"/>
      <c r="U331" s="776"/>
      <c r="V331" s="775">
        <v>4</v>
      </c>
      <c r="W331" s="775" t="s">
        <v>130</v>
      </c>
      <c r="X331" s="775"/>
      <c r="Y331" s="775">
        <v>2</v>
      </c>
      <c r="Z331" s="775"/>
      <c r="AA331" s="775"/>
      <c r="AB331" s="775"/>
      <c r="AC331" s="776"/>
      <c r="AD331" s="775"/>
      <c r="AE331" s="775"/>
      <c r="AF331" s="775"/>
      <c r="AG331" s="775"/>
      <c r="AH331" s="775"/>
      <c r="AI331" s="775"/>
      <c r="AJ331" s="773">
        <v>12</v>
      </c>
      <c r="AK331" s="775"/>
      <c r="AL331" s="773"/>
      <c r="AM331" s="773"/>
      <c r="AN331" s="776"/>
      <c r="AO331" s="769"/>
      <c r="AP331" s="769"/>
      <c r="AQ331" s="773"/>
      <c r="AR331" s="773"/>
      <c r="AS331" s="773"/>
      <c r="AT33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31" s="779">
        <f>WWWW[[#This Row],[%Equitable and continuous access to sufficient quantity of safe drinking water]]*WWWW[[#This Row],[Total PoP ]]</f>
        <v>0</v>
      </c>
      <c r="AV33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31" s="779">
        <f>WWWW[[#This Row],[% Access to unimproved water points]]*WWWW[[#This Row],[Total PoP ]]</f>
        <v>365</v>
      </c>
      <c r="AX33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3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365</v>
      </c>
      <c r="AZ331" s="779">
        <f>WWWW[[#This Row],[HRP1]]/250</f>
        <v>1.46</v>
      </c>
      <c r="BA331" s="780">
        <f>1-WWWW[[#This Row],[% Equitable and continuous access to sufficient quantity of domestic water]]</f>
        <v>0</v>
      </c>
      <c r="BB331" s="779">
        <f>WWWW[[#This Row],[%equitable and continuous access to sufficient quantity of safe drinking and domestic water''s GAP]]*WWWW[[#This Row],[Total PoP ]]</f>
        <v>0</v>
      </c>
      <c r="BC331" s="781">
        <f>IF(WWWW[[#This Row],[Total required water points]]-WWWW[[#This Row],['#Water points coverage]]&lt;0,0,WWWW[[#This Row],[Total required water points]]-WWWW[[#This Row],['#Water points coverage]])</f>
        <v>0</v>
      </c>
      <c r="BD331" s="781">
        <f>ROUND(IF(WWWW[[#This Row],[Total PoP ]]&lt;250,1,WWWW[[#This Row],[Total PoP ]]/250),0)</f>
        <v>1</v>
      </c>
      <c r="BE33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6.575342465753424E-2</v>
      </c>
      <c r="BF331" s="779">
        <f>WWWW[[#This Row],[% people access to functioning Latrine]]*WWWW[[#This Row],[Total PoP ]]</f>
        <v>23.999999999999996</v>
      </c>
      <c r="BG331" s="781">
        <f>WWWW[[#This Row],['#_of_Functioning_latrines_in_school]]*50</f>
        <v>0</v>
      </c>
      <c r="BH331" s="781">
        <f>ROUND((WWWW[[#This Row],[Total PoP ]]/6),0)</f>
        <v>61</v>
      </c>
      <c r="BI331" s="781">
        <f>IF(WWWW[[#This Row],[Total required Latrines]]-(WWWW[[#This Row],['#_of_sanitary_fly-proof_HH_latrines]])&lt;0,0,WWWW[[#This Row],[Total required Latrines]]-(WWWW[[#This Row],['#_of_sanitary_fly-proof_HH_latrines]]))</f>
        <v>57</v>
      </c>
      <c r="BJ331" s="778">
        <f>1-WWWW[[#This Row],[% people access to functioning Latrine]]</f>
        <v>0.9342465753424658</v>
      </c>
      <c r="BK33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31" s="772">
        <f>IF(WWWW[[#This Row],['#_of_functional_handwashing_facilities_at_HH_level]]*6&gt;WWWW[[#This Row],[Total PoP ]],WWWW[[#This Row],[Total PoP ]],WWWW[[#This Row],['#_of_functional_handwashing_facilities_at_HH_level]]*6)</f>
        <v>72</v>
      </c>
      <c r="BM331" s="781">
        <f>IF(WWWW[[#This Row],['# people reached by regular dedicated hygiene promotion]]&gt;WWWW[[#This Row],['# People received regular supply of hygiene items]],WWWW[[#This Row],['# people reached by regular dedicated hygiene promotion]],WWWW[[#This Row],['# People received regular supply of hygiene items]])</f>
        <v>0</v>
      </c>
      <c r="BN331" s="780">
        <f>IF(WWWW[[#This Row],[HRP3]]/WWWW[[#This Row],[Total PoP ]]&gt;100%,100%,WWWW[[#This Row],[HRP3]]/WWWW[[#This Row],[Total PoP ]])</f>
        <v>0</v>
      </c>
      <c r="BO331" s="778">
        <f>1-WWWW[[#This Row],[Hygiene Coverage%]]</f>
        <v>1</v>
      </c>
      <c r="BP331" s="777">
        <f>WWWW[[#This Row],['# people reached by regular dedicated hygiene promotion]]/WWWW[[#This Row],[Total PoP ]]</f>
        <v>0</v>
      </c>
      <c r="BQ33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31" s="770">
        <f>WWWW[[#This Row],['#_of_affected_women_and_girls_receiving_a_sufficient_quantity_of_sanitary_pads]]</f>
        <v>0</v>
      </c>
      <c r="BS331" s="773">
        <f>IF(WWWW[[#This Row],['# People with access to soap]]&gt;WWWW[[#This Row],['# People with access to Sanity Pads]],WWWW[[#This Row],['# People with access to soap]],WWWW[[#This Row],['# People with access to Sanity Pads]])</f>
        <v>0</v>
      </c>
      <c r="BT331" s="772" t="str">
        <f>IF(OR(WWWW[[#This Row],['#of students in school]]="",WWWW[[#This Row],['#of students in school]]=0),"No","Yes")</f>
        <v>Yes</v>
      </c>
      <c r="BU331" s="782" t="str">
        <f>VLOOKUP(WWWW[[#This Row],[Village  Name]],SiteDB6[[Site Name]:[Location Type 1]],9,FALSE)</f>
        <v>Village</v>
      </c>
      <c r="BV331" s="782" t="str">
        <f>VLOOKUP(WWWW[[#This Row],[Village  Name]],SiteDB6[[Site Name]:[Type of Accommodation]],10,FALSE)</f>
        <v>Village</v>
      </c>
      <c r="BW331" s="782">
        <f>VLOOKUP(WWWW[[#This Row],[Village  Name]],SiteDB6[[Site Name]:[Ethnic or GCA/NGCA]],11,FALSE)</f>
        <v>0</v>
      </c>
      <c r="BX331" s="782">
        <f>VLOOKUP(WWWW[[#This Row],[Village  Name]],SiteDB6[[Site Name]:[Lat]],12,FALSE)</f>
        <v>92.978729248046903</v>
      </c>
      <c r="BY331" s="782">
        <f>VLOOKUP(WWWW[[#This Row],[Village  Name]],SiteDB6[[Site Name]:[Long]],13,FALSE)</f>
        <v>20.768480300903299</v>
      </c>
      <c r="BZ331" s="782">
        <f>VLOOKUP(WWWW[[#This Row],[Village  Name]],SiteDB6[[Site Name]:[Pcode]],3,FALSE)</f>
        <v>196960</v>
      </c>
      <c r="CA331" s="782" t="str">
        <f t="shared" si="20"/>
        <v>Covered</v>
      </c>
      <c r="CB331" s="783"/>
    </row>
    <row r="332" spans="1:80">
      <c r="A332" s="774" t="s">
        <v>3199</v>
      </c>
      <c r="B332" s="727" t="s">
        <v>318</v>
      </c>
      <c r="C332" s="728" t="s">
        <v>318</v>
      </c>
      <c r="D332" s="415" t="s">
        <v>3294</v>
      </c>
      <c r="E332" s="728" t="s">
        <v>2648</v>
      </c>
      <c r="F332" s="728" t="s">
        <v>302</v>
      </c>
      <c r="G332" s="644" t="str">
        <f>VLOOKUP(WWWW[[#This Row],[Village  Name]],SiteDB6[[Site Name]:[Location Type]],8,FALSE)</f>
        <v>Village</v>
      </c>
      <c r="H332" s="728" t="s">
        <v>2942</v>
      </c>
      <c r="I332" s="775">
        <v>62</v>
      </c>
      <c r="J332" s="775">
        <v>142</v>
      </c>
      <c r="K332" s="784">
        <v>43647</v>
      </c>
      <c r="L332" s="785">
        <v>44012</v>
      </c>
      <c r="M332" s="775">
        <v>30</v>
      </c>
      <c r="N332" s="775"/>
      <c r="O332" s="773"/>
      <c r="P332" s="775"/>
      <c r="Q332" s="775">
        <v>1</v>
      </c>
      <c r="R332" s="775"/>
      <c r="S332" s="775">
        <v>2</v>
      </c>
      <c r="T332" s="775"/>
      <c r="U332" s="776"/>
      <c r="V332" s="775">
        <v>5</v>
      </c>
      <c r="W332" s="775" t="s">
        <v>130</v>
      </c>
      <c r="X332" s="775">
        <v>2</v>
      </c>
      <c r="Y332" s="775">
        <v>1</v>
      </c>
      <c r="Z332" s="775"/>
      <c r="AA332" s="775"/>
      <c r="AB332" s="775"/>
      <c r="AC332" s="776"/>
      <c r="AD332" s="775"/>
      <c r="AE332" s="775"/>
      <c r="AF332" s="775"/>
      <c r="AG332" s="775"/>
      <c r="AH332" s="775"/>
      <c r="AI332" s="775"/>
      <c r="AJ332" s="773">
        <v>23</v>
      </c>
      <c r="AK332" s="775"/>
      <c r="AL332" s="773"/>
      <c r="AM332" s="773"/>
      <c r="AN332" s="776"/>
      <c r="AO332" s="769"/>
      <c r="AP332" s="769"/>
      <c r="AQ332" s="773"/>
      <c r="AR332" s="773"/>
      <c r="AS332" s="773"/>
      <c r="AT33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32" s="779">
        <f>WWWW[[#This Row],[%Equitable and continuous access to sufficient quantity of safe drinking water]]*WWWW[[#This Row],[Total PoP ]]</f>
        <v>0</v>
      </c>
      <c r="AV33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32" s="779">
        <f>WWWW[[#This Row],[% Access to unimproved water points]]*WWWW[[#This Row],[Total PoP ]]</f>
        <v>142</v>
      </c>
      <c r="AX33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3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142</v>
      </c>
      <c r="AZ332" s="779">
        <f>WWWW[[#This Row],[HRP1]]/250</f>
        <v>0.56799999999999995</v>
      </c>
      <c r="BA332" s="780">
        <f>1-WWWW[[#This Row],[% Equitable and continuous access to sufficient quantity of domestic water]]</f>
        <v>0</v>
      </c>
      <c r="BB332" s="779">
        <f>WWWW[[#This Row],[%equitable and continuous access to sufficient quantity of safe drinking and domestic water''s GAP]]*WWWW[[#This Row],[Total PoP ]]</f>
        <v>0</v>
      </c>
      <c r="BC332" s="781">
        <f>IF(WWWW[[#This Row],[Total required water points]]-WWWW[[#This Row],['#Water points coverage]]&lt;0,0,WWWW[[#This Row],[Total required water points]]-WWWW[[#This Row],['#Water points coverage]])</f>
        <v>0.43200000000000005</v>
      </c>
      <c r="BD332" s="781">
        <f>ROUND(IF(WWWW[[#This Row],[Total PoP ]]&lt;250,1,WWWW[[#This Row],[Total PoP ]]/250),0)</f>
        <v>1</v>
      </c>
      <c r="BE33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0.21126760563380281</v>
      </c>
      <c r="BF332" s="779">
        <f>WWWW[[#This Row],[% people access to functioning Latrine]]*WWWW[[#This Row],[Total PoP ]]</f>
        <v>30</v>
      </c>
      <c r="BG332" s="781">
        <f>WWWW[[#This Row],['#_of_Functioning_latrines_in_school]]*50</f>
        <v>100</v>
      </c>
      <c r="BH332" s="781">
        <f>ROUND((WWWW[[#This Row],[Total PoP ]]/6),0)</f>
        <v>24</v>
      </c>
      <c r="BI332" s="781">
        <f>IF(WWWW[[#This Row],[Total required Latrines]]-(WWWW[[#This Row],['#_of_sanitary_fly-proof_HH_latrines]])&lt;0,0,WWWW[[#This Row],[Total required Latrines]]-(WWWW[[#This Row],['#_of_sanitary_fly-proof_HH_latrines]]))</f>
        <v>19</v>
      </c>
      <c r="BJ332" s="778">
        <f>1-WWWW[[#This Row],[% people access to functioning Latrine]]</f>
        <v>0.78873239436619724</v>
      </c>
      <c r="BK33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32" s="772">
        <f>IF(WWWW[[#This Row],['#_of_functional_handwashing_facilities_at_HH_level]]*6&gt;WWWW[[#This Row],[Total PoP ]],WWWW[[#This Row],[Total PoP ]],WWWW[[#This Row],['#_of_functional_handwashing_facilities_at_HH_level]]*6)</f>
        <v>138</v>
      </c>
      <c r="BM332" s="781">
        <f>IF(WWWW[[#This Row],['# people reached by regular dedicated hygiene promotion]]&gt;WWWW[[#This Row],['# People received regular supply of hygiene items]],WWWW[[#This Row],['# people reached by regular dedicated hygiene promotion]],WWWW[[#This Row],['# People received regular supply of hygiene items]])</f>
        <v>0</v>
      </c>
      <c r="BN332" s="780">
        <f>IF(WWWW[[#This Row],[HRP3]]/WWWW[[#This Row],[Total PoP ]]&gt;100%,100%,WWWW[[#This Row],[HRP3]]/WWWW[[#This Row],[Total PoP ]])</f>
        <v>0</v>
      </c>
      <c r="BO332" s="778">
        <f>1-WWWW[[#This Row],[Hygiene Coverage%]]</f>
        <v>1</v>
      </c>
      <c r="BP332" s="777">
        <f>WWWW[[#This Row],['# people reached by regular dedicated hygiene promotion]]/WWWW[[#This Row],[Total PoP ]]</f>
        <v>0</v>
      </c>
      <c r="BQ33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32" s="770">
        <f>WWWW[[#This Row],['#_of_affected_women_and_girls_receiving_a_sufficient_quantity_of_sanitary_pads]]</f>
        <v>0</v>
      </c>
      <c r="BS332" s="773">
        <f>IF(WWWW[[#This Row],['# People with access to soap]]&gt;WWWW[[#This Row],['# People with access to Sanity Pads]],WWWW[[#This Row],['# People with access to soap]],WWWW[[#This Row],['# People with access to Sanity Pads]])</f>
        <v>0</v>
      </c>
      <c r="BT332" s="772" t="str">
        <f>IF(OR(WWWW[[#This Row],['#of students in school]]="",WWWW[[#This Row],['#of students in school]]=0),"No","Yes")</f>
        <v>Yes</v>
      </c>
      <c r="BU332" s="782" t="str">
        <f>VLOOKUP(WWWW[[#This Row],[Village  Name]],SiteDB6[[Site Name]:[Location Type 1]],9,FALSE)</f>
        <v>Village</v>
      </c>
      <c r="BV332" s="782" t="str">
        <f>VLOOKUP(WWWW[[#This Row],[Village  Name]],SiteDB6[[Site Name]:[Type of Accommodation]],10,FALSE)</f>
        <v>Village</v>
      </c>
      <c r="BW332" s="782">
        <f>VLOOKUP(WWWW[[#This Row],[Village  Name]],SiteDB6[[Site Name]:[Ethnic or GCA/NGCA]],11,FALSE)</f>
        <v>0</v>
      </c>
      <c r="BX332" s="782">
        <f>VLOOKUP(WWWW[[#This Row],[Village  Name]],SiteDB6[[Site Name]:[Lat]],12,FALSE)</f>
        <v>20.7489204406738</v>
      </c>
      <c r="BY332" s="782">
        <f>VLOOKUP(WWWW[[#This Row],[Village  Name]],SiteDB6[[Site Name]:[Long]],13,FALSE)</f>
        <v>92.958816528320298</v>
      </c>
      <c r="BZ332" s="782">
        <f>VLOOKUP(WWWW[[#This Row],[Village  Name]],SiteDB6[[Site Name]:[Pcode]],3,FALSE)</f>
        <v>196894</v>
      </c>
      <c r="CA332" s="782" t="str">
        <f t="shared" si="20"/>
        <v>Covered</v>
      </c>
      <c r="CB332" s="783"/>
    </row>
    <row r="333" spans="1:80">
      <c r="A333" s="774" t="s">
        <v>3199</v>
      </c>
      <c r="B333" s="727" t="s">
        <v>318</v>
      </c>
      <c r="C333" s="728" t="s">
        <v>318</v>
      </c>
      <c r="D333" s="415" t="s">
        <v>3294</v>
      </c>
      <c r="E333" s="728" t="s">
        <v>2648</v>
      </c>
      <c r="F333" s="728" t="s">
        <v>302</v>
      </c>
      <c r="G333" s="644" t="str">
        <f>VLOOKUP(WWWW[[#This Row],[Village  Name]],SiteDB6[[Site Name]:[Location Type]],8,FALSE)</f>
        <v>Village</v>
      </c>
      <c r="H333" s="728" t="s">
        <v>2941</v>
      </c>
      <c r="I333" s="775">
        <v>140</v>
      </c>
      <c r="J333" s="775">
        <v>740</v>
      </c>
      <c r="K333" s="784">
        <v>43647</v>
      </c>
      <c r="L333" s="785">
        <v>44012</v>
      </c>
      <c r="M333" s="775">
        <v>103</v>
      </c>
      <c r="N333" s="775"/>
      <c r="O333" s="773"/>
      <c r="P333" s="775"/>
      <c r="Q333" s="775">
        <v>1</v>
      </c>
      <c r="R333" s="775"/>
      <c r="S333" s="775">
        <v>3</v>
      </c>
      <c r="T333" s="775">
        <v>1</v>
      </c>
      <c r="U333" s="776"/>
      <c r="V333" s="775">
        <v>30</v>
      </c>
      <c r="W333" s="775" t="s">
        <v>130</v>
      </c>
      <c r="X333" s="775">
        <v>4</v>
      </c>
      <c r="Y333" s="775">
        <v>1</v>
      </c>
      <c r="Z333" s="775"/>
      <c r="AA333" s="775"/>
      <c r="AB333" s="775"/>
      <c r="AC333" s="776"/>
      <c r="AD333" s="775"/>
      <c r="AE333" s="775"/>
      <c r="AF333" s="775"/>
      <c r="AG333" s="775"/>
      <c r="AH333" s="775"/>
      <c r="AI333" s="775"/>
      <c r="AJ333" s="773">
        <v>25</v>
      </c>
      <c r="AK333" s="775"/>
      <c r="AL333" s="773"/>
      <c r="AM333" s="773"/>
      <c r="AN333" s="776"/>
      <c r="AO333" s="769"/>
      <c r="AP333" s="769"/>
      <c r="AQ333" s="773"/>
      <c r="AR333" s="773"/>
      <c r="AS333" s="773"/>
      <c r="AT33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0.33783783783783783</v>
      </c>
      <c r="AU333" s="779">
        <f>WWWW[[#This Row],[%Equitable and continuous access to sufficient quantity of safe drinking water]]*WWWW[[#This Row],[Total PoP ]]</f>
        <v>250</v>
      </c>
      <c r="AV33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33" s="779">
        <f>WWWW[[#This Row],[% Access to unimproved water points]]*WWWW[[#This Row],[Total PoP ]]</f>
        <v>740</v>
      </c>
      <c r="AX33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3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740</v>
      </c>
      <c r="AZ333" s="779">
        <f>WWWW[[#This Row],[HRP1]]/250</f>
        <v>2.96</v>
      </c>
      <c r="BA333" s="780">
        <f>1-WWWW[[#This Row],[% Equitable and continuous access to sufficient quantity of domestic water]]</f>
        <v>0</v>
      </c>
      <c r="BB333" s="779">
        <f>WWWW[[#This Row],[%equitable and continuous access to sufficient quantity of safe drinking and domestic water''s GAP]]*WWWW[[#This Row],[Total PoP ]]</f>
        <v>0</v>
      </c>
      <c r="BC333" s="781">
        <f>IF(WWWW[[#This Row],[Total required water points]]-WWWW[[#This Row],['#Water points coverage]]&lt;0,0,WWWW[[#This Row],[Total required water points]]-WWWW[[#This Row],['#Water points coverage]])</f>
        <v>4.0000000000000036E-2</v>
      </c>
      <c r="BD333" s="781">
        <f>ROUND(IF(WWWW[[#This Row],[Total PoP ]]&lt;250,1,WWWW[[#This Row],[Total PoP ]]/250),0)</f>
        <v>3</v>
      </c>
      <c r="BE33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0.24324324324324326</v>
      </c>
      <c r="BF333" s="779">
        <f>WWWW[[#This Row],[% people access to functioning Latrine]]*WWWW[[#This Row],[Total PoP ]]</f>
        <v>180</v>
      </c>
      <c r="BG333" s="781">
        <f>WWWW[[#This Row],['#_of_Functioning_latrines_in_school]]*50</f>
        <v>200</v>
      </c>
      <c r="BH333" s="781">
        <f>ROUND((WWWW[[#This Row],[Total PoP ]]/6),0)</f>
        <v>123</v>
      </c>
      <c r="BI333" s="781">
        <f>IF(WWWW[[#This Row],[Total required Latrines]]-(WWWW[[#This Row],['#_of_sanitary_fly-proof_HH_latrines]])&lt;0,0,WWWW[[#This Row],[Total required Latrines]]-(WWWW[[#This Row],['#_of_sanitary_fly-proof_HH_latrines]]))</f>
        <v>93</v>
      </c>
      <c r="BJ333" s="778">
        <f>1-WWWW[[#This Row],[% people access to functioning Latrine]]</f>
        <v>0.7567567567567568</v>
      </c>
      <c r="BK33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33" s="772">
        <f>IF(WWWW[[#This Row],['#_of_functional_handwashing_facilities_at_HH_level]]*6&gt;WWWW[[#This Row],[Total PoP ]],WWWW[[#This Row],[Total PoP ]],WWWW[[#This Row],['#_of_functional_handwashing_facilities_at_HH_level]]*6)</f>
        <v>150</v>
      </c>
      <c r="BM333" s="781">
        <f>IF(WWWW[[#This Row],['# people reached by regular dedicated hygiene promotion]]&gt;WWWW[[#This Row],['# People received regular supply of hygiene items]],WWWW[[#This Row],['# people reached by regular dedicated hygiene promotion]],WWWW[[#This Row],['# People received regular supply of hygiene items]])</f>
        <v>0</v>
      </c>
      <c r="BN333" s="780">
        <f>IF(WWWW[[#This Row],[HRP3]]/WWWW[[#This Row],[Total PoP ]]&gt;100%,100%,WWWW[[#This Row],[HRP3]]/WWWW[[#This Row],[Total PoP ]])</f>
        <v>0</v>
      </c>
      <c r="BO333" s="778">
        <f>1-WWWW[[#This Row],[Hygiene Coverage%]]</f>
        <v>1</v>
      </c>
      <c r="BP333" s="777">
        <f>WWWW[[#This Row],['# people reached by regular dedicated hygiene promotion]]/WWWW[[#This Row],[Total PoP ]]</f>
        <v>0</v>
      </c>
      <c r="BQ33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33" s="770">
        <f>WWWW[[#This Row],['#_of_affected_women_and_girls_receiving_a_sufficient_quantity_of_sanitary_pads]]</f>
        <v>0</v>
      </c>
      <c r="BS333" s="773">
        <f>IF(WWWW[[#This Row],['# People with access to soap]]&gt;WWWW[[#This Row],['# People with access to Sanity Pads]],WWWW[[#This Row],['# People with access to soap]],WWWW[[#This Row],['# People with access to Sanity Pads]])</f>
        <v>0</v>
      </c>
      <c r="BT333" s="772" t="str">
        <f>IF(OR(WWWW[[#This Row],['#of students in school]]="",WWWW[[#This Row],['#of students in school]]=0),"No","Yes")</f>
        <v>Yes</v>
      </c>
      <c r="BU333" s="782" t="str">
        <f>VLOOKUP(WWWW[[#This Row],[Village  Name]],SiteDB6[[Site Name]:[Location Type 1]],9,FALSE)</f>
        <v>Village</v>
      </c>
      <c r="BV333" s="782" t="str">
        <f>VLOOKUP(WWWW[[#This Row],[Village  Name]],SiteDB6[[Site Name]:[Type of Accommodation]],10,FALSE)</f>
        <v>Village</v>
      </c>
      <c r="BW333" s="782">
        <f>VLOOKUP(WWWW[[#This Row],[Village  Name]],SiteDB6[[Site Name]:[Ethnic or GCA/NGCA]],11,FALSE)</f>
        <v>0</v>
      </c>
      <c r="BX333" s="782">
        <f>VLOOKUP(WWWW[[#This Row],[Village  Name]],SiteDB6[[Site Name]:[Lat]],12,FALSE)</f>
        <v>0</v>
      </c>
      <c r="BY333" s="782">
        <f>VLOOKUP(WWWW[[#This Row],[Village  Name]],SiteDB6[[Site Name]:[Long]],13,FALSE)</f>
        <v>0</v>
      </c>
      <c r="BZ333" s="782">
        <f>VLOOKUP(WWWW[[#This Row],[Village  Name]],SiteDB6[[Site Name]:[Pcode]],3,FALSE)</f>
        <v>0</v>
      </c>
      <c r="CA333" s="782" t="str">
        <f t="shared" si="20"/>
        <v>Covered</v>
      </c>
      <c r="CB333" s="783"/>
    </row>
    <row r="334" spans="1:80">
      <c r="A334" s="774" t="s">
        <v>3199</v>
      </c>
      <c r="B334" s="727" t="s">
        <v>318</v>
      </c>
      <c r="C334" s="728" t="s">
        <v>318</v>
      </c>
      <c r="D334" s="728" t="s">
        <v>334</v>
      </c>
      <c r="E334" s="728" t="s">
        <v>2648</v>
      </c>
      <c r="F334" s="728" t="s">
        <v>302</v>
      </c>
      <c r="G334" s="644" t="str">
        <f>VLOOKUP(WWWW[[#This Row],[Village  Name]],SiteDB6[[Site Name]:[Location Type]],8,FALSE)</f>
        <v>Village</v>
      </c>
      <c r="H334" s="728" t="s">
        <v>3158</v>
      </c>
      <c r="I334" s="775">
        <v>219</v>
      </c>
      <c r="J334" s="775">
        <v>959</v>
      </c>
      <c r="K334" s="784">
        <v>43647</v>
      </c>
      <c r="L334" s="785">
        <v>44043</v>
      </c>
      <c r="M334" s="775">
        <v>158</v>
      </c>
      <c r="N334" s="775"/>
      <c r="O334" s="773"/>
      <c r="P334" s="775"/>
      <c r="Q334" s="775">
        <v>2</v>
      </c>
      <c r="R334" s="775"/>
      <c r="S334" s="775">
        <v>3</v>
      </c>
      <c r="T334" s="775"/>
      <c r="U334" s="776"/>
      <c r="V334" s="775">
        <v>50</v>
      </c>
      <c r="W334" s="775" t="s">
        <v>130</v>
      </c>
      <c r="X334" s="775">
        <v>2</v>
      </c>
      <c r="Y334" s="775">
        <v>1</v>
      </c>
      <c r="Z334" s="775"/>
      <c r="AA334" s="775"/>
      <c r="AB334" s="775"/>
      <c r="AC334" s="776"/>
      <c r="AD334" s="775"/>
      <c r="AE334" s="775"/>
      <c r="AF334" s="775"/>
      <c r="AG334" s="775"/>
      <c r="AH334" s="775"/>
      <c r="AI334" s="775"/>
      <c r="AJ334" s="773">
        <v>12</v>
      </c>
      <c r="AK334" s="775"/>
      <c r="AL334" s="773"/>
      <c r="AM334" s="773"/>
      <c r="AN334" s="776"/>
      <c r="AO334" s="769"/>
      <c r="AP334" s="769"/>
      <c r="AQ334" s="773"/>
      <c r="AR334" s="773"/>
      <c r="AS334" s="773"/>
      <c r="AT33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34" s="779">
        <f>WWWW[[#This Row],[%Equitable and continuous access to sufficient quantity of safe drinking water]]*WWWW[[#This Row],[Total PoP ]]</f>
        <v>0</v>
      </c>
      <c r="AV33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34" s="779">
        <f>WWWW[[#This Row],[% Access to unimproved water points]]*WWWW[[#This Row],[Total PoP ]]</f>
        <v>959</v>
      </c>
      <c r="AX33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3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959</v>
      </c>
      <c r="AZ334" s="779">
        <f>WWWW[[#This Row],[HRP1]]/250</f>
        <v>3.8359999999999999</v>
      </c>
      <c r="BA334" s="780">
        <f>1-WWWW[[#This Row],[% Equitable and continuous access to sufficient quantity of domestic water]]</f>
        <v>0</v>
      </c>
      <c r="BB334" s="779">
        <f>WWWW[[#This Row],[%equitable and continuous access to sufficient quantity of safe drinking and domestic water''s GAP]]*WWWW[[#This Row],[Total PoP ]]</f>
        <v>0</v>
      </c>
      <c r="BC334" s="781">
        <f>IF(WWWW[[#This Row],[Total required water points]]-WWWW[[#This Row],['#Water points coverage]]&lt;0,0,WWWW[[#This Row],[Total required water points]]-WWWW[[#This Row],['#Water points coverage]])</f>
        <v>0.16400000000000015</v>
      </c>
      <c r="BD334" s="781">
        <f>ROUND(IF(WWWW[[#This Row],[Total PoP ]]&lt;250,1,WWWW[[#This Row],[Total PoP ]]/250),0)</f>
        <v>4</v>
      </c>
      <c r="BE33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0.31282586027111575</v>
      </c>
      <c r="BF334" s="779">
        <f>WWWW[[#This Row],[% people access to functioning Latrine]]*WWWW[[#This Row],[Total PoP ]]</f>
        <v>300</v>
      </c>
      <c r="BG334" s="781">
        <f>WWWW[[#This Row],['#_of_Functioning_latrines_in_school]]*50</f>
        <v>100</v>
      </c>
      <c r="BH334" s="781">
        <f>ROUND((WWWW[[#This Row],[Total PoP ]]/6),0)</f>
        <v>160</v>
      </c>
      <c r="BI334" s="781">
        <f>IF(WWWW[[#This Row],[Total required Latrines]]-(WWWW[[#This Row],['#_of_sanitary_fly-proof_HH_latrines]])&lt;0,0,WWWW[[#This Row],[Total required Latrines]]-(WWWW[[#This Row],['#_of_sanitary_fly-proof_HH_latrines]]))</f>
        <v>110</v>
      </c>
      <c r="BJ334" s="778">
        <f>1-WWWW[[#This Row],[% people access to functioning Latrine]]</f>
        <v>0.68717413972888419</v>
      </c>
      <c r="BK33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34" s="772">
        <f>IF(WWWW[[#This Row],['#_of_functional_handwashing_facilities_at_HH_level]]*6&gt;WWWW[[#This Row],[Total PoP ]],WWWW[[#This Row],[Total PoP ]],WWWW[[#This Row],['#_of_functional_handwashing_facilities_at_HH_level]]*6)</f>
        <v>72</v>
      </c>
      <c r="BM334" s="781">
        <f>IF(WWWW[[#This Row],['# people reached by regular dedicated hygiene promotion]]&gt;WWWW[[#This Row],['# People received regular supply of hygiene items]],WWWW[[#This Row],['# people reached by regular dedicated hygiene promotion]],WWWW[[#This Row],['# People received regular supply of hygiene items]])</f>
        <v>0</v>
      </c>
      <c r="BN334" s="780">
        <f>IF(WWWW[[#This Row],[HRP3]]/WWWW[[#This Row],[Total PoP ]]&gt;100%,100%,WWWW[[#This Row],[HRP3]]/WWWW[[#This Row],[Total PoP ]])</f>
        <v>0</v>
      </c>
      <c r="BO334" s="778">
        <f>1-WWWW[[#This Row],[Hygiene Coverage%]]</f>
        <v>1</v>
      </c>
      <c r="BP334" s="777">
        <f>WWWW[[#This Row],['# people reached by regular dedicated hygiene promotion]]/WWWW[[#This Row],[Total PoP ]]</f>
        <v>0</v>
      </c>
      <c r="BQ33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34" s="770">
        <f>WWWW[[#This Row],['#_of_affected_women_and_girls_receiving_a_sufficient_quantity_of_sanitary_pads]]</f>
        <v>0</v>
      </c>
      <c r="BS334" s="773">
        <f>IF(WWWW[[#This Row],['# People with access to soap]]&gt;WWWW[[#This Row],['# People with access to Sanity Pads]],WWWW[[#This Row],['# People with access to soap]],WWWW[[#This Row],['# People with access to Sanity Pads]])</f>
        <v>0</v>
      </c>
      <c r="BT334" s="772" t="str">
        <f>IF(OR(WWWW[[#This Row],['#of students in school]]="",WWWW[[#This Row],['#of students in school]]=0),"No","Yes")</f>
        <v>Yes</v>
      </c>
      <c r="BU334" s="782" t="str">
        <f>VLOOKUP(WWWW[[#This Row],[Village  Name]],SiteDB6[[Site Name]:[Location Type 1]],9,FALSE)</f>
        <v>Village</v>
      </c>
      <c r="BV334" s="782" t="str">
        <f>VLOOKUP(WWWW[[#This Row],[Village  Name]],SiteDB6[[Site Name]:[Type of Accommodation]],10,FALSE)</f>
        <v>Village</v>
      </c>
      <c r="BW334" s="782">
        <f>VLOOKUP(WWWW[[#This Row],[Village  Name]],SiteDB6[[Site Name]:[Ethnic or GCA/NGCA]],11,FALSE)</f>
        <v>0</v>
      </c>
      <c r="BX334" s="782">
        <f>VLOOKUP(WWWW[[#This Row],[Village  Name]],SiteDB6[[Site Name]:[Lat]],12,FALSE)</f>
        <v>92.985267639160199</v>
      </c>
      <c r="BY334" s="782">
        <f>VLOOKUP(WWWW[[#This Row],[Village  Name]],SiteDB6[[Site Name]:[Long]],13,FALSE)</f>
        <v>20.7800903320313</v>
      </c>
      <c r="BZ334" s="782">
        <f>VLOOKUP(WWWW[[#This Row],[Village  Name]],SiteDB6[[Site Name]:[Pcode]],3,FALSE)</f>
        <v>196963</v>
      </c>
      <c r="CA334" s="782" t="str">
        <f t="shared" si="20"/>
        <v>Covered</v>
      </c>
      <c r="CB334" s="783"/>
    </row>
    <row r="335" spans="1:80">
      <c r="A335" s="774" t="s">
        <v>3199</v>
      </c>
      <c r="B335" s="727" t="s">
        <v>318</v>
      </c>
      <c r="C335" s="728" t="s">
        <v>318</v>
      </c>
      <c r="D335" s="415" t="s">
        <v>3294</v>
      </c>
      <c r="E335" s="728" t="s">
        <v>2648</v>
      </c>
      <c r="F335" s="728" t="s">
        <v>302</v>
      </c>
      <c r="G335" s="644" t="str">
        <f>VLOOKUP(WWWW[[#This Row],[Village  Name]],SiteDB6[[Site Name]:[Location Type]],8,FALSE)</f>
        <v>Village</v>
      </c>
      <c r="H335" s="415" t="s">
        <v>928</v>
      </c>
      <c r="I335" s="775">
        <v>103</v>
      </c>
      <c r="J335" s="775">
        <v>449</v>
      </c>
      <c r="K335" s="784">
        <v>43647</v>
      </c>
      <c r="L335" s="785">
        <v>44012</v>
      </c>
      <c r="M335" s="775">
        <v>53</v>
      </c>
      <c r="N335" s="775"/>
      <c r="O335" s="773"/>
      <c r="P335" s="775">
        <v>8</v>
      </c>
      <c r="Q335" s="775">
        <v>1</v>
      </c>
      <c r="R335" s="775"/>
      <c r="S335" s="775">
        <v>4</v>
      </c>
      <c r="T335" s="775"/>
      <c r="U335" s="776"/>
      <c r="V335" s="775">
        <v>96</v>
      </c>
      <c r="W335" s="775" t="s">
        <v>130</v>
      </c>
      <c r="X335" s="775">
        <v>2</v>
      </c>
      <c r="Y335" s="775">
        <v>6</v>
      </c>
      <c r="Z335" s="775"/>
      <c r="AA335" s="775"/>
      <c r="AB335" s="775"/>
      <c r="AC335" s="776"/>
      <c r="AD335" s="775"/>
      <c r="AE335" s="775"/>
      <c r="AF335" s="775"/>
      <c r="AG335" s="775"/>
      <c r="AH335" s="775"/>
      <c r="AI335" s="775"/>
      <c r="AJ335" s="773">
        <v>25</v>
      </c>
      <c r="AK335" s="775"/>
      <c r="AL335" s="773"/>
      <c r="AM335" s="773"/>
      <c r="AN335" s="776"/>
      <c r="AO335" s="769"/>
      <c r="AP335" s="769"/>
      <c r="AQ335" s="773"/>
      <c r="AR335" s="773"/>
      <c r="AS335" s="773"/>
      <c r="AT33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35" s="779">
        <f>WWWW[[#This Row],[%Equitable and continuous access to sufficient quantity of safe drinking water]]*WWWW[[#This Row],[Total PoP ]]</f>
        <v>449</v>
      </c>
      <c r="AV33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35" s="779">
        <f>WWWW[[#This Row],[% Access to unimproved water points]]*WWWW[[#This Row],[Total PoP ]]</f>
        <v>449</v>
      </c>
      <c r="AX33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3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449</v>
      </c>
      <c r="AZ335" s="779">
        <f>WWWW[[#This Row],[HRP1]]/250</f>
        <v>1.796</v>
      </c>
      <c r="BA335" s="780">
        <f>1-WWWW[[#This Row],[% Equitable and continuous access to sufficient quantity of domestic water]]</f>
        <v>0</v>
      </c>
      <c r="BB335" s="779">
        <f>WWWW[[#This Row],[%equitable and continuous access to sufficient quantity of safe drinking and domestic water''s GAP]]*WWWW[[#This Row],[Total PoP ]]</f>
        <v>0</v>
      </c>
      <c r="BC335" s="781">
        <f>IF(WWWW[[#This Row],[Total required water points]]-WWWW[[#This Row],['#Water points coverage]]&lt;0,0,WWWW[[#This Row],[Total required water points]]-WWWW[[#This Row],['#Water points coverage]])</f>
        <v>0.20399999999999996</v>
      </c>
      <c r="BD335" s="781">
        <f>ROUND(IF(WWWW[[#This Row],[Total PoP ]]&lt;250,1,WWWW[[#This Row],[Total PoP ]]/250),0)</f>
        <v>2</v>
      </c>
      <c r="BE33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335" s="779">
        <f>WWWW[[#This Row],[% people access to functioning Latrine]]*WWWW[[#This Row],[Total PoP ]]</f>
        <v>449</v>
      </c>
      <c r="BG335" s="781">
        <f>WWWW[[#This Row],['#_of_Functioning_latrines_in_school]]*50</f>
        <v>100</v>
      </c>
      <c r="BH335" s="781">
        <f>ROUND((WWWW[[#This Row],[Total PoP ]]/6),0)</f>
        <v>75</v>
      </c>
      <c r="BI335" s="781">
        <f>IF(WWWW[[#This Row],[Total required Latrines]]-(WWWW[[#This Row],['#_of_sanitary_fly-proof_HH_latrines]])&lt;0,0,WWWW[[#This Row],[Total required Latrines]]-(WWWW[[#This Row],['#_of_sanitary_fly-proof_HH_latrines]]))</f>
        <v>0</v>
      </c>
      <c r="BJ335" s="778">
        <f>1-WWWW[[#This Row],[% people access to functioning Latrine]]</f>
        <v>0</v>
      </c>
      <c r="BK33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35" s="772">
        <f>IF(WWWW[[#This Row],['#_of_functional_handwashing_facilities_at_HH_level]]*6&gt;WWWW[[#This Row],[Total PoP ]],WWWW[[#This Row],[Total PoP ]],WWWW[[#This Row],['#_of_functional_handwashing_facilities_at_HH_level]]*6)</f>
        <v>150</v>
      </c>
      <c r="BM335" s="781">
        <f>IF(WWWW[[#This Row],['# people reached by regular dedicated hygiene promotion]]&gt;WWWW[[#This Row],['# People received regular supply of hygiene items]],WWWW[[#This Row],['# people reached by regular dedicated hygiene promotion]],WWWW[[#This Row],['# People received regular supply of hygiene items]])</f>
        <v>0</v>
      </c>
      <c r="BN335" s="780">
        <f>IF(WWWW[[#This Row],[HRP3]]/WWWW[[#This Row],[Total PoP ]]&gt;100%,100%,WWWW[[#This Row],[HRP3]]/WWWW[[#This Row],[Total PoP ]])</f>
        <v>0</v>
      </c>
      <c r="BO335" s="778">
        <f>1-WWWW[[#This Row],[Hygiene Coverage%]]</f>
        <v>1</v>
      </c>
      <c r="BP335" s="777">
        <f>WWWW[[#This Row],['# people reached by regular dedicated hygiene promotion]]/WWWW[[#This Row],[Total PoP ]]</f>
        <v>0</v>
      </c>
      <c r="BQ33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35" s="770">
        <f>WWWW[[#This Row],['#_of_affected_women_and_girls_receiving_a_sufficient_quantity_of_sanitary_pads]]</f>
        <v>0</v>
      </c>
      <c r="BS335" s="773">
        <f>IF(WWWW[[#This Row],['# People with access to soap]]&gt;WWWW[[#This Row],['# People with access to Sanity Pads]],WWWW[[#This Row],['# People with access to soap]],WWWW[[#This Row],['# People with access to Sanity Pads]])</f>
        <v>0</v>
      </c>
      <c r="BT335" s="772" t="str">
        <f>IF(OR(WWWW[[#This Row],['#of students in school]]="",WWWW[[#This Row],['#of students in school]]=0),"No","Yes")</f>
        <v>Yes</v>
      </c>
      <c r="BU335" s="782" t="str">
        <f>VLOOKUP(WWWW[[#This Row],[Village  Name]],SiteDB6[[Site Name]:[Location Type 1]],9,FALSE)</f>
        <v>Village</v>
      </c>
      <c r="BV335" s="782" t="str">
        <f>VLOOKUP(WWWW[[#This Row],[Village  Name]],SiteDB6[[Site Name]:[Type of Accommodation]],10,FALSE)</f>
        <v>Village</v>
      </c>
      <c r="BW335" s="782" t="str">
        <f>VLOOKUP(WWWW[[#This Row],[Village  Name]],SiteDB6[[Site Name]:[Ethnic or GCA/NGCA]],11,FALSE)</f>
        <v>Mro</v>
      </c>
      <c r="BX335" s="782">
        <f>VLOOKUP(WWWW[[#This Row],[Village  Name]],SiteDB6[[Site Name]:[Lat]],12,FALSE)</f>
        <v>20.720500950000002</v>
      </c>
      <c r="BY335" s="782">
        <f>VLOOKUP(WWWW[[#This Row],[Village  Name]],SiteDB6[[Site Name]:[Long]],13,FALSE)</f>
        <v>92.937339780000002</v>
      </c>
      <c r="BZ335" s="782">
        <f>VLOOKUP(WWWW[[#This Row],[Village  Name]],SiteDB6[[Site Name]:[Pcode]],3,FALSE)</f>
        <v>196950</v>
      </c>
      <c r="CA335" s="782" t="str">
        <f t="shared" si="20"/>
        <v>Covered</v>
      </c>
      <c r="CB335" s="783"/>
    </row>
    <row r="336" spans="1:80">
      <c r="A336" s="774" t="s">
        <v>3199</v>
      </c>
      <c r="B336" s="727" t="s">
        <v>318</v>
      </c>
      <c r="C336" s="728" t="s">
        <v>318</v>
      </c>
      <c r="D336" s="415" t="s">
        <v>3294</v>
      </c>
      <c r="E336" s="728" t="s">
        <v>2648</v>
      </c>
      <c r="F336" s="728" t="s">
        <v>302</v>
      </c>
      <c r="G336" s="644" t="str">
        <f>VLOOKUP(WWWW[[#This Row],[Village  Name]],SiteDB6[[Site Name]:[Location Type]],8,FALSE)</f>
        <v>Village</v>
      </c>
      <c r="H336" s="728" t="s">
        <v>2960</v>
      </c>
      <c r="I336" s="775">
        <v>158</v>
      </c>
      <c r="J336" s="775">
        <v>456</v>
      </c>
      <c r="K336" s="784">
        <v>43647</v>
      </c>
      <c r="L336" s="785">
        <v>44012</v>
      </c>
      <c r="M336" s="775">
        <v>101</v>
      </c>
      <c r="N336" s="775"/>
      <c r="O336" s="773"/>
      <c r="P336" s="775"/>
      <c r="Q336" s="775">
        <v>3</v>
      </c>
      <c r="R336" s="775"/>
      <c r="S336" s="775">
        <v>1</v>
      </c>
      <c r="T336" s="775">
        <v>1</v>
      </c>
      <c r="U336" s="776"/>
      <c r="V336" s="775">
        <v>250</v>
      </c>
      <c r="W336" s="775" t="s">
        <v>130</v>
      </c>
      <c r="X336" s="775">
        <v>1</v>
      </c>
      <c r="Y336" s="775"/>
      <c r="Z336" s="775"/>
      <c r="AA336" s="775">
        <v>1</v>
      </c>
      <c r="AB336" s="775"/>
      <c r="AC336" s="776"/>
      <c r="AD336" s="775"/>
      <c r="AE336" s="775"/>
      <c r="AF336" s="775"/>
      <c r="AG336" s="775"/>
      <c r="AH336" s="775"/>
      <c r="AI336" s="775"/>
      <c r="AJ336" s="773">
        <v>25</v>
      </c>
      <c r="AK336" s="775"/>
      <c r="AL336" s="773"/>
      <c r="AM336" s="773"/>
      <c r="AN336" s="776"/>
      <c r="AO336" s="769"/>
      <c r="AP336" s="769"/>
      <c r="AQ336" s="773"/>
      <c r="AR336" s="773"/>
      <c r="AS336" s="773"/>
      <c r="AT33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0.54824561403508776</v>
      </c>
      <c r="AU336" s="779">
        <f>WWWW[[#This Row],[%Equitable and continuous access to sufficient quantity of safe drinking water]]*WWWW[[#This Row],[Total PoP ]]</f>
        <v>250.00000000000003</v>
      </c>
      <c r="AV33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36" s="779">
        <f>WWWW[[#This Row],[% Access to unimproved water points]]*WWWW[[#This Row],[Total PoP ]]</f>
        <v>456</v>
      </c>
      <c r="AX33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3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456</v>
      </c>
      <c r="AZ336" s="779">
        <f>WWWW[[#This Row],[HRP1]]/250</f>
        <v>1.8240000000000001</v>
      </c>
      <c r="BA336" s="780">
        <f>1-WWWW[[#This Row],[% Equitable and continuous access to sufficient quantity of domestic water]]</f>
        <v>0</v>
      </c>
      <c r="BB336" s="779">
        <f>WWWW[[#This Row],[%equitable and continuous access to sufficient quantity of safe drinking and domestic water''s GAP]]*WWWW[[#This Row],[Total PoP ]]</f>
        <v>0</v>
      </c>
      <c r="BC336" s="781">
        <f>IF(WWWW[[#This Row],[Total required water points]]-WWWW[[#This Row],['#Water points coverage]]&lt;0,0,WWWW[[#This Row],[Total required water points]]-WWWW[[#This Row],['#Water points coverage]])</f>
        <v>0.17599999999999993</v>
      </c>
      <c r="BD336" s="781">
        <f>ROUND(IF(WWWW[[#This Row],[Total PoP ]]&lt;250,1,WWWW[[#This Row],[Total PoP ]]/250),0)</f>
        <v>2</v>
      </c>
      <c r="BE33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336" s="779">
        <f>WWWW[[#This Row],[% people access to functioning Latrine]]*WWWW[[#This Row],[Total PoP ]]</f>
        <v>456</v>
      </c>
      <c r="BG336" s="781">
        <f>WWWW[[#This Row],['#_of_Functioning_latrines_in_school]]*50</f>
        <v>50</v>
      </c>
      <c r="BH336" s="781">
        <f>ROUND((WWWW[[#This Row],[Total PoP ]]/6),0)</f>
        <v>76</v>
      </c>
      <c r="BI336" s="781">
        <f>IF(WWWW[[#This Row],[Total required Latrines]]-(WWWW[[#This Row],['#_of_sanitary_fly-proof_HH_latrines]])&lt;0,0,WWWW[[#This Row],[Total required Latrines]]-(WWWW[[#This Row],['#_of_sanitary_fly-proof_HH_latrines]]))</f>
        <v>0</v>
      </c>
      <c r="BJ336" s="778">
        <f>1-WWWW[[#This Row],[% people access to functioning Latrine]]</f>
        <v>0</v>
      </c>
      <c r="BK33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36" s="772">
        <f>IF(WWWW[[#This Row],['#_of_functional_handwashing_facilities_at_HH_level]]*6&gt;WWWW[[#This Row],[Total PoP ]],WWWW[[#This Row],[Total PoP ]],WWWW[[#This Row],['#_of_functional_handwashing_facilities_at_HH_level]]*6)</f>
        <v>150</v>
      </c>
      <c r="BM336" s="781">
        <f>IF(WWWW[[#This Row],['# people reached by regular dedicated hygiene promotion]]&gt;WWWW[[#This Row],['# People received regular supply of hygiene items]],WWWW[[#This Row],['# people reached by regular dedicated hygiene promotion]],WWWW[[#This Row],['# People received regular supply of hygiene items]])</f>
        <v>0</v>
      </c>
      <c r="BN336" s="780">
        <f>IF(WWWW[[#This Row],[HRP3]]/WWWW[[#This Row],[Total PoP ]]&gt;100%,100%,WWWW[[#This Row],[HRP3]]/WWWW[[#This Row],[Total PoP ]])</f>
        <v>0</v>
      </c>
      <c r="BO336" s="778">
        <f>1-WWWW[[#This Row],[Hygiene Coverage%]]</f>
        <v>1</v>
      </c>
      <c r="BP336" s="777">
        <f>WWWW[[#This Row],['# people reached by regular dedicated hygiene promotion]]/WWWW[[#This Row],[Total PoP ]]</f>
        <v>0</v>
      </c>
      <c r="BQ33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36" s="770">
        <f>WWWW[[#This Row],['#_of_affected_women_and_girls_receiving_a_sufficient_quantity_of_sanitary_pads]]</f>
        <v>0</v>
      </c>
      <c r="BS336" s="773">
        <f>IF(WWWW[[#This Row],['# People with access to soap]]&gt;WWWW[[#This Row],['# People with access to Sanity Pads]],WWWW[[#This Row],['# People with access to soap]],WWWW[[#This Row],['# People with access to Sanity Pads]])</f>
        <v>0</v>
      </c>
      <c r="BT336" s="772" t="str">
        <f>IF(OR(WWWW[[#This Row],['#of students in school]]="",WWWW[[#This Row],['#of students in school]]=0),"No","Yes")</f>
        <v>Yes</v>
      </c>
      <c r="BU336" s="782" t="str">
        <f>VLOOKUP(WWWW[[#This Row],[Village  Name]],SiteDB6[[Site Name]:[Location Type 1]],9,FALSE)</f>
        <v>Village</v>
      </c>
      <c r="BV336" s="782" t="str">
        <f>VLOOKUP(WWWW[[#This Row],[Village  Name]],SiteDB6[[Site Name]:[Type of Accommodation]],10,FALSE)</f>
        <v>Village</v>
      </c>
      <c r="BW336" s="782">
        <f>VLOOKUP(WWWW[[#This Row],[Village  Name]],SiteDB6[[Site Name]:[Ethnic or GCA/NGCA]],11,FALSE)</f>
        <v>0</v>
      </c>
      <c r="BX336" s="782">
        <f>VLOOKUP(WWWW[[#This Row],[Village  Name]],SiteDB6[[Site Name]:[Lat]],12,FALSE)</f>
        <v>0</v>
      </c>
      <c r="BY336" s="782">
        <f>VLOOKUP(WWWW[[#This Row],[Village  Name]],SiteDB6[[Site Name]:[Long]],13,FALSE)</f>
        <v>0</v>
      </c>
      <c r="BZ336" s="782">
        <f>VLOOKUP(WWWW[[#This Row],[Village  Name]],SiteDB6[[Site Name]:[Pcode]],3,FALSE)</f>
        <v>196948</v>
      </c>
      <c r="CA336" s="782" t="str">
        <f t="shared" si="20"/>
        <v>Covered</v>
      </c>
      <c r="CB336" s="783"/>
    </row>
    <row r="337" spans="1:80">
      <c r="A337" s="774" t="s">
        <v>3199</v>
      </c>
      <c r="B337" s="727" t="s">
        <v>318</v>
      </c>
      <c r="C337" s="728" t="s">
        <v>318</v>
      </c>
      <c r="D337" s="728" t="s">
        <v>334</v>
      </c>
      <c r="E337" s="728" t="s">
        <v>2648</v>
      </c>
      <c r="F337" s="728" t="s">
        <v>302</v>
      </c>
      <c r="G337" s="644" t="str">
        <f>VLOOKUP(WWWW[[#This Row],[Village  Name]],SiteDB6[[Site Name]:[Location Type]],8,FALSE)</f>
        <v>Village</v>
      </c>
      <c r="H337" s="728" t="s">
        <v>3171</v>
      </c>
      <c r="I337" s="775">
        <v>34</v>
      </c>
      <c r="J337" s="775">
        <v>198</v>
      </c>
      <c r="K337" s="784">
        <v>43647</v>
      </c>
      <c r="L337" s="785">
        <v>44043</v>
      </c>
      <c r="M337" s="775">
        <v>205</v>
      </c>
      <c r="N337" s="775"/>
      <c r="O337" s="773"/>
      <c r="P337" s="775"/>
      <c r="Q337" s="775">
        <v>2</v>
      </c>
      <c r="R337" s="775"/>
      <c r="S337" s="775">
        <v>2</v>
      </c>
      <c r="T337" s="775"/>
      <c r="U337" s="776"/>
      <c r="V337" s="775">
        <v>4</v>
      </c>
      <c r="W337" s="775" t="s">
        <v>130</v>
      </c>
      <c r="X337" s="775">
        <v>1</v>
      </c>
      <c r="Y337" s="775"/>
      <c r="Z337" s="775"/>
      <c r="AA337" s="775"/>
      <c r="AB337" s="775"/>
      <c r="AC337" s="776"/>
      <c r="AD337" s="775"/>
      <c r="AE337" s="775"/>
      <c r="AF337" s="775"/>
      <c r="AG337" s="775"/>
      <c r="AH337" s="775"/>
      <c r="AI337" s="775"/>
      <c r="AJ337" s="773">
        <v>12</v>
      </c>
      <c r="AK337" s="775"/>
      <c r="AL337" s="773"/>
      <c r="AM337" s="773"/>
      <c r="AN337" s="776"/>
      <c r="AO337" s="769"/>
      <c r="AP337" s="769"/>
      <c r="AQ337" s="773"/>
      <c r="AR337" s="773"/>
      <c r="AS337" s="773"/>
      <c r="AT33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37" s="779">
        <f>WWWW[[#This Row],[%Equitable and continuous access to sufficient quantity of safe drinking water]]*WWWW[[#This Row],[Total PoP ]]</f>
        <v>0</v>
      </c>
      <c r="AV33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37" s="779">
        <f>WWWW[[#This Row],[% Access to unimproved water points]]*WWWW[[#This Row],[Total PoP ]]</f>
        <v>198</v>
      </c>
      <c r="AX33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3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198</v>
      </c>
      <c r="AZ337" s="779">
        <f>WWWW[[#This Row],[HRP1]]/250</f>
        <v>0.79200000000000004</v>
      </c>
      <c r="BA337" s="780">
        <f>1-WWWW[[#This Row],[% Equitable and continuous access to sufficient quantity of domestic water]]</f>
        <v>0</v>
      </c>
      <c r="BB337" s="779">
        <f>WWWW[[#This Row],[%equitable and continuous access to sufficient quantity of safe drinking and domestic water''s GAP]]*WWWW[[#This Row],[Total PoP ]]</f>
        <v>0</v>
      </c>
      <c r="BC337" s="781">
        <f>IF(WWWW[[#This Row],[Total required water points]]-WWWW[[#This Row],['#Water points coverage]]&lt;0,0,WWWW[[#This Row],[Total required water points]]-WWWW[[#This Row],['#Water points coverage]])</f>
        <v>0.20799999999999996</v>
      </c>
      <c r="BD337" s="781">
        <f>ROUND(IF(WWWW[[#This Row],[Total PoP ]]&lt;250,1,WWWW[[#This Row],[Total PoP ]]/250),0)</f>
        <v>1</v>
      </c>
      <c r="BE33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0.12121212121212122</v>
      </c>
      <c r="BF337" s="779">
        <f>WWWW[[#This Row],[% people access to functioning Latrine]]*WWWW[[#This Row],[Total PoP ]]</f>
        <v>24</v>
      </c>
      <c r="BG337" s="781">
        <f>WWWW[[#This Row],['#_of_Functioning_latrines_in_school]]*50</f>
        <v>50</v>
      </c>
      <c r="BH337" s="781">
        <f>ROUND((WWWW[[#This Row],[Total PoP ]]/6),0)</f>
        <v>33</v>
      </c>
      <c r="BI337" s="781">
        <f>IF(WWWW[[#This Row],[Total required Latrines]]-(WWWW[[#This Row],['#_of_sanitary_fly-proof_HH_latrines]])&lt;0,0,WWWW[[#This Row],[Total required Latrines]]-(WWWW[[#This Row],['#_of_sanitary_fly-proof_HH_latrines]]))</f>
        <v>29</v>
      </c>
      <c r="BJ337" s="778">
        <f>1-WWWW[[#This Row],[% people access to functioning Latrine]]</f>
        <v>0.87878787878787878</v>
      </c>
      <c r="BK33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37" s="772">
        <f>IF(WWWW[[#This Row],['#_of_functional_handwashing_facilities_at_HH_level]]*6&gt;WWWW[[#This Row],[Total PoP ]],WWWW[[#This Row],[Total PoP ]],WWWW[[#This Row],['#_of_functional_handwashing_facilities_at_HH_level]]*6)</f>
        <v>72</v>
      </c>
      <c r="BM337" s="781">
        <f>IF(WWWW[[#This Row],['# people reached by regular dedicated hygiene promotion]]&gt;WWWW[[#This Row],['# People received regular supply of hygiene items]],WWWW[[#This Row],['# people reached by regular dedicated hygiene promotion]],WWWW[[#This Row],['# People received regular supply of hygiene items]])</f>
        <v>0</v>
      </c>
      <c r="BN337" s="780">
        <f>IF(WWWW[[#This Row],[HRP3]]/WWWW[[#This Row],[Total PoP ]]&gt;100%,100%,WWWW[[#This Row],[HRP3]]/WWWW[[#This Row],[Total PoP ]])</f>
        <v>0</v>
      </c>
      <c r="BO337" s="778">
        <f>1-WWWW[[#This Row],[Hygiene Coverage%]]</f>
        <v>1</v>
      </c>
      <c r="BP337" s="777">
        <f>WWWW[[#This Row],['# people reached by regular dedicated hygiene promotion]]/WWWW[[#This Row],[Total PoP ]]</f>
        <v>0</v>
      </c>
      <c r="BQ33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37" s="770">
        <f>WWWW[[#This Row],['#_of_affected_women_and_girls_receiving_a_sufficient_quantity_of_sanitary_pads]]</f>
        <v>0</v>
      </c>
      <c r="BS337" s="773">
        <f>IF(WWWW[[#This Row],['# People with access to soap]]&gt;WWWW[[#This Row],['# People with access to Sanity Pads]],WWWW[[#This Row],['# People with access to soap]],WWWW[[#This Row],['# People with access to Sanity Pads]])</f>
        <v>0</v>
      </c>
      <c r="BT337" s="772" t="str">
        <f>IF(OR(WWWW[[#This Row],['#of students in school]]="",WWWW[[#This Row],['#of students in school]]=0),"No","Yes")</f>
        <v>Yes</v>
      </c>
      <c r="BU337" s="782" t="str">
        <f>VLOOKUP(WWWW[[#This Row],[Village  Name]],SiteDB6[[Site Name]:[Location Type 1]],9,FALSE)</f>
        <v>Village</v>
      </c>
      <c r="BV337" s="782" t="str">
        <f>VLOOKUP(WWWW[[#This Row],[Village  Name]],SiteDB6[[Site Name]:[Type of Accommodation]],10,FALSE)</f>
        <v>Village</v>
      </c>
      <c r="BW337" s="782">
        <f>VLOOKUP(WWWW[[#This Row],[Village  Name]],SiteDB6[[Site Name]:[Ethnic or GCA/NGCA]],11,FALSE)</f>
        <v>0</v>
      </c>
      <c r="BX337" s="782">
        <f>VLOOKUP(WWWW[[#This Row],[Village  Name]],SiteDB6[[Site Name]:[Lat]],12,FALSE)</f>
        <v>92.928596496582003</v>
      </c>
      <c r="BY337" s="782">
        <f>VLOOKUP(WWWW[[#This Row],[Village  Name]],SiteDB6[[Site Name]:[Long]],13,FALSE)</f>
        <v>20.649574279785199</v>
      </c>
      <c r="BZ337" s="782">
        <f>VLOOKUP(WWWW[[#This Row],[Village  Name]],SiteDB6[[Site Name]:[Pcode]],3,FALSE)</f>
        <v>196920</v>
      </c>
      <c r="CA337" s="782" t="str">
        <f t="shared" si="20"/>
        <v>Covered</v>
      </c>
      <c r="CB337" s="783"/>
    </row>
    <row r="338" spans="1:80">
      <c r="A338" s="774" t="s">
        <v>3199</v>
      </c>
      <c r="B338" s="727" t="s">
        <v>318</v>
      </c>
      <c r="C338" s="728" t="s">
        <v>318</v>
      </c>
      <c r="D338" s="728" t="s">
        <v>334</v>
      </c>
      <c r="E338" s="728" t="s">
        <v>2648</v>
      </c>
      <c r="F338" s="728" t="s">
        <v>295</v>
      </c>
      <c r="G338" s="644" t="str">
        <f>VLOOKUP(WWWW[[#This Row],[Village  Name]],SiteDB6[[Site Name]:[Location Type]],8,FALSE)</f>
        <v>Village</v>
      </c>
      <c r="H338" s="728" t="s">
        <v>448</v>
      </c>
      <c r="I338" s="775">
        <v>389</v>
      </c>
      <c r="J338" s="775">
        <v>1790</v>
      </c>
      <c r="K338" s="784">
        <v>43678</v>
      </c>
      <c r="L338" s="785">
        <v>44043</v>
      </c>
      <c r="M338" s="775">
        <v>350</v>
      </c>
      <c r="N338" s="775"/>
      <c r="O338" s="794"/>
      <c r="P338" s="794">
        <v>230</v>
      </c>
      <c r="Q338" s="775">
        <v>0</v>
      </c>
      <c r="R338" s="775"/>
      <c r="S338" s="775"/>
      <c r="T338" s="775">
        <v>0</v>
      </c>
      <c r="U338" s="776"/>
      <c r="V338" s="794">
        <v>80</v>
      </c>
      <c r="W338" s="775" t="s">
        <v>126</v>
      </c>
      <c r="X338" s="775">
        <v>0</v>
      </c>
      <c r="Y338" s="775">
        <v>20</v>
      </c>
      <c r="Z338" s="775"/>
      <c r="AA338" s="775"/>
      <c r="AB338" s="775"/>
      <c r="AC338" s="776"/>
      <c r="AD338" s="775"/>
      <c r="AE338" s="775"/>
      <c r="AF338" s="775"/>
      <c r="AG338" s="775"/>
      <c r="AH338" s="775"/>
      <c r="AI338" s="775"/>
      <c r="AJ338" s="794">
        <v>45</v>
      </c>
      <c r="AK338" s="775"/>
      <c r="AL338" s="773"/>
      <c r="AM338" s="773"/>
      <c r="AN338" s="776"/>
      <c r="AO338" s="769"/>
      <c r="AP338" s="769"/>
      <c r="AQ338" s="773"/>
      <c r="AR338" s="773"/>
      <c r="AS338" s="773"/>
      <c r="AT33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38" s="779">
        <f>WWWW[[#This Row],[%Equitable and continuous access to sufficient quantity of safe drinking water]]*WWWW[[#This Row],[Total PoP ]]</f>
        <v>1790</v>
      </c>
      <c r="AV33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38" s="779">
        <f>WWWW[[#This Row],[% Access to unimproved water points]]*WWWW[[#This Row],[Total PoP ]]</f>
        <v>0</v>
      </c>
      <c r="AX33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3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1790</v>
      </c>
      <c r="AZ338" s="779">
        <f>WWWW[[#This Row],[HRP1]]/250</f>
        <v>7.16</v>
      </c>
      <c r="BA338" s="780">
        <f>1-WWWW[[#This Row],[% Equitable and continuous access to sufficient quantity of domestic water]]</f>
        <v>0</v>
      </c>
      <c r="BB338" s="779">
        <f>WWWW[[#This Row],[%equitable and continuous access to sufficient quantity of safe drinking and domestic water''s GAP]]*WWWW[[#This Row],[Total PoP ]]</f>
        <v>0</v>
      </c>
      <c r="BC338" s="781">
        <f>IF(WWWW[[#This Row],[Total required water points]]-WWWW[[#This Row],['#Water points coverage]]&lt;0,0,WWWW[[#This Row],[Total required water points]]-WWWW[[#This Row],['#Water points coverage]])</f>
        <v>0</v>
      </c>
      <c r="BD338" s="781">
        <f>ROUND(IF(WWWW[[#This Row],[Total PoP ]]&lt;250,1,WWWW[[#This Row],[Total PoP ]]/250),0)</f>
        <v>7</v>
      </c>
      <c r="BE33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0.26815642458100558</v>
      </c>
      <c r="BF338" s="779">
        <f>WWWW[[#This Row],[% people access to functioning Latrine]]*WWWW[[#This Row],[Total PoP ]]</f>
        <v>480</v>
      </c>
      <c r="BG338" s="781">
        <f>WWWW[[#This Row],['#_of_Functioning_latrines_in_school]]*50</f>
        <v>0</v>
      </c>
      <c r="BH338" s="781">
        <f>ROUND((WWWW[[#This Row],[Total PoP ]]/6),0)</f>
        <v>298</v>
      </c>
      <c r="BI338" s="781">
        <f>IF(WWWW[[#This Row],[Total required Latrines]]-(WWWW[[#This Row],['#_of_sanitary_fly-proof_HH_latrines]])&lt;0,0,WWWW[[#This Row],[Total required Latrines]]-(WWWW[[#This Row],['#_of_sanitary_fly-proof_HH_latrines]]))</f>
        <v>218</v>
      </c>
      <c r="BJ338" s="778">
        <f>1-WWWW[[#This Row],[% people access to functioning Latrine]]</f>
        <v>0.73184357541899447</v>
      </c>
      <c r="BK33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38" s="772">
        <f>IF(WWWW[[#This Row],['#_of_functional_handwashing_facilities_at_HH_level]]*6&gt;WWWW[[#This Row],[Total PoP ]],WWWW[[#This Row],[Total PoP ]],WWWW[[#This Row],['#_of_functional_handwashing_facilities_at_HH_level]]*6)</f>
        <v>270</v>
      </c>
      <c r="BM338" s="781">
        <f>IF(WWWW[[#This Row],['# people reached by regular dedicated hygiene promotion]]&gt;WWWW[[#This Row],['# People received regular supply of hygiene items]],WWWW[[#This Row],['# people reached by regular dedicated hygiene promotion]],WWWW[[#This Row],['# People received regular supply of hygiene items]])</f>
        <v>0</v>
      </c>
      <c r="BN338" s="780">
        <f>IF(WWWW[[#This Row],[HRP3]]/WWWW[[#This Row],[Total PoP ]]&gt;100%,100%,WWWW[[#This Row],[HRP3]]/WWWW[[#This Row],[Total PoP ]])</f>
        <v>0</v>
      </c>
      <c r="BO338" s="778">
        <f>1-WWWW[[#This Row],[Hygiene Coverage%]]</f>
        <v>1</v>
      </c>
      <c r="BP338" s="777">
        <f>WWWW[[#This Row],['# people reached by regular dedicated hygiene promotion]]/WWWW[[#This Row],[Total PoP ]]</f>
        <v>0</v>
      </c>
      <c r="BQ33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38" s="770">
        <f>WWWW[[#This Row],['#_of_affected_women_and_girls_receiving_a_sufficient_quantity_of_sanitary_pads]]</f>
        <v>0</v>
      </c>
      <c r="BS338" s="773">
        <f>IF(WWWW[[#This Row],['# People with access to soap]]&gt;WWWW[[#This Row],['# People with access to Sanity Pads]],WWWW[[#This Row],['# People with access to soap]],WWWW[[#This Row],['# People with access to Sanity Pads]])</f>
        <v>0</v>
      </c>
      <c r="BT338" s="772" t="str">
        <f>IF(OR(WWWW[[#This Row],['#of students in school]]="",WWWW[[#This Row],['#of students in school]]=0),"No","Yes")</f>
        <v>Yes</v>
      </c>
      <c r="BU338" s="782" t="str">
        <f>VLOOKUP(WWWW[[#This Row],[Village  Name]],SiteDB6[[Site Name]:[Location Type 1]],9,FALSE)</f>
        <v>Village</v>
      </c>
      <c r="BV338" s="782" t="str">
        <f>VLOOKUP(WWWW[[#This Row],[Village  Name]],SiteDB6[[Site Name]:[Type of Accommodation]],10,FALSE)</f>
        <v>Village</v>
      </c>
      <c r="BW338" s="782" t="str">
        <f>VLOOKUP(WWWW[[#This Row],[Village  Name]],SiteDB6[[Site Name]:[Ethnic or GCA/NGCA]],11,FALSE)</f>
        <v>Muslim</v>
      </c>
      <c r="BX338" s="782">
        <f>VLOOKUP(WWWW[[#This Row],[Village  Name]],SiteDB6[[Site Name]:[Lat]],12,FALSE)</f>
        <v>20.235199999999999</v>
      </c>
      <c r="BY338" s="782">
        <f>VLOOKUP(WWWW[[#This Row],[Village  Name]],SiteDB6[[Site Name]:[Long]],13,FALSE)</f>
        <v>92.805000000000007</v>
      </c>
      <c r="BZ338" s="782">
        <f>VLOOKUP(WWWW[[#This Row],[Village  Name]],SiteDB6[[Site Name]:[Pcode]],3,FALSE)</f>
        <v>196143</v>
      </c>
      <c r="CA338" s="782" t="str">
        <f t="shared" ref="CA338:CA351" si="21">IF(C338="none","Notcovered","Covered")</f>
        <v>Covered</v>
      </c>
      <c r="CB338" s="783"/>
    </row>
    <row r="339" spans="1:80">
      <c r="A339" s="774" t="s">
        <v>3199</v>
      </c>
      <c r="B339" s="727" t="s">
        <v>318</v>
      </c>
      <c r="C339" s="728" t="s">
        <v>318</v>
      </c>
      <c r="D339" s="728" t="s">
        <v>334</v>
      </c>
      <c r="E339" s="728" t="s">
        <v>2648</v>
      </c>
      <c r="F339" s="728" t="s">
        <v>295</v>
      </c>
      <c r="G339" s="644" t="str">
        <f>VLOOKUP(WWWW[[#This Row],[Village  Name]],SiteDB6[[Site Name]:[Location Type]],8,FALSE)</f>
        <v>Village</v>
      </c>
      <c r="H339" s="728" t="s">
        <v>1664</v>
      </c>
      <c r="I339" s="775">
        <v>410</v>
      </c>
      <c r="J339" s="775">
        <v>2100</v>
      </c>
      <c r="K339" s="784">
        <v>43678</v>
      </c>
      <c r="L339" s="785">
        <v>44043</v>
      </c>
      <c r="M339" s="775">
        <v>200</v>
      </c>
      <c r="N339" s="775"/>
      <c r="O339" s="794">
        <v>11</v>
      </c>
      <c r="P339" s="794">
        <v>52</v>
      </c>
      <c r="Q339" s="775"/>
      <c r="R339" s="775"/>
      <c r="S339" s="775"/>
      <c r="T339" s="775">
        <v>1</v>
      </c>
      <c r="U339" s="776"/>
      <c r="V339" s="794">
        <v>280</v>
      </c>
      <c r="W339" s="775" t="s">
        <v>126</v>
      </c>
      <c r="X339" s="775">
        <v>5</v>
      </c>
      <c r="Y339" s="775">
        <v>9</v>
      </c>
      <c r="Z339" s="775"/>
      <c r="AA339" s="775"/>
      <c r="AB339" s="775"/>
      <c r="AC339" s="776"/>
      <c r="AD339" s="775"/>
      <c r="AE339" s="775"/>
      <c r="AF339" s="775"/>
      <c r="AG339" s="775"/>
      <c r="AH339" s="775"/>
      <c r="AI339" s="775"/>
      <c r="AJ339" s="794">
        <v>50</v>
      </c>
      <c r="AK339" s="775"/>
      <c r="AL339" s="773"/>
      <c r="AM339" s="773"/>
      <c r="AN339" s="776"/>
      <c r="AO339" s="769"/>
      <c r="AP339" s="769"/>
      <c r="AQ339" s="773"/>
      <c r="AR339" s="773"/>
      <c r="AS339" s="773"/>
      <c r="AT33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39" s="779">
        <f>WWWW[[#This Row],[%Equitable and continuous access to sufficient quantity of safe drinking water]]*WWWW[[#This Row],[Total PoP ]]</f>
        <v>2100</v>
      </c>
      <c r="AV33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39" s="779">
        <f>WWWW[[#This Row],[% Access to unimproved water points]]*WWWW[[#This Row],[Total PoP ]]</f>
        <v>0</v>
      </c>
      <c r="AX33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3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2100</v>
      </c>
      <c r="AZ339" s="779">
        <f>WWWW[[#This Row],[HRP1]]/250</f>
        <v>8.4</v>
      </c>
      <c r="BA339" s="780">
        <f>1-WWWW[[#This Row],[% Equitable and continuous access to sufficient quantity of domestic water]]</f>
        <v>0</v>
      </c>
      <c r="BB339" s="779">
        <f>WWWW[[#This Row],[%equitable and continuous access to sufficient quantity of safe drinking and domestic water''s GAP]]*WWWW[[#This Row],[Total PoP ]]</f>
        <v>0</v>
      </c>
      <c r="BC339" s="781">
        <f>IF(WWWW[[#This Row],[Total required water points]]-WWWW[[#This Row],['#Water points coverage]]&lt;0,0,WWWW[[#This Row],[Total required water points]]-WWWW[[#This Row],['#Water points coverage]])</f>
        <v>0</v>
      </c>
      <c r="BD339" s="781">
        <f>ROUND(IF(WWWW[[#This Row],[Total PoP ]]&lt;250,1,WWWW[[#This Row],[Total PoP ]]/250),0)</f>
        <v>8</v>
      </c>
      <c r="BE33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v>
      </c>
      <c r="BF339" s="779">
        <f>WWWW[[#This Row],[% people access to functioning Latrine]]*WWWW[[#This Row],[Total PoP ]]</f>
        <v>1680</v>
      </c>
      <c r="BG339" s="781">
        <f>WWWW[[#This Row],['#_of_Functioning_latrines_in_school]]*50</f>
        <v>250</v>
      </c>
      <c r="BH339" s="781">
        <f>ROUND((WWWW[[#This Row],[Total PoP ]]/6),0)</f>
        <v>350</v>
      </c>
      <c r="BI339" s="781">
        <f>IF(WWWW[[#This Row],[Total required Latrines]]-(WWWW[[#This Row],['#_of_sanitary_fly-proof_HH_latrines]])&lt;0,0,WWWW[[#This Row],[Total required Latrines]]-(WWWW[[#This Row],['#_of_sanitary_fly-proof_HH_latrines]]))</f>
        <v>70</v>
      </c>
      <c r="BJ339" s="778">
        <f>1-WWWW[[#This Row],[% people access to functioning Latrine]]</f>
        <v>0.19999999999999996</v>
      </c>
      <c r="BK33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39" s="772">
        <f>IF(WWWW[[#This Row],['#_of_functional_handwashing_facilities_at_HH_level]]*6&gt;WWWW[[#This Row],[Total PoP ]],WWWW[[#This Row],[Total PoP ]],WWWW[[#This Row],['#_of_functional_handwashing_facilities_at_HH_level]]*6)</f>
        <v>300</v>
      </c>
      <c r="BM339" s="781">
        <f>IF(WWWW[[#This Row],['# people reached by regular dedicated hygiene promotion]]&gt;WWWW[[#This Row],['# People received regular supply of hygiene items]],WWWW[[#This Row],['# people reached by regular dedicated hygiene promotion]],WWWW[[#This Row],['# People received regular supply of hygiene items]])</f>
        <v>0</v>
      </c>
      <c r="BN339" s="780">
        <f>IF(WWWW[[#This Row],[HRP3]]/WWWW[[#This Row],[Total PoP ]]&gt;100%,100%,WWWW[[#This Row],[HRP3]]/WWWW[[#This Row],[Total PoP ]])</f>
        <v>0</v>
      </c>
      <c r="BO339" s="778">
        <f>1-WWWW[[#This Row],[Hygiene Coverage%]]</f>
        <v>1</v>
      </c>
      <c r="BP339" s="777">
        <f>WWWW[[#This Row],['# people reached by regular dedicated hygiene promotion]]/WWWW[[#This Row],[Total PoP ]]</f>
        <v>0</v>
      </c>
      <c r="BQ33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39" s="770">
        <f>WWWW[[#This Row],['#_of_affected_women_and_girls_receiving_a_sufficient_quantity_of_sanitary_pads]]</f>
        <v>0</v>
      </c>
      <c r="BS339" s="773">
        <f>IF(WWWW[[#This Row],['# People with access to soap]]&gt;WWWW[[#This Row],['# People with access to Sanity Pads]],WWWW[[#This Row],['# People with access to soap]],WWWW[[#This Row],['# People with access to Sanity Pads]])</f>
        <v>0</v>
      </c>
      <c r="BT339" s="772" t="str">
        <f>IF(OR(WWWW[[#This Row],['#of students in school]]="",WWWW[[#This Row],['#of students in school]]=0),"No","Yes")</f>
        <v>Yes</v>
      </c>
      <c r="BU339" s="782" t="str">
        <f>VLOOKUP(WWWW[[#This Row],[Village  Name]],SiteDB6[[Site Name]:[Location Type 1]],9,FALSE)</f>
        <v>Village</v>
      </c>
      <c r="BV339" s="782" t="str">
        <f>VLOOKUP(WWWW[[#This Row],[Village  Name]],SiteDB6[[Site Name]:[Type of Accommodation]],10,FALSE)</f>
        <v>Village</v>
      </c>
      <c r="BW339" s="782">
        <f>VLOOKUP(WWWW[[#This Row],[Village  Name]],SiteDB6[[Site Name]:[Ethnic or GCA/NGCA]],11,FALSE)</f>
        <v>0</v>
      </c>
      <c r="BX339" s="782">
        <f>VLOOKUP(WWWW[[#This Row],[Village  Name]],SiteDB6[[Site Name]:[Lat]],12,FALSE)</f>
        <v>20.2351894378662</v>
      </c>
      <c r="BY339" s="782">
        <f>VLOOKUP(WWWW[[#This Row],[Village  Name]],SiteDB6[[Site Name]:[Long]],13,FALSE)</f>
        <v>92.790191650390597</v>
      </c>
      <c r="BZ339" s="782">
        <f>VLOOKUP(WWWW[[#This Row],[Village  Name]],SiteDB6[[Site Name]:[Pcode]],3,FALSE)</f>
        <v>196138</v>
      </c>
      <c r="CA339" s="782" t="str">
        <f t="shared" si="21"/>
        <v>Covered</v>
      </c>
      <c r="CB339" s="783"/>
    </row>
    <row r="340" spans="1:80">
      <c r="A340" s="774" t="s">
        <v>3199</v>
      </c>
      <c r="B340" s="727" t="s">
        <v>318</v>
      </c>
      <c r="C340" s="728" t="s">
        <v>318</v>
      </c>
      <c r="D340" s="728" t="s">
        <v>334</v>
      </c>
      <c r="E340" s="728" t="s">
        <v>2648</v>
      </c>
      <c r="F340" s="728" t="s">
        <v>295</v>
      </c>
      <c r="G340" s="644" t="str">
        <f>VLOOKUP(WWWW[[#This Row],[Village  Name]],SiteDB6[[Site Name]:[Location Type]],8,FALSE)</f>
        <v>Village</v>
      </c>
      <c r="H340" s="728" t="s">
        <v>3107</v>
      </c>
      <c r="I340" s="775">
        <v>187</v>
      </c>
      <c r="J340" s="775">
        <v>913</v>
      </c>
      <c r="K340" s="784">
        <v>43678</v>
      </c>
      <c r="L340" s="785">
        <v>44043</v>
      </c>
      <c r="M340" s="775">
        <v>110</v>
      </c>
      <c r="N340" s="775"/>
      <c r="O340" s="794">
        <v>7</v>
      </c>
      <c r="P340" s="794">
        <v>10</v>
      </c>
      <c r="Q340" s="775">
        <v>0</v>
      </c>
      <c r="R340" s="775"/>
      <c r="S340" s="775"/>
      <c r="T340" s="775"/>
      <c r="U340" s="776"/>
      <c r="V340" s="794">
        <v>12</v>
      </c>
      <c r="W340" s="775" t="s">
        <v>126</v>
      </c>
      <c r="X340" s="775">
        <v>0</v>
      </c>
      <c r="Y340" s="775">
        <v>14</v>
      </c>
      <c r="Z340" s="775"/>
      <c r="AA340" s="775"/>
      <c r="AB340" s="775"/>
      <c r="AC340" s="776"/>
      <c r="AD340" s="775"/>
      <c r="AE340" s="775"/>
      <c r="AF340" s="775"/>
      <c r="AG340" s="775"/>
      <c r="AH340" s="775"/>
      <c r="AI340" s="775"/>
      <c r="AJ340" s="794">
        <v>50</v>
      </c>
      <c r="AK340" s="775"/>
      <c r="AL340" s="773"/>
      <c r="AM340" s="773"/>
      <c r="AN340" s="776"/>
      <c r="AO340" s="769"/>
      <c r="AP340" s="769"/>
      <c r="AQ340" s="773"/>
      <c r="AR340" s="773"/>
      <c r="AS340" s="773"/>
      <c r="AT34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40" s="779">
        <f>WWWW[[#This Row],[%Equitable and continuous access to sufficient quantity of safe drinking water]]*WWWW[[#This Row],[Total PoP ]]</f>
        <v>913</v>
      </c>
      <c r="AV34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40" s="779">
        <f>WWWW[[#This Row],[% Access to unimproved water points]]*WWWW[[#This Row],[Total PoP ]]</f>
        <v>0</v>
      </c>
      <c r="AX34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4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913</v>
      </c>
      <c r="AZ340" s="779">
        <f>WWWW[[#This Row],[HRP1]]/250</f>
        <v>3.6520000000000001</v>
      </c>
      <c r="BA340" s="780">
        <f>1-WWWW[[#This Row],[% Equitable and continuous access to sufficient quantity of domestic water]]</f>
        <v>0</v>
      </c>
      <c r="BB340" s="779">
        <f>WWWW[[#This Row],[%equitable and continuous access to sufficient quantity of safe drinking and domestic water''s GAP]]*WWWW[[#This Row],[Total PoP ]]</f>
        <v>0</v>
      </c>
      <c r="BC340" s="781">
        <f>IF(WWWW[[#This Row],[Total required water points]]-WWWW[[#This Row],['#Water points coverage]]&lt;0,0,WWWW[[#This Row],[Total required water points]]-WWWW[[#This Row],['#Water points coverage]])</f>
        <v>0.34799999999999986</v>
      </c>
      <c r="BD340" s="781">
        <f>ROUND(IF(WWWW[[#This Row],[Total PoP ]]&lt;250,1,WWWW[[#This Row],[Total PoP ]]/250),0)</f>
        <v>4</v>
      </c>
      <c r="BE34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7.8860898138006577E-2</v>
      </c>
      <c r="BF340" s="779">
        <f>WWWW[[#This Row],[% people access to functioning Latrine]]*WWWW[[#This Row],[Total PoP ]]</f>
        <v>72</v>
      </c>
      <c r="BG340" s="781">
        <f>WWWW[[#This Row],['#_of_Functioning_latrines_in_school]]*50</f>
        <v>0</v>
      </c>
      <c r="BH340" s="781">
        <f>ROUND((WWWW[[#This Row],[Total PoP ]]/6),0)</f>
        <v>152</v>
      </c>
      <c r="BI340" s="781">
        <f>IF(WWWW[[#This Row],[Total required Latrines]]-(WWWW[[#This Row],['#_of_sanitary_fly-proof_HH_latrines]])&lt;0,0,WWWW[[#This Row],[Total required Latrines]]-(WWWW[[#This Row],['#_of_sanitary_fly-proof_HH_latrines]]))</f>
        <v>140</v>
      </c>
      <c r="BJ340" s="778">
        <f>1-WWWW[[#This Row],[% people access to functioning Latrine]]</f>
        <v>0.92113910186199344</v>
      </c>
      <c r="BK34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40" s="772">
        <f>IF(WWWW[[#This Row],['#_of_functional_handwashing_facilities_at_HH_level]]*6&gt;WWWW[[#This Row],[Total PoP ]],WWWW[[#This Row],[Total PoP ]],WWWW[[#This Row],['#_of_functional_handwashing_facilities_at_HH_level]]*6)</f>
        <v>300</v>
      </c>
      <c r="BM340" s="781">
        <f>IF(WWWW[[#This Row],['# people reached by regular dedicated hygiene promotion]]&gt;WWWW[[#This Row],['# People received regular supply of hygiene items]],WWWW[[#This Row],['# people reached by regular dedicated hygiene promotion]],WWWW[[#This Row],['# People received regular supply of hygiene items]])</f>
        <v>0</v>
      </c>
      <c r="BN340" s="780">
        <f>IF(WWWW[[#This Row],[HRP3]]/WWWW[[#This Row],[Total PoP ]]&gt;100%,100%,WWWW[[#This Row],[HRP3]]/WWWW[[#This Row],[Total PoP ]])</f>
        <v>0</v>
      </c>
      <c r="BO340" s="778">
        <f>1-WWWW[[#This Row],[Hygiene Coverage%]]</f>
        <v>1</v>
      </c>
      <c r="BP340" s="777">
        <f>WWWW[[#This Row],['# people reached by regular dedicated hygiene promotion]]/WWWW[[#This Row],[Total PoP ]]</f>
        <v>0</v>
      </c>
      <c r="BQ34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40" s="770">
        <f>WWWW[[#This Row],['#_of_affected_women_and_girls_receiving_a_sufficient_quantity_of_sanitary_pads]]</f>
        <v>0</v>
      </c>
      <c r="BS340" s="773">
        <f>IF(WWWW[[#This Row],['# People with access to soap]]&gt;WWWW[[#This Row],['# People with access to Sanity Pads]],WWWW[[#This Row],['# People with access to soap]],WWWW[[#This Row],['# People with access to Sanity Pads]])</f>
        <v>0</v>
      </c>
      <c r="BT340" s="772" t="str">
        <f>IF(OR(WWWW[[#This Row],['#of students in school]]="",WWWW[[#This Row],['#of students in school]]=0),"No","Yes")</f>
        <v>Yes</v>
      </c>
      <c r="BU340" s="782" t="str">
        <f>VLOOKUP(WWWW[[#This Row],[Village  Name]],SiteDB6[[Site Name]:[Location Type 1]],9,FALSE)</f>
        <v>Village</v>
      </c>
      <c r="BV340" s="782" t="str">
        <f>VLOOKUP(WWWW[[#This Row],[Village  Name]],SiteDB6[[Site Name]:[Type of Accommodation]],10,FALSE)</f>
        <v>Village</v>
      </c>
      <c r="BW340" s="782">
        <f>VLOOKUP(WWWW[[#This Row],[Village  Name]],SiteDB6[[Site Name]:[Ethnic or GCA/NGCA]],11,FALSE)</f>
        <v>0</v>
      </c>
      <c r="BX340" s="782">
        <f>VLOOKUP(WWWW[[#This Row],[Village  Name]],SiteDB6[[Site Name]:[Lat]],12,FALSE)</f>
        <v>0</v>
      </c>
      <c r="BY340" s="782">
        <f>VLOOKUP(WWWW[[#This Row],[Village  Name]],SiteDB6[[Site Name]:[Long]],13,FALSE)</f>
        <v>0</v>
      </c>
      <c r="BZ340" s="782">
        <f>VLOOKUP(WWWW[[#This Row],[Village  Name]],SiteDB6[[Site Name]:[Pcode]],3,FALSE)</f>
        <v>0</v>
      </c>
      <c r="CA340" s="782" t="str">
        <f t="shared" si="21"/>
        <v>Covered</v>
      </c>
      <c r="CB340" s="783"/>
    </row>
    <row r="341" spans="1:80">
      <c r="A341" s="774" t="s">
        <v>3199</v>
      </c>
      <c r="B341" s="727" t="s">
        <v>318</v>
      </c>
      <c r="C341" s="728" t="s">
        <v>318</v>
      </c>
      <c r="D341" s="728" t="s">
        <v>334</v>
      </c>
      <c r="E341" s="728" t="s">
        <v>2648</v>
      </c>
      <c r="F341" s="728" t="s">
        <v>295</v>
      </c>
      <c r="G341" s="644" t="str">
        <f>VLOOKUP(WWWW[[#This Row],[Village  Name]],SiteDB6[[Site Name]:[Location Type]],8,FALSE)</f>
        <v>Village</v>
      </c>
      <c r="H341" s="728" t="s">
        <v>3108</v>
      </c>
      <c r="I341" s="775">
        <v>164</v>
      </c>
      <c r="J341" s="775">
        <v>1172</v>
      </c>
      <c r="K341" s="784">
        <v>43678</v>
      </c>
      <c r="L341" s="785">
        <v>44043</v>
      </c>
      <c r="M341" s="775">
        <v>50</v>
      </c>
      <c r="N341" s="775"/>
      <c r="O341" s="794">
        <v>2</v>
      </c>
      <c r="P341" s="794">
        <v>70</v>
      </c>
      <c r="Q341" s="775">
        <v>0</v>
      </c>
      <c r="R341" s="775"/>
      <c r="S341" s="775">
        <v>0</v>
      </c>
      <c r="T341" s="775">
        <v>0</v>
      </c>
      <c r="U341" s="776"/>
      <c r="V341" s="794">
        <v>20</v>
      </c>
      <c r="W341" s="775" t="s">
        <v>126</v>
      </c>
      <c r="X341" s="775"/>
      <c r="Y341" s="775">
        <v>10</v>
      </c>
      <c r="Z341" s="775"/>
      <c r="AA341" s="775"/>
      <c r="AB341" s="775"/>
      <c r="AC341" s="776"/>
      <c r="AD341" s="775"/>
      <c r="AE341" s="775"/>
      <c r="AF341" s="775"/>
      <c r="AG341" s="775"/>
      <c r="AH341" s="775"/>
      <c r="AI341" s="775"/>
      <c r="AJ341" s="794">
        <v>50</v>
      </c>
      <c r="AK341" s="775"/>
      <c r="AL341" s="773"/>
      <c r="AM341" s="773"/>
      <c r="AN341" s="776"/>
      <c r="AO341" s="769"/>
      <c r="AP341" s="769"/>
      <c r="AQ341" s="773"/>
      <c r="AR341" s="773"/>
      <c r="AS341" s="773"/>
      <c r="AT34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41" s="779">
        <f>WWWW[[#This Row],[%Equitable and continuous access to sufficient quantity of safe drinking water]]*WWWW[[#This Row],[Total PoP ]]</f>
        <v>1172</v>
      </c>
      <c r="AV34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41" s="779">
        <f>WWWW[[#This Row],[% Access to unimproved water points]]*WWWW[[#This Row],[Total PoP ]]</f>
        <v>0</v>
      </c>
      <c r="AX34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4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1172</v>
      </c>
      <c r="AZ341" s="779">
        <f>WWWW[[#This Row],[HRP1]]/250</f>
        <v>4.6879999999999997</v>
      </c>
      <c r="BA341" s="780">
        <f>1-WWWW[[#This Row],[% Equitable and continuous access to sufficient quantity of domestic water]]</f>
        <v>0</v>
      </c>
      <c r="BB341" s="779">
        <f>WWWW[[#This Row],[%equitable and continuous access to sufficient quantity of safe drinking and domestic water''s GAP]]*WWWW[[#This Row],[Total PoP ]]</f>
        <v>0</v>
      </c>
      <c r="BC341" s="781">
        <f>IF(WWWW[[#This Row],[Total required water points]]-WWWW[[#This Row],['#Water points coverage]]&lt;0,0,WWWW[[#This Row],[Total required water points]]-WWWW[[#This Row],['#Water points coverage]])</f>
        <v>0.31200000000000028</v>
      </c>
      <c r="BD341" s="781">
        <f>ROUND(IF(WWWW[[#This Row],[Total PoP ]]&lt;250,1,WWWW[[#This Row],[Total PoP ]]/250),0)</f>
        <v>5</v>
      </c>
      <c r="BE34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0.10238907849829351</v>
      </c>
      <c r="BF341" s="779">
        <f>WWWW[[#This Row],[% people access to functioning Latrine]]*WWWW[[#This Row],[Total PoP ]]</f>
        <v>120</v>
      </c>
      <c r="BG341" s="781">
        <f>WWWW[[#This Row],['#_of_Functioning_latrines_in_school]]*50</f>
        <v>0</v>
      </c>
      <c r="BH341" s="781">
        <f>ROUND((WWWW[[#This Row],[Total PoP ]]/6),0)</f>
        <v>195</v>
      </c>
      <c r="BI341" s="781">
        <f>IF(WWWW[[#This Row],[Total required Latrines]]-(WWWW[[#This Row],['#_of_sanitary_fly-proof_HH_latrines]])&lt;0,0,WWWW[[#This Row],[Total required Latrines]]-(WWWW[[#This Row],['#_of_sanitary_fly-proof_HH_latrines]]))</f>
        <v>175</v>
      </c>
      <c r="BJ341" s="778">
        <f>1-WWWW[[#This Row],[% people access to functioning Latrine]]</f>
        <v>0.89761092150170652</v>
      </c>
      <c r="BK34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41" s="772">
        <f>IF(WWWW[[#This Row],['#_of_functional_handwashing_facilities_at_HH_level]]*6&gt;WWWW[[#This Row],[Total PoP ]],WWWW[[#This Row],[Total PoP ]],WWWW[[#This Row],['#_of_functional_handwashing_facilities_at_HH_level]]*6)</f>
        <v>300</v>
      </c>
      <c r="BM341" s="781">
        <f>IF(WWWW[[#This Row],['# people reached by regular dedicated hygiene promotion]]&gt;WWWW[[#This Row],['# People received regular supply of hygiene items]],WWWW[[#This Row],['# people reached by regular dedicated hygiene promotion]],WWWW[[#This Row],['# People received regular supply of hygiene items]])</f>
        <v>0</v>
      </c>
      <c r="BN341" s="780">
        <f>IF(WWWW[[#This Row],[HRP3]]/WWWW[[#This Row],[Total PoP ]]&gt;100%,100%,WWWW[[#This Row],[HRP3]]/WWWW[[#This Row],[Total PoP ]])</f>
        <v>0</v>
      </c>
      <c r="BO341" s="778">
        <f>1-WWWW[[#This Row],[Hygiene Coverage%]]</f>
        <v>1</v>
      </c>
      <c r="BP341" s="777">
        <f>WWWW[[#This Row],['# people reached by regular dedicated hygiene promotion]]/WWWW[[#This Row],[Total PoP ]]</f>
        <v>0</v>
      </c>
      <c r="BQ34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41" s="770">
        <f>WWWW[[#This Row],['#_of_affected_women_and_girls_receiving_a_sufficient_quantity_of_sanitary_pads]]</f>
        <v>0</v>
      </c>
      <c r="BS341" s="773">
        <f>IF(WWWW[[#This Row],['# People with access to soap]]&gt;WWWW[[#This Row],['# People with access to Sanity Pads]],WWWW[[#This Row],['# People with access to soap]],WWWW[[#This Row],['# People with access to Sanity Pads]])</f>
        <v>0</v>
      </c>
      <c r="BT341" s="772" t="str">
        <f>IF(OR(WWWW[[#This Row],['#of students in school]]="",WWWW[[#This Row],['#of students in school]]=0),"No","Yes")</f>
        <v>Yes</v>
      </c>
      <c r="BU341" s="782" t="str">
        <f>VLOOKUP(WWWW[[#This Row],[Village  Name]],SiteDB6[[Site Name]:[Location Type 1]],9,FALSE)</f>
        <v>Village</v>
      </c>
      <c r="BV341" s="782" t="str">
        <f>VLOOKUP(WWWW[[#This Row],[Village  Name]],SiteDB6[[Site Name]:[Type of Accommodation]],10,FALSE)</f>
        <v>Village</v>
      </c>
      <c r="BW341" s="782">
        <f>VLOOKUP(WWWW[[#This Row],[Village  Name]],SiteDB6[[Site Name]:[Ethnic or GCA/NGCA]],11,FALSE)</f>
        <v>0</v>
      </c>
      <c r="BX341" s="782">
        <f>VLOOKUP(WWWW[[#This Row],[Village  Name]],SiteDB6[[Site Name]:[Lat]],12,FALSE)</f>
        <v>0</v>
      </c>
      <c r="BY341" s="782">
        <f>VLOOKUP(WWWW[[#This Row],[Village  Name]],SiteDB6[[Site Name]:[Long]],13,FALSE)</f>
        <v>0</v>
      </c>
      <c r="BZ341" s="782">
        <f>VLOOKUP(WWWW[[#This Row],[Village  Name]],SiteDB6[[Site Name]:[Pcode]],3,FALSE)</f>
        <v>0</v>
      </c>
      <c r="CA341" s="782" t="str">
        <f t="shared" si="21"/>
        <v>Covered</v>
      </c>
      <c r="CB341" s="783"/>
    </row>
    <row r="342" spans="1:80">
      <c r="A342" s="774" t="s">
        <v>3199</v>
      </c>
      <c r="B342" s="727" t="s">
        <v>318</v>
      </c>
      <c r="C342" s="728" t="s">
        <v>318</v>
      </c>
      <c r="D342" s="728" t="s">
        <v>334</v>
      </c>
      <c r="E342" s="728" t="s">
        <v>2648</v>
      </c>
      <c r="F342" s="728" t="s">
        <v>295</v>
      </c>
      <c r="G342" s="644" t="str">
        <f>VLOOKUP(WWWW[[#This Row],[Village  Name]],SiteDB6[[Site Name]:[Location Type]],8,FALSE)</f>
        <v>Village</v>
      </c>
      <c r="H342" s="728" t="s">
        <v>3109</v>
      </c>
      <c r="I342" s="775">
        <v>126</v>
      </c>
      <c r="J342" s="775">
        <v>636</v>
      </c>
      <c r="K342" s="784">
        <v>43678</v>
      </c>
      <c r="L342" s="785">
        <v>44043</v>
      </c>
      <c r="M342" s="775">
        <v>136</v>
      </c>
      <c r="N342" s="775"/>
      <c r="O342" s="794"/>
      <c r="P342" s="794">
        <v>23</v>
      </c>
      <c r="Q342" s="775">
        <v>0</v>
      </c>
      <c r="R342" s="775"/>
      <c r="S342" s="775"/>
      <c r="T342" s="775"/>
      <c r="U342" s="776"/>
      <c r="V342" s="794">
        <v>57</v>
      </c>
      <c r="W342" s="775" t="s">
        <v>126</v>
      </c>
      <c r="X342" s="775">
        <v>0</v>
      </c>
      <c r="Y342" s="775">
        <v>15</v>
      </c>
      <c r="Z342" s="775"/>
      <c r="AA342" s="775"/>
      <c r="AB342" s="775"/>
      <c r="AC342" s="776"/>
      <c r="AD342" s="775"/>
      <c r="AE342" s="775"/>
      <c r="AF342" s="775"/>
      <c r="AG342" s="775"/>
      <c r="AH342" s="775"/>
      <c r="AI342" s="775"/>
      <c r="AJ342" s="794">
        <v>48</v>
      </c>
      <c r="AK342" s="775"/>
      <c r="AL342" s="773"/>
      <c r="AM342" s="773"/>
      <c r="AN342" s="776"/>
      <c r="AO342" s="769"/>
      <c r="AP342" s="769"/>
      <c r="AQ342" s="773"/>
      <c r="AR342" s="773"/>
      <c r="AS342" s="773"/>
      <c r="AT34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42" s="779">
        <f>WWWW[[#This Row],[%Equitable and continuous access to sufficient quantity of safe drinking water]]*WWWW[[#This Row],[Total PoP ]]</f>
        <v>636</v>
      </c>
      <c r="AV34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42" s="779">
        <f>WWWW[[#This Row],[% Access to unimproved water points]]*WWWW[[#This Row],[Total PoP ]]</f>
        <v>0</v>
      </c>
      <c r="AX34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4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636</v>
      </c>
      <c r="AZ342" s="779">
        <f>WWWW[[#This Row],[HRP1]]/250</f>
        <v>2.544</v>
      </c>
      <c r="BA342" s="780">
        <f>1-WWWW[[#This Row],[% Equitable and continuous access to sufficient quantity of domestic water]]</f>
        <v>0</v>
      </c>
      <c r="BB342" s="779">
        <f>WWWW[[#This Row],[%equitable and continuous access to sufficient quantity of safe drinking and domestic water''s GAP]]*WWWW[[#This Row],[Total PoP ]]</f>
        <v>0</v>
      </c>
      <c r="BC342" s="781">
        <f>IF(WWWW[[#This Row],[Total required water points]]-WWWW[[#This Row],['#Water points coverage]]&lt;0,0,WWWW[[#This Row],[Total required water points]]-WWWW[[#This Row],['#Water points coverage]])</f>
        <v>0.45599999999999996</v>
      </c>
      <c r="BD342" s="781">
        <f>ROUND(IF(WWWW[[#This Row],[Total PoP ]]&lt;250,1,WWWW[[#This Row],[Total PoP ]]/250),0)</f>
        <v>3</v>
      </c>
      <c r="BE34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0.53773584905660377</v>
      </c>
      <c r="BF342" s="779">
        <f>WWWW[[#This Row],[% people access to functioning Latrine]]*WWWW[[#This Row],[Total PoP ]]</f>
        <v>342</v>
      </c>
      <c r="BG342" s="781">
        <f>WWWW[[#This Row],['#_of_Functioning_latrines_in_school]]*50</f>
        <v>0</v>
      </c>
      <c r="BH342" s="781">
        <f>ROUND((WWWW[[#This Row],[Total PoP ]]/6),0)</f>
        <v>106</v>
      </c>
      <c r="BI342" s="781">
        <f>IF(WWWW[[#This Row],[Total required Latrines]]-(WWWW[[#This Row],['#_of_sanitary_fly-proof_HH_latrines]])&lt;0,0,WWWW[[#This Row],[Total required Latrines]]-(WWWW[[#This Row],['#_of_sanitary_fly-proof_HH_latrines]]))</f>
        <v>49</v>
      </c>
      <c r="BJ342" s="778">
        <f>1-WWWW[[#This Row],[% people access to functioning Latrine]]</f>
        <v>0.46226415094339623</v>
      </c>
      <c r="BK34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42" s="772">
        <f>IF(WWWW[[#This Row],['#_of_functional_handwashing_facilities_at_HH_level]]*6&gt;WWWW[[#This Row],[Total PoP ]],WWWW[[#This Row],[Total PoP ]],WWWW[[#This Row],['#_of_functional_handwashing_facilities_at_HH_level]]*6)</f>
        <v>288</v>
      </c>
      <c r="BM342" s="781">
        <f>IF(WWWW[[#This Row],['# people reached by regular dedicated hygiene promotion]]&gt;WWWW[[#This Row],['# People received regular supply of hygiene items]],WWWW[[#This Row],['# people reached by regular dedicated hygiene promotion]],WWWW[[#This Row],['# People received regular supply of hygiene items]])</f>
        <v>0</v>
      </c>
      <c r="BN342" s="780">
        <f>IF(WWWW[[#This Row],[HRP3]]/WWWW[[#This Row],[Total PoP ]]&gt;100%,100%,WWWW[[#This Row],[HRP3]]/WWWW[[#This Row],[Total PoP ]])</f>
        <v>0</v>
      </c>
      <c r="BO342" s="778">
        <f>1-WWWW[[#This Row],[Hygiene Coverage%]]</f>
        <v>1</v>
      </c>
      <c r="BP342" s="777">
        <f>WWWW[[#This Row],['# people reached by regular dedicated hygiene promotion]]/WWWW[[#This Row],[Total PoP ]]</f>
        <v>0</v>
      </c>
      <c r="BQ34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42" s="770">
        <f>WWWW[[#This Row],['#_of_affected_women_and_girls_receiving_a_sufficient_quantity_of_sanitary_pads]]</f>
        <v>0</v>
      </c>
      <c r="BS342" s="773">
        <f>IF(WWWW[[#This Row],['# People with access to soap]]&gt;WWWW[[#This Row],['# People with access to Sanity Pads]],WWWW[[#This Row],['# People with access to soap]],WWWW[[#This Row],['# People with access to Sanity Pads]])</f>
        <v>0</v>
      </c>
      <c r="BT342" s="772" t="str">
        <f>IF(OR(WWWW[[#This Row],['#of students in school]]="",WWWW[[#This Row],['#of students in school]]=0),"No","Yes")</f>
        <v>Yes</v>
      </c>
      <c r="BU342" s="782" t="str">
        <f>VLOOKUP(WWWW[[#This Row],[Village  Name]],SiteDB6[[Site Name]:[Location Type 1]],9,FALSE)</f>
        <v>Village</v>
      </c>
      <c r="BV342" s="782" t="str">
        <f>VLOOKUP(WWWW[[#This Row],[Village  Name]],SiteDB6[[Site Name]:[Type of Accommodation]],10,FALSE)</f>
        <v>Village</v>
      </c>
      <c r="BW342" s="782">
        <f>VLOOKUP(WWWW[[#This Row],[Village  Name]],SiteDB6[[Site Name]:[Ethnic or GCA/NGCA]],11,FALSE)</f>
        <v>0</v>
      </c>
      <c r="BX342" s="782">
        <f>VLOOKUP(WWWW[[#This Row],[Village  Name]],SiteDB6[[Site Name]:[Lat]],12,FALSE)</f>
        <v>0</v>
      </c>
      <c r="BY342" s="782">
        <f>VLOOKUP(WWWW[[#This Row],[Village  Name]],SiteDB6[[Site Name]:[Long]],13,FALSE)</f>
        <v>0</v>
      </c>
      <c r="BZ342" s="782">
        <f>VLOOKUP(WWWW[[#This Row],[Village  Name]],SiteDB6[[Site Name]:[Pcode]],3,FALSE)</f>
        <v>0</v>
      </c>
      <c r="CA342" s="782" t="str">
        <f t="shared" si="21"/>
        <v>Covered</v>
      </c>
      <c r="CB342" s="783"/>
    </row>
    <row r="343" spans="1:80">
      <c r="A343" s="774" t="s">
        <v>3199</v>
      </c>
      <c r="B343" s="727" t="s">
        <v>318</v>
      </c>
      <c r="C343" s="728" t="s">
        <v>318</v>
      </c>
      <c r="D343" s="728" t="s">
        <v>334</v>
      </c>
      <c r="E343" s="728" t="s">
        <v>2648</v>
      </c>
      <c r="F343" s="728" t="s">
        <v>295</v>
      </c>
      <c r="G343" s="644" t="str">
        <f>VLOOKUP(WWWW[[#This Row],[Village  Name]],SiteDB6[[Site Name]:[Location Type]],8,FALSE)</f>
        <v>Village</v>
      </c>
      <c r="H343" s="728" t="s">
        <v>442</v>
      </c>
      <c r="I343" s="775">
        <v>240</v>
      </c>
      <c r="J343" s="775">
        <v>1150</v>
      </c>
      <c r="K343" s="784">
        <v>43678</v>
      </c>
      <c r="L343" s="785">
        <v>44043</v>
      </c>
      <c r="M343" s="775">
        <v>320</v>
      </c>
      <c r="N343" s="775"/>
      <c r="O343" s="794">
        <v>10</v>
      </c>
      <c r="P343" s="794">
        <v>40</v>
      </c>
      <c r="Q343" s="775">
        <v>0</v>
      </c>
      <c r="R343" s="775"/>
      <c r="S343" s="775">
        <v>0</v>
      </c>
      <c r="T343" s="775">
        <v>0</v>
      </c>
      <c r="U343" s="776"/>
      <c r="V343" s="794">
        <v>100</v>
      </c>
      <c r="W343" s="775" t="s">
        <v>126</v>
      </c>
      <c r="X343" s="775">
        <v>6</v>
      </c>
      <c r="Y343" s="775">
        <v>15</v>
      </c>
      <c r="Z343" s="775"/>
      <c r="AA343" s="775"/>
      <c r="AB343" s="775"/>
      <c r="AC343" s="776"/>
      <c r="AD343" s="775"/>
      <c r="AE343" s="775"/>
      <c r="AF343" s="775"/>
      <c r="AG343" s="775"/>
      <c r="AH343" s="775"/>
      <c r="AI343" s="775"/>
      <c r="AJ343" s="794">
        <v>46</v>
      </c>
      <c r="AK343" s="775"/>
      <c r="AL343" s="773"/>
      <c r="AM343" s="773"/>
      <c r="AN343" s="776"/>
      <c r="AO343" s="769"/>
      <c r="AP343" s="769"/>
      <c r="AQ343" s="773"/>
      <c r="AR343" s="773"/>
      <c r="AS343" s="773"/>
      <c r="AT34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43" s="779">
        <f>WWWW[[#This Row],[%Equitable and continuous access to sufficient quantity of safe drinking water]]*WWWW[[#This Row],[Total PoP ]]</f>
        <v>1150</v>
      </c>
      <c r="AV34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43" s="779">
        <f>WWWW[[#This Row],[% Access to unimproved water points]]*WWWW[[#This Row],[Total PoP ]]</f>
        <v>0</v>
      </c>
      <c r="AX34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4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1150</v>
      </c>
      <c r="AZ343" s="779">
        <f>WWWW[[#This Row],[HRP1]]/250</f>
        <v>4.5999999999999996</v>
      </c>
      <c r="BA343" s="780">
        <f>1-WWWW[[#This Row],[% Equitable and continuous access to sufficient quantity of domestic water]]</f>
        <v>0</v>
      </c>
      <c r="BB343" s="779">
        <f>WWWW[[#This Row],[%equitable and continuous access to sufficient quantity of safe drinking and domestic water''s GAP]]*WWWW[[#This Row],[Total PoP ]]</f>
        <v>0</v>
      </c>
      <c r="BC343" s="781">
        <f>IF(WWWW[[#This Row],[Total required water points]]-WWWW[[#This Row],['#Water points coverage]]&lt;0,0,WWWW[[#This Row],[Total required water points]]-WWWW[[#This Row],['#Water points coverage]])</f>
        <v>0.40000000000000036</v>
      </c>
      <c r="BD343" s="781">
        <f>ROUND(IF(WWWW[[#This Row],[Total PoP ]]&lt;250,1,WWWW[[#This Row],[Total PoP ]]/250),0)</f>
        <v>5</v>
      </c>
      <c r="BE34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0.52173913043478259</v>
      </c>
      <c r="BF343" s="779">
        <f>WWWW[[#This Row],[% people access to functioning Latrine]]*WWWW[[#This Row],[Total PoP ]]</f>
        <v>600</v>
      </c>
      <c r="BG343" s="781">
        <f>WWWW[[#This Row],['#_of_Functioning_latrines_in_school]]*50</f>
        <v>300</v>
      </c>
      <c r="BH343" s="781">
        <f>ROUND((WWWW[[#This Row],[Total PoP ]]/6),0)</f>
        <v>192</v>
      </c>
      <c r="BI343" s="781">
        <f>IF(WWWW[[#This Row],[Total required Latrines]]-(WWWW[[#This Row],['#_of_sanitary_fly-proof_HH_latrines]])&lt;0,0,WWWW[[#This Row],[Total required Latrines]]-(WWWW[[#This Row],['#_of_sanitary_fly-proof_HH_latrines]]))</f>
        <v>92</v>
      </c>
      <c r="BJ343" s="778">
        <f>1-WWWW[[#This Row],[% people access to functioning Latrine]]</f>
        <v>0.47826086956521741</v>
      </c>
      <c r="BK34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43" s="772">
        <f>IF(WWWW[[#This Row],['#_of_functional_handwashing_facilities_at_HH_level]]*6&gt;WWWW[[#This Row],[Total PoP ]],WWWW[[#This Row],[Total PoP ]],WWWW[[#This Row],['#_of_functional_handwashing_facilities_at_HH_level]]*6)</f>
        <v>276</v>
      </c>
      <c r="BM343" s="781">
        <f>IF(WWWW[[#This Row],['# people reached by regular dedicated hygiene promotion]]&gt;WWWW[[#This Row],['# People received regular supply of hygiene items]],WWWW[[#This Row],['# people reached by regular dedicated hygiene promotion]],WWWW[[#This Row],['# People received regular supply of hygiene items]])</f>
        <v>0</v>
      </c>
      <c r="BN343" s="780">
        <f>IF(WWWW[[#This Row],[HRP3]]/WWWW[[#This Row],[Total PoP ]]&gt;100%,100%,WWWW[[#This Row],[HRP3]]/WWWW[[#This Row],[Total PoP ]])</f>
        <v>0</v>
      </c>
      <c r="BO343" s="778">
        <f>1-WWWW[[#This Row],[Hygiene Coverage%]]</f>
        <v>1</v>
      </c>
      <c r="BP343" s="777">
        <f>WWWW[[#This Row],['# people reached by regular dedicated hygiene promotion]]/WWWW[[#This Row],[Total PoP ]]</f>
        <v>0</v>
      </c>
      <c r="BQ34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43" s="770">
        <f>WWWW[[#This Row],['#_of_affected_women_and_girls_receiving_a_sufficient_quantity_of_sanitary_pads]]</f>
        <v>0</v>
      </c>
      <c r="BS343" s="773">
        <f>IF(WWWW[[#This Row],['# People with access to soap]]&gt;WWWW[[#This Row],['# People with access to Sanity Pads]],WWWW[[#This Row],['# People with access to soap]],WWWW[[#This Row],['# People with access to Sanity Pads]])</f>
        <v>0</v>
      </c>
      <c r="BT343" s="772" t="str">
        <f>IF(OR(WWWW[[#This Row],['#of students in school]]="",WWWW[[#This Row],['#of students in school]]=0),"No","Yes")</f>
        <v>Yes</v>
      </c>
      <c r="BU343" s="782" t="str">
        <f>VLOOKUP(WWWW[[#This Row],[Village  Name]],SiteDB6[[Site Name]:[Location Type 1]],9,FALSE)</f>
        <v>Village</v>
      </c>
      <c r="BV343" s="782" t="str">
        <f>VLOOKUP(WWWW[[#This Row],[Village  Name]],SiteDB6[[Site Name]:[Type of Accommodation]],10,FALSE)</f>
        <v>Village</v>
      </c>
      <c r="BW343" s="782" t="str">
        <f>VLOOKUP(WWWW[[#This Row],[Village  Name]],SiteDB6[[Site Name]:[Ethnic or GCA/NGCA]],11,FALSE)</f>
        <v>Muslim</v>
      </c>
      <c r="BX343" s="782">
        <f>VLOOKUP(WWWW[[#This Row],[Village  Name]],SiteDB6[[Site Name]:[Lat]],12,FALSE)</f>
        <v>20.212700000000002</v>
      </c>
      <c r="BY343" s="782">
        <f>VLOOKUP(WWWW[[#This Row],[Village  Name]],SiteDB6[[Site Name]:[Long]],13,FALSE)</f>
        <v>92.820800000000006</v>
      </c>
      <c r="BZ343" s="782">
        <f>VLOOKUP(WWWW[[#This Row],[Village  Name]],SiteDB6[[Site Name]:[Pcode]],3,FALSE)</f>
        <v>196144</v>
      </c>
      <c r="CA343" s="782" t="str">
        <f t="shared" si="21"/>
        <v>Covered</v>
      </c>
      <c r="CB343" s="783"/>
    </row>
    <row r="344" spans="1:80">
      <c r="A344" s="774" t="s">
        <v>3199</v>
      </c>
      <c r="B344" s="727" t="s">
        <v>318</v>
      </c>
      <c r="C344" s="728" t="s">
        <v>318</v>
      </c>
      <c r="D344" s="728" t="s">
        <v>334</v>
      </c>
      <c r="E344" s="728" t="s">
        <v>2648</v>
      </c>
      <c r="F344" s="728" t="s">
        <v>295</v>
      </c>
      <c r="G344" s="644" t="str">
        <f>VLOOKUP(WWWW[[#This Row],[Village  Name]],SiteDB6[[Site Name]:[Location Type]],8,FALSE)</f>
        <v>Village</v>
      </c>
      <c r="H344" s="728" t="s">
        <v>871</v>
      </c>
      <c r="I344" s="775">
        <v>430</v>
      </c>
      <c r="J344" s="775">
        <v>1530</v>
      </c>
      <c r="K344" s="784">
        <v>43678</v>
      </c>
      <c r="L344" s="785">
        <v>44043</v>
      </c>
      <c r="M344" s="775">
        <v>480</v>
      </c>
      <c r="N344" s="775"/>
      <c r="O344" s="794">
        <v>30</v>
      </c>
      <c r="P344" s="794">
        <v>124</v>
      </c>
      <c r="Q344" s="775">
        <v>0</v>
      </c>
      <c r="R344" s="775"/>
      <c r="S344" s="775"/>
      <c r="T344" s="775">
        <v>1</v>
      </c>
      <c r="U344" s="776"/>
      <c r="V344" s="794">
        <v>130</v>
      </c>
      <c r="W344" s="775" t="s">
        <v>126</v>
      </c>
      <c r="X344" s="775">
        <v>6</v>
      </c>
      <c r="Y344" s="775">
        <v>2</v>
      </c>
      <c r="Z344" s="775"/>
      <c r="AA344" s="775"/>
      <c r="AB344" s="775"/>
      <c r="AC344" s="776"/>
      <c r="AD344" s="775"/>
      <c r="AE344" s="775"/>
      <c r="AF344" s="775"/>
      <c r="AG344" s="775"/>
      <c r="AH344" s="775"/>
      <c r="AI344" s="775"/>
      <c r="AJ344" s="794">
        <v>42</v>
      </c>
      <c r="AK344" s="775"/>
      <c r="AL344" s="773"/>
      <c r="AM344" s="773"/>
      <c r="AN344" s="776"/>
      <c r="AO344" s="769"/>
      <c r="AP344" s="769"/>
      <c r="AQ344" s="773"/>
      <c r="AR344" s="773"/>
      <c r="AS344" s="773"/>
      <c r="AT34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44" s="779">
        <f>WWWW[[#This Row],[%Equitable and continuous access to sufficient quantity of safe drinking water]]*WWWW[[#This Row],[Total PoP ]]</f>
        <v>1530</v>
      </c>
      <c r="AV34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44" s="779">
        <f>WWWW[[#This Row],[% Access to unimproved water points]]*WWWW[[#This Row],[Total PoP ]]</f>
        <v>0</v>
      </c>
      <c r="AX34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4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1530</v>
      </c>
      <c r="AZ344" s="779">
        <f>WWWW[[#This Row],[HRP1]]/250</f>
        <v>6.12</v>
      </c>
      <c r="BA344" s="780">
        <f>1-WWWW[[#This Row],[% Equitable and continuous access to sufficient quantity of domestic water]]</f>
        <v>0</v>
      </c>
      <c r="BB344" s="779">
        <f>WWWW[[#This Row],[%equitable and continuous access to sufficient quantity of safe drinking and domestic water''s GAP]]*WWWW[[#This Row],[Total PoP ]]</f>
        <v>0</v>
      </c>
      <c r="BC344" s="781">
        <f>IF(WWWW[[#This Row],[Total required water points]]-WWWW[[#This Row],['#Water points coverage]]&lt;0,0,WWWW[[#This Row],[Total required water points]]-WWWW[[#This Row],['#Water points coverage]])</f>
        <v>0</v>
      </c>
      <c r="BD344" s="781">
        <f>ROUND(IF(WWWW[[#This Row],[Total PoP ]]&lt;250,1,WWWW[[#This Row],[Total PoP ]]/250),0)</f>
        <v>6</v>
      </c>
      <c r="BE34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0.50980392156862742</v>
      </c>
      <c r="BF344" s="779">
        <f>WWWW[[#This Row],[% people access to functioning Latrine]]*WWWW[[#This Row],[Total PoP ]]</f>
        <v>780</v>
      </c>
      <c r="BG344" s="781">
        <f>WWWW[[#This Row],['#_of_Functioning_latrines_in_school]]*50</f>
        <v>300</v>
      </c>
      <c r="BH344" s="781">
        <f>ROUND((WWWW[[#This Row],[Total PoP ]]/6),0)</f>
        <v>255</v>
      </c>
      <c r="BI344" s="781">
        <f>IF(WWWW[[#This Row],[Total required Latrines]]-(WWWW[[#This Row],['#_of_sanitary_fly-proof_HH_latrines]])&lt;0,0,WWWW[[#This Row],[Total required Latrines]]-(WWWW[[#This Row],['#_of_sanitary_fly-proof_HH_latrines]]))</f>
        <v>125</v>
      </c>
      <c r="BJ344" s="778">
        <f>1-WWWW[[#This Row],[% people access to functioning Latrine]]</f>
        <v>0.49019607843137258</v>
      </c>
      <c r="BK34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44" s="772">
        <f>IF(WWWW[[#This Row],['#_of_functional_handwashing_facilities_at_HH_level]]*6&gt;WWWW[[#This Row],[Total PoP ]],WWWW[[#This Row],[Total PoP ]],WWWW[[#This Row],['#_of_functional_handwashing_facilities_at_HH_level]]*6)</f>
        <v>252</v>
      </c>
      <c r="BM344" s="781">
        <f>IF(WWWW[[#This Row],['# people reached by regular dedicated hygiene promotion]]&gt;WWWW[[#This Row],['# People received regular supply of hygiene items]],WWWW[[#This Row],['# people reached by regular dedicated hygiene promotion]],WWWW[[#This Row],['# People received regular supply of hygiene items]])</f>
        <v>0</v>
      </c>
      <c r="BN344" s="780">
        <f>IF(WWWW[[#This Row],[HRP3]]/WWWW[[#This Row],[Total PoP ]]&gt;100%,100%,WWWW[[#This Row],[HRP3]]/WWWW[[#This Row],[Total PoP ]])</f>
        <v>0</v>
      </c>
      <c r="BO344" s="778">
        <f>1-WWWW[[#This Row],[Hygiene Coverage%]]</f>
        <v>1</v>
      </c>
      <c r="BP344" s="777">
        <f>WWWW[[#This Row],['# people reached by regular dedicated hygiene promotion]]/WWWW[[#This Row],[Total PoP ]]</f>
        <v>0</v>
      </c>
      <c r="BQ34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44" s="770">
        <f>WWWW[[#This Row],['#_of_affected_women_and_girls_receiving_a_sufficient_quantity_of_sanitary_pads]]</f>
        <v>0</v>
      </c>
      <c r="BS344" s="773">
        <f>IF(WWWW[[#This Row],['# People with access to soap]]&gt;WWWW[[#This Row],['# People with access to Sanity Pads]],WWWW[[#This Row],['# People with access to soap]],WWWW[[#This Row],['# People with access to Sanity Pads]])</f>
        <v>0</v>
      </c>
      <c r="BT344" s="772" t="str">
        <f>IF(OR(WWWW[[#This Row],['#of students in school]]="",WWWW[[#This Row],['#of students in school]]=0),"No","Yes")</f>
        <v>Yes</v>
      </c>
      <c r="BU344" s="782" t="str">
        <f>VLOOKUP(WWWW[[#This Row],[Village  Name]],SiteDB6[[Site Name]:[Location Type 1]],9,FALSE)</f>
        <v>Village</v>
      </c>
      <c r="BV344" s="782" t="str">
        <f>VLOOKUP(WWWW[[#This Row],[Village  Name]],SiteDB6[[Site Name]:[Type of Accommodation]],10,FALSE)</f>
        <v>Village</v>
      </c>
      <c r="BW344" s="782" t="str">
        <f>VLOOKUP(WWWW[[#This Row],[Village  Name]],SiteDB6[[Site Name]:[Ethnic or GCA/NGCA]],11,FALSE)</f>
        <v>Muslim</v>
      </c>
      <c r="BX344" s="782">
        <f>VLOOKUP(WWWW[[#This Row],[Village  Name]],SiteDB6[[Site Name]:[Lat]],12,FALSE)</f>
        <v>20.219509120000001</v>
      </c>
      <c r="BY344" s="782">
        <f>VLOOKUP(WWWW[[#This Row],[Village  Name]],SiteDB6[[Site Name]:[Long]],13,FALSE)</f>
        <v>92.811332699999994</v>
      </c>
      <c r="BZ344" s="782">
        <f>VLOOKUP(WWWW[[#This Row],[Village  Name]],SiteDB6[[Site Name]:[Pcode]],3,FALSE)</f>
        <v>196145</v>
      </c>
      <c r="CA344" s="782" t="str">
        <f t="shared" si="21"/>
        <v>Covered</v>
      </c>
      <c r="CB344" s="783"/>
    </row>
    <row r="345" spans="1:80">
      <c r="A345" s="774" t="s">
        <v>3199</v>
      </c>
      <c r="B345" s="727" t="s">
        <v>318</v>
      </c>
      <c r="C345" s="728" t="s">
        <v>318</v>
      </c>
      <c r="D345" s="728" t="s">
        <v>334</v>
      </c>
      <c r="E345" s="728" t="s">
        <v>2648</v>
      </c>
      <c r="F345" s="728" t="s">
        <v>295</v>
      </c>
      <c r="G345" s="644" t="str">
        <f>VLOOKUP(WWWW[[#This Row],[Village  Name]],SiteDB6[[Site Name]:[Location Type]],8,FALSE)</f>
        <v>Village</v>
      </c>
      <c r="H345" s="728" t="s">
        <v>838</v>
      </c>
      <c r="I345" s="775">
        <v>150</v>
      </c>
      <c r="J345" s="775">
        <v>590</v>
      </c>
      <c r="K345" s="784">
        <v>43678</v>
      </c>
      <c r="L345" s="785">
        <v>44043</v>
      </c>
      <c r="M345" s="775">
        <v>112</v>
      </c>
      <c r="N345" s="775"/>
      <c r="O345" s="794">
        <v>4</v>
      </c>
      <c r="P345" s="794">
        <v>28</v>
      </c>
      <c r="Q345" s="775">
        <v>0</v>
      </c>
      <c r="R345" s="775"/>
      <c r="S345" s="775">
        <v>0</v>
      </c>
      <c r="T345" s="775">
        <v>1</v>
      </c>
      <c r="U345" s="776"/>
      <c r="V345" s="794">
        <v>83</v>
      </c>
      <c r="W345" s="775" t="s">
        <v>126</v>
      </c>
      <c r="X345" s="775">
        <v>2</v>
      </c>
      <c r="Y345" s="775">
        <v>0</v>
      </c>
      <c r="Z345" s="775"/>
      <c r="AA345" s="775"/>
      <c r="AB345" s="775"/>
      <c r="AC345" s="776"/>
      <c r="AD345" s="775"/>
      <c r="AE345" s="775"/>
      <c r="AF345" s="775"/>
      <c r="AG345" s="775"/>
      <c r="AH345" s="775"/>
      <c r="AI345" s="775"/>
      <c r="AJ345" s="794">
        <v>43</v>
      </c>
      <c r="AK345" s="775"/>
      <c r="AL345" s="773"/>
      <c r="AM345" s="773"/>
      <c r="AN345" s="776"/>
      <c r="AO345" s="769"/>
      <c r="AP345" s="769"/>
      <c r="AQ345" s="773"/>
      <c r="AR345" s="773"/>
      <c r="AS345" s="773"/>
      <c r="AT34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45" s="779">
        <f>WWWW[[#This Row],[%Equitable and continuous access to sufficient quantity of safe drinking water]]*WWWW[[#This Row],[Total PoP ]]</f>
        <v>590</v>
      </c>
      <c r="AV34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45" s="779">
        <f>WWWW[[#This Row],[% Access to unimproved water points]]*WWWW[[#This Row],[Total PoP ]]</f>
        <v>0</v>
      </c>
      <c r="AX34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4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590</v>
      </c>
      <c r="AZ345" s="779">
        <f>WWWW[[#This Row],[HRP1]]/250</f>
        <v>2.36</v>
      </c>
      <c r="BA345" s="780">
        <f>1-WWWW[[#This Row],[% Equitable and continuous access to sufficient quantity of domestic water]]</f>
        <v>0</v>
      </c>
      <c r="BB345" s="779">
        <f>WWWW[[#This Row],[%equitable and continuous access to sufficient quantity of safe drinking and domestic water''s GAP]]*WWWW[[#This Row],[Total PoP ]]</f>
        <v>0</v>
      </c>
      <c r="BC345" s="781">
        <f>IF(WWWW[[#This Row],[Total required water points]]-WWWW[[#This Row],['#Water points coverage]]&lt;0,0,WWWW[[#This Row],[Total required water points]]-WWWW[[#This Row],['#Water points coverage]])</f>
        <v>0</v>
      </c>
      <c r="BD345" s="781">
        <f>ROUND(IF(WWWW[[#This Row],[Total PoP ]]&lt;250,1,WWWW[[#This Row],[Total PoP ]]/250),0)</f>
        <v>2</v>
      </c>
      <c r="BE34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0.84406779661016951</v>
      </c>
      <c r="BF345" s="779">
        <f>WWWW[[#This Row],[% people access to functioning Latrine]]*WWWW[[#This Row],[Total PoP ]]</f>
        <v>498</v>
      </c>
      <c r="BG345" s="781">
        <f>WWWW[[#This Row],['#_of_Functioning_latrines_in_school]]*50</f>
        <v>100</v>
      </c>
      <c r="BH345" s="781">
        <f>ROUND((WWWW[[#This Row],[Total PoP ]]/6),0)</f>
        <v>98</v>
      </c>
      <c r="BI345" s="781">
        <f>IF(WWWW[[#This Row],[Total required Latrines]]-(WWWW[[#This Row],['#_of_sanitary_fly-proof_HH_latrines]])&lt;0,0,WWWW[[#This Row],[Total required Latrines]]-(WWWW[[#This Row],['#_of_sanitary_fly-proof_HH_latrines]]))</f>
        <v>15</v>
      </c>
      <c r="BJ345" s="778">
        <f>1-WWWW[[#This Row],[% people access to functioning Latrine]]</f>
        <v>0.15593220338983049</v>
      </c>
      <c r="BK34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45" s="772">
        <f>IF(WWWW[[#This Row],['#_of_functional_handwashing_facilities_at_HH_level]]*6&gt;WWWW[[#This Row],[Total PoP ]],WWWW[[#This Row],[Total PoP ]],WWWW[[#This Row],['#_of_functional_handwashing_facilities_at_HH_level]]*6)</f>
        <v>258</v>
      </c>
      <c r="BM345" s="781">
        <f>IF(WWWW[[#This Row],['# people reached by regular dedicated hygiene promotion]]&gt;WWWW[[#This Row],['# People received regular supply of hygiene items]],WWWW[[#This Row],['# people reached by regular dedicated hygiene promotion]],WWWW[[#This Row],['# People received regular supply of hygiene items]])</f>
        <v>0</v>
      </c>
      <c r="BN345" s="780">
        <f>IF(WWWW[[#This Row],[HRP3]]/WWWW[[#This Row],[Total PoP ]]&gt;100%,100%,WWWW[[#This Row],[HRP3]]/WWWW[[#This Row],[Total PoP ]])</f>
        <v>0</v>
      </c>
      <c r="BO345" s="778">
        <f>1-WWWW[[#This Row],[Hygiene Coverage%]]</f>
        <v>1</v>
      </c>
      <c r="BP345" s="777">
        <f>WWWW[[#This Row],['# people reached by regular dedicated hygiene promotion]]/WWWW[[#This Row],[Total PoP ]]</f>
        <v>0</v>
      </c>
      <c r="BQ34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45" s="770">
        <f>WWWW[[#This Row],['#_of_affected_women_and_girls_receiving_a_sufficient_quantity_of_sanitary_pads]]</f>
        <v>0</v>
      </c>
      <c r="BS345" s="773">
        <f>IF(WWWW[[#This Row],['# People with access to soap]]&gt;WWWW[[#This Row],['# People with access to Sanity Pads]],WWWW[[#This Row],['# People with access to soap]],WWWW[[#This Row],['# People with access to Sanity Pads]])</f>
        <v>0</v>
      </c>
      <c r="BT345" s="772" t="str">
        <f>IF(OR(WWWW[[#This Row],['#of students in school]]="",WWWW[[#This Row],['#of students in school]]=0),"No","Yes")</f>
        <v>Yes</v>
      </c>
      <c r="BU345" s="782" t="str">
        <f>VLOOKUP(WWWW[[#This Row],[Village  Name]],SiteDB6[[Site Name]:[Location Type 1]],9,FALSE)</f>
        <v>Village</v>
      </c>
      <c r="BV345" s="782" t="str">
        <f>VLOOKUP(WWWW[[#This Row],[Village  Name]],SiteDB6[[Site Name]:[Type of Accommodation]],10,FALSE)</f>
        <v>Village</v>
      </c>
      <c r="BW345" s="782" t="str">
        <f>VLOOKUP(WWWW[[#This Row],[Village  Name]],SiteDB6[[Site Name]:[Ethnic or GCA/NGCA]],11,FALSE)</f>
        <v>Rakhine</v>
      </c>
      <c r="BX345" s="782">
        <f>VLOOKUP(WWWW[[#This Row],[Village  Name]],SiteDB6[[Site Name]:[Lat]],12,FALSE)</f>
        <v>20.2199096679688</v>
      </c>
      <c r="BY345" s="782">
        <f>VLOOKUP(WWWW[[#This Row],[Village  Name]],SiteDB6[[Site Name]:[Long]],13,FALSE)</f>
        <v>92.7716064453125</v>
      </c>
      <c r="BZ345" s="782">
        <f>VLOOKUP(WWWW[[#This Row],[Village  Name]],SiteDB6[[Site Name]:[Pcode]],3,FALSE)</f>
        <v>196141</v>
      </c>
      <c r="CA345" s="782" t="str">
        <f t="shared" si="21"/>
        <v>Covered</v>
      </c>
      <c r="CB345" s="783"/>
    </row>
    <row r="346" spans="1:80">
      <c r="A346" s="774" t="s">
        <v>3199</v>
      </c>
      <c r="B346" s="727" t="s">
        <v>318</v>
      </c>
      <c r="C346" s="728" t="s">
        <v>318</v>
      </c>
      <c r="D346" s="728" t="s">
        <v>334</v>
      </c>
      <c r="E346" s="728" t="s">
        <v>2648</v>
      </c>
      <c r="F346" s="728" t="s">
        <v>295</v>
      </c>
      <c r="G346" s="644" t="str">
        <f>VLOOKUP(WWWW[[#This Row],[Village  Name]],SiteDB6[[Site Name]:[Location Type]],8,FALSE)</f>
        <v>Village</v>
      </c>
      <c r="H346" s="728" t="s">
        <v>835</v>
      </c>
      <c r="I346" s="775">
        <v>289</v>
      </c>
      <c r="J346" s="775">
        <v>3400</v>
      </c>
      <c r="K346" s="784">
        <v>43678</v>
      </c>
      <c r="L346" s="785">
        <v>44043</v>
      </c>
      <c r="M346" s="775">
        <v>287</v>
      </c>
      <c r="N346" s="775"/>
      <c r="O346" s="794">
        <v>0</v>
      </c>
      <c r="P346" s="794">
        <v>200</v>
      </c>
      <c r="Q346" s="775">
        <v>0</v>
      </c>
      <c r="R346" s="775"/>
      <c r="S346" s="775">
        <v>0</v>
      </c>
      <c r="T346" s="775">
        <v>0</v>
      </c>
      <c r="U346" s="776"/>
      <c r="V346" s="794">
        <v>50</v>
      </c>
      <c r="W346" s="775" t="s">
        <v>126</v>
      </c>
      <c r="X346" s="775">
        <v>3</v>
      </c>
      <c r="Y346" s="775">
        <v>6</v>
      </c>
      <c r="Z346" s="775"/>
      <c r="AA346" s="775"/>
      <c r="AB346" s="775"/>
      <c r="AC346" s="776"/>
      <c r="AD346" s="775"/>
      <c r="AE346" s="775"/>
      <c r="AF346" s="775"/>
      <c r="AG346" s="775"/>
      <c r="AH346" s="775"/>
      <c r="AI346" s="775"/>
      <c r="AJ346" s="794">
        <v>44</v>
      </c>
      <c r="AK346" s="775"/>
      <c r="AL346" s="773"/>
      <c r="AM346" s="773"/>
      <c r="AN346" s="776"/>
      <c r="AO346" s="769"/>
      <c r="AP346" s="769"/>
      <c r="AQ346" s="773"/>
      <c r="AR346" s="773"/>
      <c r="AS346" s="773"/>
      <c r="AT34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46" s="779">
        <f>WWWW[[#This Row],[%Equitable and continuous access to sufficient quantity of safe drinking water]]*WWWW[[#This Row],[Total PoP ]]</f>
        <v>3400</v>
      </c>
      <c r="AV34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46" s="779">
        <f>WWWW[[#This Row],[% Access to unimproved water points]]*WWWW[[#This Row],[Total PoP ]]</f>
        <v>0</v>
      </c>
      <c r="AX34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4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3400</v>
      </c>
      <c r="AZ346" s="779">
        <f>WWWW[[#This Row],[HRP1]]/250</f>
        <v>13.6</v>
      </c>
      <c r="BA346" s="780">
        <f>1-WWWW[[#This Row],[% Equitable and continuous access to sufficient quantity of domestic water]]</f>
        <v>0</v>
      </c>
      <c r="BB346" s="779">
        <f>WWWW[[#This Row],[%equitable and continuous access to sufficient quantity of safe drinking and domestic water''s GAP]]*WWWW[[#This Row],[Total PoP ]]</f>
        <v>0</v>
      </c>
      <c r="BC346" s="781">
        <f>IF(WWWW[[#This Row],[Total required water points]]-WWWW[[#This Row],['#Water points coverage]]&lt;0,0,WWWW[[#This Row],[Total required water points]]-WWWW[[#This Row],['#Water points coverage]])</f>
        <v>0.40000000000000036</v>
      </c>
      <c r="BD346" s="781">
        <f>ROUND(IF(WWWW[[#This Row],[Total PoP ]]&lt;250,1,WWWW[[#This Row],[Total PoP ]]/250),0)</f>
        <v>14</v>
      </c>
      <c r="BE34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8.8235294117647065E-2</v>
      </c>
      <c r="BF346" s="779">
        <f>WWWW[[#This Row],[% people access to functioning Latrine]]*WWWW[[#This Row],[Total PoP ]]</f>
        <v>300</v>
      </c>
      <c r="BG346" s="781">
        <f>WWWW[[#This Row],['#_of_Functioning_latrines_in_school]]*50</f>
        <v>150</v>
      </c>
      <c r="BH346" s="781">
        <f>ROUND((WWWW[[#This Row],[Total PoP ]]/6),0)</f>
        <v>567</v>
      </c>
      <c r="BI346" s="781">
        <f>IF(WWWW[[#This Row],[Total required Latrines]]-(WWWW[[#This Row],['#_of_sanitary_fly-proof_HH_latrines]])&lt;0,0,WWWW[[#This Row],[Total required Latrines]]-(WWWW[[#This Row],['#_of_sanitary_fly-proof_HH_latrines]]))</f>
        <v>517</v>
      </c>
      <c r="BJ346" s="778">
        <f>1-WWWW[[#This Row],[% people access to functioning Latrine]]</f>
        <v>0.91176470588235292</v>
      </c>
      <c r="BK34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46" s="772">
        <f>IF(WWWW[[#This Row],['#_of_functional_handwashing_facilities_at_HH_level]]*6&gt;WWWW[[#This Row],[Total PoP ]],WWWW[[#This Row],[Total PoP ]],WWWW[[#This Row],['#_of_functional_handwashing_facilities_at_HH_level]]*6)</f>
        <v>264</v>
      </c>
      <c r="BM346" s="781">
        <f>IF(WWWW[[#This Row],['# people reached by regular dedicated hygiene promotion]]&gt;WWWW[[#This Row],['# People received regular supply of hygiene items]],WWWW[[#This Row],['# people reached by regular dedicated hygiene promotion]],WWWW[[#This Row],['# People received regular supply of hygiene items]])</f>
        <v>0</v>
      </c>
      <c r="BN346" s="780">
        <f>IF(WWWW[[#This Row],[HRP3]]/WWWW[[#This Row],[Total PoP ]]&gt;100%,100%,WWWW[[#This Row],[HRP3]]/WWWW[[#This Row],[Total PoP ]])</f>
        <v>0</v>
      </c>
      <c r="BO346" s="778">
        <f>1-WWWW[[#This Row],[Hygiene Coverage%]]</f>
        <v>1</v>
      </c>
      <c r="BP346" s="777">
        <f>WWWW[[#This Row],['# people reached by regular dedicated hygiene promotion]]/WWWW[[#This Row],[Total PoP ]]</f>
        <v>0</v>
      </c>
      <c r="BQ34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46" s="770">
        <f>WWWW[[#This Row],['#_of_affected_women_and_girls_receiving_a_sufficient_quantity_of_sanitary_pads]]</f>
        <v>0</v>
      </c>
      <c r="BS346" s="773">
        <f>IF(WWWW[[#This Row],['# People with access to soap]]&gt;WWWW[[#This Row],['# People with access to Sanity Pads]],WWWW[[#This Row],['# People with access to soap]],WWWW[[#This Row],['# People with access to Sanity Pads]])</f>
        <v>0</v>
      </c>
      <c r="BT346" s="772" t="str">
        <f>IF(OR(WWWW[[#This Row],['#of students in school]]="",WWWW[[#This Row],['#of students in school]]=0),"No","Yes")</f>
        <v>Yes</v>
      </c>
      <c r="BU346" s="782" t="str">
        <f>VLOOKUP(WWWW[[#This Row],[Village  Name]],SiteDB6[[Site Name]:[Location Type 1]],9,FALSE)</f>
        <v>Village</v>
      </c>
      <c r="BV346" s="782" t="str">
        <f>VLOOKUP(WWWW[[#This Row],[Village  Name]],SiteDB6[[Site Name]:[Type of Accommodation]],10,FALSE)</f>
        <v>Village</v>
      </c>
      <c r="BW346" s="782" t="str">
        <f>VLOOKUP(WWWW[[#This Row],[Village  Name]],SiteDB6[[Site Name]:[Ethnic or GCA/NGCA]],11,FALSE)</f>
        <v>Muslim</v>
      </c>
      <c r="BX346" s="782">
        <f>VLOOKUP(WWWW[[#This Row],[Village  Name]],SiteDB6[[Site Name]:[Lat]],12,FALSE)</f>
        <v>20.208799362182599</v>
      </c>
      <c r="BY346" s="782">
        <f>VLOOKUP(WWWW[[#This Row],[Village  Name]],SiteDB6[[Site Name]:[Long]],13,FALSE)</f>
        <v>92.794113159179702</v>
      </c>
      <c r="BZ346" s="782">
        <f>VLOOKUP(WWWW[[#This Row],[Village  Name]],SiteDB6[[Site Name]:[Pcode]],3,FALSE)</f>
        <v>196142</v>
      </c>
      <c r="CA346" s="782" t="str">
        <f t="shared" si="21"/>
        <v>Covered</v>
      </c>
      <c r="CB346" s="783"/>
    </row>
    <row r="347" spans="1:80">
      <c r="A347" s="774" t="s">
        <v>3199</v>
      </c>
      <c r="B347" s="727" t="s">
        <v>287</v>
      </c>
      <c r="C347" s="728" t="s">
        <v>287</v>
      </c>
      <c r="D347" s="728" t="s">
        <v>327</v>
      </c>
      <c r="E347" s="728" t="s">
        <v>2648</v>
      </c>
      <c r="F347" s="728" t="s">
        <v>402</v>
      </c>
      <c r="G347" s="644" t="str">
        <f>VLOOKUP(WWWW[[#This Row],[Village  Name]],SiteDB6[[Site Name]:[Location Type]],8,FALSE)</f>
        <v>Village</v>
      </c>
      <c r="H347" s="728" t="s">
        <v>3159</v>
      </c>
      <c r="I347" s="775">
        <v>106</v>
      </c>
      <c r="J347" s="775">
        <v>469</v>
      </c>
      <c r="K347" s="784">
        <v>43359</v>
      </c>
      <c r="L347" s="785">
        <v>44196</v>
      </c>
      <c r="M347" s="775">
        <v>189</v>
      </c>
      <c r="N347" s="775"/>
      <c r="O347" s="773"/>
      <c r="P347" s="775"/>
      <c r="Q347" s="775">
        <v>0</v>
      </c>
      <c r="R347" s="775"/>
      <c r="S347" s="775">
        <v>469</v>
      </c>
      <c r="T347" s="775">
        <v>1</v>
      </c>
      <c r="U347" s="776"/>
      <c r="V347" s="775">
        <v>30</v>
      </c>
      <c r="W347" s="775" t="s">
        <v>40</v>
      </c>
      <c r="X347" s="775">
        <v>14</v>
      </c>
      <c r="Y347" s="775">
        <v>9</v>
      </c>
      <c r="Z347" s="775"/>
      <c r="AA347" s="775"/>
      <c r="AB347" s="775"/>
      <c r="AC347" s="776"/>
      <c r="AD347" s="775"/>
      <c r="AE347" s="775"/>
      <c r="AF347" s="775"/>
      <c r="AG347" s="775"/>
      <c r="AH347" s="775"/>
      <c r="AI347" s="775"/>
      <c r="AJ347" s="773"/>
      <c r="AK347" s="775"/>
      <c r="AL347" s="773"/>
      <c r="AM347" s="773"/>
      <c r="AN347" s="776"/>
      <c r="AO347" s="769"/>
      <c r="AP347" s="769"/>
      <c r="AQ347" s="773"/>
      <c r="AR347" s="773"/>
      <c r="AS347" s="773"/>
      <c r="AT34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0.53304904051172708</v>
      </c>
      <c r="AU347" s="779">
        <f>WWWW[[#This Row],[%Equitable and continuous access to sufficient quantity of safe drinking water]]*WWWW[[#This Row],[Total PoP ]]</f>
        <v>250</v>
      </c>
      <c r="AV34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47" s="779">
        <f>WWWW[[#This Row],[% Access to unimproved water points]]*WWWW[[#This Row],[Total PoP ]]</f>
        <v>469</v>
      </c>
      <c r="AX34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4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469</v>
      </c>
      <c r="AZ347" s="779">
        <f>WWWW[[#This Row],[HRP1]]/250</f>
        <v>1.8759999999999999</v>
      </c>
      <c r="BA347" s="780">
        <f>1-WWWW[[#This Row],[% Equitable and continuous access to sufficient quantity of domestic water]]</f>
        <v>0</v>
      </c>
      <c r="BB347" s="779">
        <f>WWWW[[#This Row],[%equitable and continuous access to sufficient quantity of safe drinking and domestic water''s GAP]]*WWWW[[#This Row],[Total PoP ]]</f>
        <v>0</v>
      </c>
      <c r="BC347" s="781">
        <f>IF(WWWW[[#This Row],[Total required water points]]-WWWW[[#This Row],['#Water points coverage]]&lt;0,0,WWWW[[#This Row],[Total required water points]]-WWWW[[#This Row],['#Water points coverage]])</f>
        <v>0.12400000000000011</v>
      </c>
      <c r="BD347" s="781">
        <f>ROUND(IF(WWWW[[#This Row],[Total PoP ]]&lt;250,1,WWWW[[#This Row],[Total PoP ]]/250),0)</f>
        <v>2</v>
      </c>
      <c r="BE34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0.38379530916844351</v>
      </c>
      <c r="BF347" s="779">
        <f>WWWW[[#This Row],[% people access to functioning Latrine]]*WWWW[[#This Row],[Total PoP ]]</f>
        <v>180</v>
      </c>
      <c r="BG347" s="781">
        <f>WWWW[[#This Row],['#_of_Functioning_latrines_in_school]]*50</f>
        <v>700</v>
      </c>
      <c r="BH347" s="781">
        <f>ROUND((WWWW[[#This Row],[Total PoP ]]/6),0)</f>
        <v>78</v>
      </c>
      <c r="BI347" s="781">
        <f>IF(WWWW[[#This Row],[Total required Latrines]]-(WWWW[[#This Row],['#_of_sanitary_fly-proof_HH_latrines]])&lt;0,0,WWWW[[#This Row],[Total required Latrines]]-(WWWW[[#This Row],['#_of_sanitary_fly-proof_HH_latrines]]))</f>
        <v>48</v>
      </c>
      <c r="BJ347" s="778">
        <f>1-WWWW[[#This Row],[% people access to functioning Latrine]]</f>
        <v>0.61620469083155649</v>
      </c>
      <c r="BK34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47" s="772">
        <f>IF(WWWW[[#This Row],['#_of_functional_handwashing_facilities_at_HH_level]]*6&gt;WWWW[[#This Row],[Total PoP ]],WWWW[[#This Row],[Total PoP ]],WWWW[[#This Row],['#_of_functional_handwashing_facilities_at_HH_level]]*6)</f>
        <v>0</v>
      </c>
      <c r="BM347" s="781">
        <f>IF(WWWW[[#This Row],['# people reached by regular dedicated hygiene promotion]]&gt;WWWW[[#This Row],['# People received regular supply of hygiene items]],WWWW[[#This Row],['# people reached by regular dedicated hygiene promotion]],WWWW[[#This Row],['# People received regular supply of hygiene items]])</f>
        <v>0</v>
      </c>
      <c r="BN347" s="780">
        <f>IF(WWWW[[#This Row],[HRP3]]/WWWW[[#This Row],[Total PoP ]]&gt;100%,100%,WWWW[[#This Row],[HRP3]]/WWWW[[#This Row],[Total PoP ]])</f>
        <v>0</v>
      </c>
      <c r="BO347" s="778">
        <f>1-WWWW[[#This Row],[Hygiene Coverage%]]</f>
        <v>1</v>
      </c>
      <c r="BP347" s="777">
        <f>WWWW[[#This Row],['# people reached by regular dedicated hygiene promotion]]/WWWW[[#This Row],[Total PoP ]]</f>
        <v>0</v>
      </c>
      <c r="BQ34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47" s="770">
        <f>WWWW[[#This Row],['#_of_affected_women_and_girls_receiving_a_sufficient_quantity_of_sanitary_pads]]</f>
        <v>0</v>
      </c>
      <c r="BS347" s="773">
        <f>IF(WWWW[[#This Row],['# People with access to soap]]&gt;WWWW[[#This Row],['# People with access to Sanity Pads]],WWWW[[#This Row],['# People with access to soap]],WWWW[[#This Row],['# People with access to Sanity Pads]])</f>
        <v>0</v>
      </c>
      <c r="BT347" s="772" t="str">
        <f>IF(OR(WWWW[[#This Row],['#of students in school]]="",WWWW[[#This Row],['#of students in school]]=0),"No","Yes")</f>
        <v>Yes</v>
      </c>
      <c r="BU347" s="782" t="str">
        <f>VLOOKUP(WWWW[[#This Row],[Village  Name]],SiteDB6[[Site Name]:[Location Type 1]],9,FALSE)</f>
        <v>Village</v>
      </c>
      <c r="BV347" s="782" t="str">
        <f>VLOOKUP(WWWW[[#This Row],[Village  Name]],SiteDB6[[Site Name]:[Type of Accommodation]],10,FALSE)</f>
        <v>Village</v>
      </c>
      <c r="BW347" s="782">
        <f>VLOOKUP(WWWW[[#This Row],[Village  Name]],SiteDB6[[Site Name]:[Ethnic or GCA/NGCA]],11,FALSE)</f>
        <v>0</v>
      </c>
      <c r="BX347" s="782">
        <f>VLOOKUP(WWWW[[#This Row],[Village  Name]],SiteDB6[[Site Name]:[Lat]],12,FALSE)</f>
        <v>92.994781494140597</v>
      </c>
      <c r="BY347" s="782">
        <f>VLOOKUP(WWWW[[#This Row],[Village  Name]],SiteDB6[[Site Name]:[Long]],13,FALSE)</f>
        <v>19.9693508148193</v>
      </c>
      <c r="BZ347" s="782">
        <f>VLOOKUP(WWWW[[#This Row],[Village  Name]],SiteDB6[[Site Name]:[Pcode]],3,FALSE)</f>
        <v>197541</v>
      </c>
      <c r="CA347" s="782" t="str">
        <f t="shared" si="21"/>
        <v>Covered</v>
      </c>
      <c r="CB347" s="783"/>
    </row>
    <row r="348" spans="1:80">
      <c r="A348" s="774" t="s">
        <v>3199</v>
      </c>
      <c r="B348" s="727" t="s">
        <v>287</v>
      </c>
      <c r="C348" s="728" t="s">
        <v>287</v>
      </c>
      <c r="D348" s="728" t="s">
        <v>327</v>
      </c>
      <c r="E348" s="728" t="s">
        <v>2648</v>
      </c>
      <c r="F348" s="728" t="s">
        <v>402</v>
      </c>
      <c r="G348" s="644" t="str">
        <f>VLOOKUP(WWWW[[#This Row],[Village  Name]],SiteDB6[[Site Name]:[Location Type]],8,FALSE)</f>
        <v>Village</v>
      </c>
      <c r="H348" s="728" t="s">
        <v>3160</v>
      </c>
      <c r="I348" s="775">
        <v>37</v>
      </c>
      <c r="J348" s="775">
        <v>207</v>
      </c>
      <c r="K348" s="784">
        <v>43359</v>
      </c>
      <c r="L348" s="785">
        <v>44196</v>
      </c>
      <c r="M348" s="775">
        <v>33</v>
      </c>
      <c r="N348" s="775"/>
      <c r="O348" s="773"/>
      <c r="P348" s="775"/>
      <c r="Q348" s="775">
        <v>1</v>
      </c>
      <c r="R348" s="775"/>
      <c r="S348" s="775">
        <v>207</v>
      </c>
      <c r="T348" s="775">
        <v>0</v>
      </c>
      <c r="U348" s="776"/>
      <c r="V348" s="775">
        <v>0</v>
      </c>
      <c r="W348" s="775" t="s">
        <v>40</v>
      </c>
      <c r="X348" s="775">
        <v>2</v>
      </c>
      <c r="Y348" s="775">
        <v>3</v>
      </c>
      <c r="Z348" s="775"/>
      <c r="AA348" s="775"/>
      <c r="AB348" s="775"/>
      <c r="AC348" s="776"/>
      <c r="AD348" s="775"/>
      <c r="AE348" s="775"/>
      <c r="AF348" s="775"/>
      <c r="AG348" s="775"/>
      <c r="AH348" s="775"/>
      <c r="AI348" s="775"/>
      <c r="AJ348" s="773"/>
      <c r="AK348" s="775"/>
      <c r="AL348" s="773"/>
      <c r="AM348" s="773"/>
      <c r="AN348" s="776"/>
      <c r="AO348" s="769"/>
      <c r="AP348" s="769"/>
      <c r="AQ348" s="773"/>
      <c r="AR348" s="773"/>
      <c r="AS348" s="773"/>
      <c r="AT34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48" s="779">
        <f>WWWW[[#This Row],[%Equitable and continuous access to sufficient quantity of safe drinking water]]*WWWW[[#This Row],[Total PoP ]]</f>
        <v>0</v>
      </c>
      <c r="AV34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48" s="779">
        <f>WWWW[[#This Row],[% Access to unimproved water points]]*WWWW[[#This Row],[Total PoP ]]</f>
        <v>207</v>
      </c>
      <c r="AX34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4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207</v>
      </c>
      <c r="AZ348" s="779">
        <f>WWWW[[#This Row],[HRP1]]/250</f>
        <v>0.82799999999999996</v>
      </c>
      <c r="BA348" s="780">
        <f>1-WWWW[[#This Row],[% Equitable and continuous access to sufficient quantity of domestic water]]</f>
        <v>0</v>
      </c>
      <c r="BB348" s="779">
        <f>WWWW[[#This Row],[%equitable and continuous access to sufficient quantity of safe drinking and domestic water''s GAP]]*WWWW[[#This Row],[Total PoP ]]</f>
        <v>0</v>
      </c>
      <c r="BC348" s="781">
        <f>IF(WWWW[[#This Row],[Total required water points]]-WWWW[[#This Row],['#Water points coverage]]&lt;0,0,WWWW[[#This Row],[Total required water points]]-WWWW[[#This Row],['#Water points coverage]])</f>
        <v>0.17200000000000004</v>
      </c>
      <c r="BD348" s="781">
        <f>ROUND(IF(WWWW[[#This Row],[Total PoP ]]&lt;250,1,WWWW[[#This Row],[Total PoP ]]/250),0)</f>
        <v>1</v>
      </c>
      <c r="BE34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48" s="779">
        <f>WWWW[[#This Row],[% people access to functioning Latrine]]*WWWW[[#This Row],[Total PoP ]]</f>
        <v>0</v>
      </c>
      <c r="BG348" s="781">
        <f>WWWW[[#This Row],['#_of_Functioning_latrines_in_school]]*50</f>
        <v>100</v>
      </c>
      <c r="BH348" s="781">
        <f>ROUND((WWWW[[#This Row],[Total PoP ]]/6),0)</f>
        <v>35</v>
      </c>
      <c r="BI348" s="781">
        <f>IF(WWWW[[#This Row],[Total required Latrines]]-(WWWW[[#This Row],['#_of_sanitary_fly-proof_HH_latrines]])&lt;0,0,WWWW[[#This Row],[Total required Latrines]]-(WWWW[[#This Row],['#_of_sanitary_fly-proof_HH_latrines]]))</f>
        <v>35</v>
      </c>
      <c r="BJ348" s="778">
        <f>1-WWWW[[#This Row],[% people access to functioning Latrine]]</f>
        <v>1</v>
      </c>
      <c r="BK34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48" s="772">
        <f>IF(WWWW[[#This Row],['#_of_functional_handwashing_facilities_at_HH_level]]*6&gt;WWWW[[#This Row],[Total PoP ]],WWWW[[#This Row],[Total PoP ]],WWWW[[#This Row],['#_of_functional_handwashing_facilities_at_HH_level]]*6)</f>
        <v>0</v>
      </c>
      <c r="BM348" s="781">
        <f>IF(WWWW[[#This Row],['# people reached by regular dedicated hygiene promotion]]&gt;WWWW[[#This Row],['# People received regular supply of hygiene items]],WWWW[[#This Row],['# people reached by regular dedicated hygiene promotion]],WWWW[[#This Row],['# People received regular supply of hygiene items]])</f>
        <v>0</v>
      </c>
      <c r="BN348" s="780">
        <f>IF(WWWW[[#This Row],[HRP3]]/WWWW[[#This Row],[Total PoP ]]&gt;100%,100%,WWWW[[#This Row],[HRP3]]/WWWW[[#This Row],[Total PoP ]])</f>
        <v>0</v>
      </c>
      <c r="BO348" s="778">
        <f>1-WWWW[[#This Row],[Hygiene Coverage%]]</f>
        <v>1</v>
      </c>
      <c r="BP348" s="777">
        <f>WWWW[[#This Row],['# people reached by regular dedicated hygiene promotion]]/WWWW[[#This Row],[Total PoP ]]</f>
        <v>0</v>
      </c>
      <c r="BQ34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48" s="770">
        <f>WWWW[[#This Row],['#_of_affected_women_and_girls_receiving_a_sufficient_quantity_of_sanitary_pads]]</f>
        <v>0</v>
      </c>
      <c r="BS348" s="773">
        <f>IF(WWWW[[#This Row],['# People with access to soap]]&gt;WWWW[[#This Row],['# People with access to Sanity Pads]],WWWW[[#This Row],['# People with access to soap]],WWWW[[#This Row],['# People with access to Sanity Pads]])</f>
        <v>0</v>
      </c>
      <c r="BT348" s="772" t="str">
        <f>IF(OR(WWWW[[#This Row],['#of students in school]]="",WWWW[[#This Row],['#of students in school]]=0),"No","Yes")</f>
        <v>Yes</v>
      </c>
      <c r="BU348" s="782" t="str">
        <f>VLOOKUP(WWWW[[#This Row],[Village  Name]],SiteDB6[[Site Name]:[Location Type 1]],9,FALSE)</f>
        <v>Village</v>
      </c>
      <c r="BV348" s="782" t="str">
        <f>VLOOKUP(WWWW[[#This Row],[Village  Name]],SiteDB6[[Site Name]:[Type of Accommodation]],10,FALSE)</f>
        <v>Village</v>
      </c>
      <c r="BW348" s="782">
        <f>VLOOKUP(WWWW[[#This Row],[Village  Name]],SiteDB6[[Site Name]:[Ethnic or GCA/NGCA]],11,FALSE)</f>
        <v>0</v>
      </c>
      <c r="BX348" s="782">
        <f>VLOOKUP(WWWW[[#This Row],[Village  Name]],SiteDB6[[Site Name]:[Lat]],12,FALSE)</f>
        <v>93.005447387695298</v>
      </c>
      <c r="BY348" s="782">
        <f>VLOOKUP(WWWW[[#This Row],[Village  Name]],SiteDB6[[Site Name]:[Long]],13,FALSE)</f>
        <v>19.914190292358398</v>
      </c>
      <c r="BZ348" s="782">
        <f>VLOOKUP(WWWW[[#This Row],[Village  Name]],SiteDB6[[Site Name]:[Pcode]],3,FALSE)</f>
        <v>197567</v>
      </c>
      <c r="CA348" s="782" t="str">
        <f t="shared" si="21"/>
        <v>Covered</v>
      </c>
      <c r="CB348" s="783"/>
    </row>
    <row r="349" spans="1:80">
      <c r="A349" s="774" t="s">
        <v>3199</v>
      </c>
      <c r="B349" s="727" t="s">
        <v>287</v>
      </c>
      <c r="C349" s="728" t="s">
        <v>287</v>
      </c>
      <c r="D349" s="728" t="s">
        <v>327</v>
      </c>
      <c r="E349" s="728" t="s">
        <v>2648</v>
      </c>
      <c r="F349" s="728" t="s">
        <v>402</v>
      </c>
      <c r="G349" s="644" t="str">
        <f>VLOOKUP(WWWW[[#This Row],[Village  Name]],SiteDB6[[Site Name]:[Location Type]],8,FALSE)</f>
        <v>Village</v>
      </c>
      <c r="H349" s="728" t="s">
        <v>521</v>
      </c>
      <c r="I349" s="775">
        <v>486</v>
      </c>
      <c r="J349" s="775">
        <v>2042</v>
      </c>
      <c r="K349" s="784">
        <v>43359</v>
      </c>
      <c r="L349" s="785">
        <v>44196</v>
      </c>
      <c r="M349" s="775">
        <v>531</v>
      </c>
      <c r="N349" s="775"/>
      <c r="O349" s="773"/>
      <c r="P349" s="775"/>
      <c r="Q349" s="775">
        <v>5</v>
      </c>
      <c r="R349" s="775"/>
      <c r="S349" s="775">
        <v>2042</v>
      </c>
      <c r="T349" s="775">
        <v>1</v>
      </c>
      <c r="U349" s="776"/>
      <c r="V349" s="775">
        <v>30</v>
      </c>
      <c r="W349" s="775" t="s">
        <v>40</v>
      </c>
      <c r="X349" s="775">
        <v>10</v>
      </c>
      <c r="Y349" s="775">
        <v>21</v>
      </c>
      <c r="Z349" s="775"/>
      <c r="AA349" s="775"/>
      <c r="AB349" s="775"/>
      <c r="AC349" s="776"/>
      <c r="AD349" s="775"/>
      <c r="AE349" s="775"/>
      <c r="AF349" s="775"/>
      <c r="AG349" s="775"/>
      <c r="AH349" s="775"/>
      <c r="AI349" s="775"/>
      <c r="AJ349" s="773"/>
      <c r="AK349" s="775"/>
      <c r="AL349" s="773"/>
      <c r="AM349" s="773"/>
      <c r="AN349" s="776"/>
      <c r="AO349" s="769"/>
      <c r="AP349" s="769"/>
      <c r="AQ349" s="773"/>
      <c r="AR349" s="773"/>
      <c r="AS349" s="773"/>
      <c r="AT34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0.12242899118511263</v>
      </c>
      <c r="AU349" s="779">
        <f>WWWW[[#This Row],[%Equitable and continuous access to sufficient quantity of safe drinking water]]*WWWW[[#This Row],[Total PoP ]]</f>
        <v>250</v>
      </c>
      <c r="AV34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49" s="779">
        <f>WWWW[[#This Row],[% Access to unimproved water points]]*WWWW[[#This Row],[Total PoP ]]</f>
        <v>2042</v>
      </c>
      <c r="AX34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4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2042</v>
      </c>
      <c r="AZ349" s="779">
        <f>WWWW[[#This Row],[HRP1]]/250</f>
        <v>8.1679999999999993</v>
      </c>
      <c r="BA349" s="780">
        <f>1-WWWW[[#This Row],[% Equitable and continuous access to sufficient quantity of domestic water]]</f>
        <v>0</v>
      </c>
      <c r="BB349" s="779">
        <f>WWWW[[#This Row],[%equitable and continuous access to sufficient quantity of safe drinking and domestic water''s GAP]]*WWWW[[#This Row],[Total PoP ]]</f>
        <v>0</v>
      </c>
      <c r="BC349" s="781">
        <f>IF(WWWW[[#This Row],[Total required water points]]-WWWW[[#This Row],['#Water points coverage]]&lt;0,0,WWWW[[#This Row],[Total required water points]]-WWWW[[#This Row],['#Water points coverage]])</f>
        <v>0</v>
      </c>
      <c r="BD349" s="781">
        <f>ROUND(IF(WWWW[[#This Row],[Total PoP ]]&lt;250,1,WWWW[[#This Row],[Total PoP ]]/250),0)</f>
        <v>8</v>
      </c>
      <c r="BE34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8.8148873653281098E-2</v>
      </c>
      <c r="BF349" s="779">
        <f>WWWW[[#This Row],[% people access to functioning Latrine]]*WWWW[[#This Row],[Total PoP ]]</f>
        <v>180</v>
      </c>
      <c r="BG349" s="781">
        <f>WWWW[[#This Row],['#_of_Functioning_latrines_in_school]]*50</f>
        <v>500</v>
      </c>
      <c r="BH349" s="781">
        <f>ROUND((WWWW[[#This Row],[Total PoP ]]/6),0)</f>
        <v>340</v>
      </c>
      <c r="BI349" s="781">
        <f>IF(WWWW[[#This Row],[Total required Latrines]]-(WWWW[[#This Row],['#_of_sanitary_fly-proof_HH_latrines]])&lt;0,0,WWWW[[#This Row],[Total required Latrines]]-(WWWW[[#This Row],['#_of_sanitary_fly-proof_HH_latrines]]))</f>
        <v>310</v>
      </c>
      <c r="BJ349" s="778">
        <f>1-WWWW[[#This Row],[% people access to functioning Latrine]]</f>
        <v>0.91185112634671894</v>
      </c>
      <c r="BK34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49" s="772">
        <f>IF(WWWW[[#This Row],['#_of_functional_handwashing_facilities_at_HH_level]]*6&gt;WWWW[[#This Row],[Total PoP ]],WWWW[[#This Row],[Total PoP ]],WWWW[[#This Row],['#_of_functional_handwashing_facilities_at_HH_level]]*6)</f>
        <v>0</v>
      </c>
      <c r="BM349" s="781">
        <f>IF(WWWW[[#This Row],['# people reached by regular dedicated hygiene promotion]]&gt;WWWW[[#This Row],['# People received regular supply of hygiene items]],WWWW[[#This Row],['# people reached by regular dedicated hygiene promotion]],WWWW[[#This Row],['# People received regular supply of hygiene items]])</f>
        <v>0</v>
      </c>
      <c r="BN349" s="780">
        <f>IF(WWWW[[#This Row],[HRP3]]/WWWW[[#This Row],[Total PoP ]]&gt;100%,100%,WWWW[[#This Row],[HRP3]]/WWWW[[#This Row],[Total PoP ]])</f>
        <v>0</v>
      </c>
      <c r="BO349" s="778">
        <f>1-WWWW[[#This Row],[Hygiene Coverage%]]</f>
        <v>1</v>
      </c>
      <c r="BP349" s="777">
        <f>WWWW[[#This Row],['# people reached by regular dedicated hygiene promotion]]/WWWW[[#This Row],[Total PoP ]]</f>
        <v>0</v>
      </c>
      <c r="BQ34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49" s="770">
        <f>WWWW[[#This Row],['#_of_affected_women_and_girls_receiving_a_sufficient_quantity_of_sanitary_pads]]</f>
        <v>0</v>
      </c>
      <c r="BS349" s="773">
        <f>IF(WWWW[[#This Row],['# People with access to soap]]&gt;WWWW[[#This Row],['# People with access to Sanity Pads]],WWWW[[#This Row],['# People with access to soap]],WWWW[[#This Row],['# People with access to Sanity Pads]])</f>
        <v>0</v>
      </c>
      <c r="BT349" s="772" t="str">
        <f>IF(OR(WWWW[[#This Row],['#of students in school]]="",WWWW[[#This Row],['#of students in school]]=0),"No","Yes")</f>
        <v>Yes</v>
      </c>
      <c r="BU349" s="782" t="str">
        <f>VLOOKUP(WWWW[[#This Row],[Village  Name]],SiteDB6[[Site Name]:[Location Type 1]],9,FALSE)</f>
        <v>Village</v>
      </c>
      <c r="BV349" s="782" t="str">
        <f>VLOOKUP(WWWW[[#This Row],[Village  Name]],SiteDB6[[Site Name]:[Type of Accommodation]],10,FALSE)</f>
        <v>Village</v>
      </c>
      <c r="BW349" s="782" t="str">
        <f>VLOOKUP(WWWW[[#This Row],[Village  Name]],SiteDB6[[Site Name]:[Ethnic or GCA/NGCA]],11,FALSE)</f>
        <v>Muslim</v>
      </c>
      <c r="BX349" s="782">
        <f>VLOOKUP(WWWW[[#This Row],[Village  Name]],SiteDB6[[Site Name]:[Lat]],12,FALSE)</f>
        <v>20.663370130000001</v>
      </c>
      <c r="BY349" s="782">
        <f>VLOOKUP(WWWW[[#This Row],[Village  Name]],SiteDB6[[Site Name]:[Long]],13,FALSE)</f>
        <v>92.613876340000004</v>
      </c>
      <c r="BZ349" s="782">
        <f>VLOOKUP(WWWW[[#This Row],[Village  Name]],SiteDB6[[Site Name]:[Pcode]],3,FALSE)</f>
        <v>198449</v>
      </c>
      <c r="CA349" s="782" t="str">
        <f t="shared" si="21"/>
        <v>Covered</v>
      </c>
      <c r="CB349" s="783"/>
    </row>
    <row r="350" spans="1:80">
      <c r="A350" s="774" t="s">
        <v>3199</v>
      </c>
      <c r="B350" s="727" t="s">
        <v>287</v>
      </c>
      <c r="C350" s="728" t="s">
        <v>287</v>
      </c>
      <c r="D350" s="728" t="s">
        <v>327</v>
      </c>
      <c r="E350" s="728" t="s">
        <v>2648</v>
      </c>
      <c r="F350" s="728" t="s">
        <v>402</v>
      </c>
      <c r="G350" s="644" t="str">
        <f>VLOOKUP(WWWW[[#This Row],[Village  Name]],SiteDB6[[Site Name]:[Location Type]],8,FALSE)</f>
        <v>Village</v>
      </c>
      <c r="H350" s="728" t="s">
        <v>3165</v>
      </c>
      <c r="I350" s="775">
        <v>340</v>
      </c>
      <c r="J350" s="775">
        <v>1408</v>
      </c>
      <c r="K350" s="784">
        <v>43359</v>
      </c>
      <c r="L350" s="785">
        <v>44196</v>
      </c>
      <c r="M350" s="775">
        <v>223</v>
      </c>
      <c r="N350" s="775"/>
      <c r="O350" s="773"/>
      <c r="P350" s="775"/>
      <c r="Q350" s="775">
        <v>0</v>
      </c>
      <c r="R350" s="775"/>
      <c r="S350" s="775">
        <v>1408</v>
      </c>
      <c r="T350" s="775">
        <v>0</v>
      </c>
      <c r="U350" s="776"/>
      <c r="V350" s="775">
        <v>30</v>
      </c>
      <c r="W350" s="775" t="s">
        <v>126</v>
      </c>
      <c r="X350" s="775">
        <v>1</v>
      </c>
      <c r="Y350" s="775">
        <v>8</v>
      </c>
      <c r="Z350" s="775"/>
      <c r="AA350" s="775"/>
      <c r="AB350" s="775"/>
      <c r="AC350" s="776"/>
      <c r="AD350" s="775"/>
      <c r="AE350" s="775"/>
      <c r="AF350" s="775"/>
      <c r="AG350" s="775"/>
      <c r="AH350" s="775"/>
      <c r="AI350" s="775"/>
      <c r="AJ350" s="773"/>
      <c r="AK350" s="775"/>
      <c r="AL350" s="773"/>
      <c r="AM350" s="773"/>
      <c r="AN350" s="776"/>
      <c r="AO350" s="769"/>
      <c r="AP350" s="769"/>
      <c r="AQ350" s="773"/>
      <c r="AR350" s="773"/>
      <c r="AS350" s="773"/>
      <c r="AT35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50" s="779">
        <f>WWWW[[#This Row],[%Equitable and continuous access to sufficient quantity of safe drinking water]]*WWWW[[#This Row],[Total PoP ]]</f>
        <v>0</v>
      </c>
      <c r="AV35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50" s="779">
        <f>WWWW[[#This Row],[% Access to unimproved water points]]*WWWW[[#This Row],[Total PoP ]]</f>
        <v>1408</v>
      </c>
      <c r="AX35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5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1408</v>
      </c>
      <c r="AZ350" s="779">
        <f>WWWW[[#This Row],[HRP1]]/250</f>
        <v>5.6319999999999997</v>
      </c>
      <c r="BA350" s="780">
        <f>1-WWWW[[#This Row],[% Equitable and continuous access to sufficient quantity of domestic water]]</f>
        <v>0</v>
      </c>
      <c r="BB350" s="779">
        <f>WWWW[[#This Row],[%equitable and continuous access to sufficient quantity of safe drinking and domestic water''s GAP]]*WWWW[[#This Row],[Total PoP ]]</f>
        <v>0</v>
      </c>
      <c r="BC350" s="781">
        <f>IF(WWWW[[#This Row],[Total required water points]]-WWWW[[#This Row],['#Water points coverage]]&lt;0,0,WWWW[[#This Row],[Total required water points]]-WWWW[[#This Row],['#Water points coverage]])</f>
        <v>0.36800000000000033</v>
      </c>
      <c r="BD350" s="781">
        <f>ROUND(IF(WWWW[[#This Row],[Total PoP ]]&lt;250,1,WWWW[[#This Row],[Total PoP ]]/250),0)</f>
        <v>6</v>
      </c>
      <c r="BE35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0.12784090909090909</v>
      </c>
      <c r="BF350" s="779">
        <f>WWWW[[#This Row],[% people access to functioning Latrine]]*WWWW[[#This Row],[Total PoP ]]</f>
        <v>180</v>
      </c>
      <c r="BG350" s="781">
        <f>WWWW[[#This Row],['#_of_Functioning_latrines_in_school]]*50</f>
        <v>50</v>
      </c>
      <c r="BH350" s="781">
        <f>ROUND((WWWW[[#This Row],[Total PoP ]]/6),0)</f>
        <v>235</v>
      </c>
      <c r="BI350" s="781">
        <f>IF(WWWW[[#This Row],[Total required Latrines]]-(WWWW[[#This Row],['#_of_sanitary_fly-proof_HH_latrines]])&lt;0,0,WWWW[[#This Row],[Total required Latrines]]-(WWWW[[#This Row],['#_of_sanitary_fly-proof_HH_latrines]]))</f>
        <v>205</v>
      </c>
      <c r="BJ350" s="778">
        <f>1-WWWW[[#This Row],[% people access to functioning Latrine]]</f>
        <v>0.87215909090909094</v>
      </c>
      <c r="BK35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50" s="772">
        <f>IF(WWWW[[#This Row],['#_of_functional_handwashing_facilities_at_HH_level]]*6&gt;WWWW[[#This Row],[Total PoP ]],WWWW[[#This Row],[Total PoP ]],WWWW[[#This Row],['#_of_functional_handwashing_facilities_at_HH_level]]*6)</f>
        <v>0</v>
      </c>
      <c r="BM350" s="781">
        <f>IF(WWWW[[#This Row],['# people reached by regular dedicated hygiene promotion]]&gt;WWWW[[#This Row],['# People received regular supply of hygiene items]],WWWW[[#This Row],['# people reached by regular dedicated hygiene promotion]],WWWW[[#This Row],['# People received regular supply of hygiene items]])</f>
        <v>0</v>
      </c>
      <c r="BN350" s="780">
        <f>IF(WWWW[[#This Row],[HRP3]]/WWWW[[#This Row],[Total PoP ]]&gt;100%,100%,WWWW[[#This Row],[HRP3]]/WWWW[[#This Row],[Total PoP ]])</f>
        <v>0</v>
      </c>
      <c r="BO350" s="778">
        <f>1-WWWW[[#This Row],[Hygiene Coverage%]]</f>
        <v>1</v>
      </c>
      <c r="BP350" s="777">
        <f>WWWW[[#This Row],['# people reached by regular dedicated hygiene promotion]]/WWWW[[#This Row],[Total PoP ]]</f>
        <v>0</v>
      </c>
      <c r="BQ35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50" s="770">
        <f>WWWW[[#This Row],['#_of_affected_women_and_girls_receiving_a_sufficient_quantity_of_sanitary_pads]]</f>
        <v>0</v>
      </c>
      <c r="BS350" s="773">
        <f>IF(WWWW[[#This Row],['# People with access to soap]]&gt;WWWW[[#This Row],['# People with access to Sanity Pads]],WWWW[[#This Row],['# People with access to soap]],WWWW[[#This Row],['# People with access to Sanity Pads]])</f>
        <v>0</v>
      </c>
      <c r="BT350" s="772" t="str">
        <f>IF(OR(WWWW[[#This Row],['#of students in school]]="",WWWW[[#This Row],['#of students in school]]=0),"No","Yes")</f>
        <v>Yes</v>
      </c>
      <c r="BU350" s="782" t="str">
        <f>VLOOKUP(WWWW[[#This Row],[Village  Name]],SiteDB6[[Site Name]:[Location Type 1]],9,FALSE)</f>
        <v>Village</v>
      </c>
      <c r="BV350" s="782" t="str">
        <f>VLOOKUP(WWWW[[#This Row],[Village  Name]],SiteDB6[[Site Name]:[Type of Accommodation]],10,FALSE)</f>
        <v>Village</v>
      </c>
      <c r="BW350" s="782">
        <f>VLOOKUP(WWWW[[#This Row],[Village  Name]],SiteDB6[[Site Name]:[Ethnic or GCA/NGCA]],11,FALSE)</f>
        <v>0</v>
      </c>
      <c r="BX350" s="782">
        <f>VLOOKUP(WWWW[[#This Row],[Village  Name]],SiteDB6[[Site Name]:[Lat]],12,FALSE)</f>
        <v>92.925521850585895</v>
      </c>
      <c r="BY350" s="782">
        <f>VLOOKUP(WWWW[[#This Row],[Village  Name]],SiteDB6[[Site Name]:[Long]],13,FALSE)</f>
        <v>20.091190338134801</v>
      </c>
      <c r="BZ350" s="782">
        <f>VLOOKUP(WWWW[[#This Row],[Village  Name]],SiteDB6[[Site Name]:[Pcode]],3,FALSE)</f>
        <v>217989</v>
      </c>
      <c r="CA350" s="782" t="str">
        <f t="shared" si="21"/>
        <v>Covered</v>
      </c>
      <c r="CB350" s="783"/>
    </row>
    <row r="351" spans="1:80">
      <c r="A351" s="774" t="s">
        <v>3199</v>
      </c>
      <c r="B351" s="727" t="s">
        <v>287</v>
      </c>
      <c r="C351" s="728" t="s">
        <v>287</v>
      </c>
      <c r="D351" s="728" t="s">
        <v>327</v>
      </c>
      <c r="E351" s="728" t="s">
        <v>2648</v>
      </c>
      <c r="F351" s="728" t="s">
        <v>402</v>
      </c>
      <c r="G351" s="644" t="str">
        <f>VLOOKUP(WWWW[[#This Row],[Village  Name]],SiteDB6[[Site Name]:[Location Type]],8,FALSE)</f>
        <v>Village</v>
      </c>
      <c r="H351" s="728" t="s">
        <v>825</v>
      </c>
      <c r="I351" s="775">
        <v>72</v>
      </c>
      <c r="J351" s="775">
        <v>308</v>
      </c>
      <c r="K351" s="784">
        <v>43359</v>
      </c>
      <c r="L351" s="785">
        <v>44196</v>
      </c>
      <c r="M351" s="775">
        <v>65</v>
      </c>
      <c r="N351" s="775"/>
      <c r="O351" s="773"/>
      <c r="P351" s="775"/>
      <c r="Q351" s="775">
        <v>1</v>
      </c>
      <c r="R351" s="775"/>
      <c r="S351" s="775">
        <v>308</v>
      </c>
      <c r="T351" s="775">
        <v>0</v>
      </c>
      <c r="U351" s="776"/>
      <c r="V351" s="775">
        <v>3</v>
      </c>
      <c r="W351" s="775" t="s">
        <v>126</v>
      </c>
      <c r="X351" s="775">
        <v>0</v>
      </c>
      <c r="Y351" s="775">
        <v>3</v>
      </c>
      <c r="Z351" s="775"/>
      <c r="AA351" s="775"/>
      <c r="AB351" s="775"/>
      <c r="AC351" s="776"/>
      <c r="AD351" s="775"/>
      <c r="AE351" s="775"/>
      <c r="AF351" s="775"/>
      <c r="AG351" s="775"/>
      <c r="AH351" s="775"/>
      <c r="AI351" s="775"/>
      <c r="AJ351" s="773"/>
      <c r="AK351" s="775"/>
      <c r="AL351" s="773"/>
      <c r="AM351" s="773"/>
      <c r="AN351" s="776"/>
      <c r="AO351" s="769"/>
      <c r="AP351" s="769"/>
      <c r="AQ351" s="773"/>
      <c r="AR351" s="773"/>
      <c r="AS351" s="773"/>
      <c r="AT35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51" s="779">
        <f>WWWW[[#This Row],[%Equitable and continuous access to sufficient quantity of safe drinking water]]*WWWW[[#This Row],[Total PoP ]]</f>
        <v>0</v>
      </c>
      <c r="AV35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1</v>
      </c>
      <c r="AW351" s="779">
        <f>WWWW[[#This Row],[% Access to unimproved water points]]*WWWW[[#This Row],[Total PoP ]]</f>
        <v>308</v>
      </c>
      <c r="AX35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5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308</v>
      </c>
      <c r="AZ351" s="779">
        <f>WWWW[[#This Row],[HRP1]]/250</f>
        <v>1.232</v>
      </c>
      <c r="BA351" s="780">
        <f>1-WWWW[[#This Row],[% Equitable and continuous access to sufficient quantity of domestic water]]</f>
        <v>0</v>
      </c>
      <c r="BB351" s="779">
        <f>WWWW[[#This Row],[%equitable and continuous access to sufficient quantity of safe drinking and domestic water''s GAP]]*WWWW[[#This Row],[Total PoP ]]</f>
        <v>0</v>
      </c>
      <c r="BC351" s="781">
        <f>IF(WWWW[[#This Row],[Total required water points]]-WWWW[[#This Row],['#Water points coverage]]&lt;0,0,WWWW[[#This Row],[Total required water points]]-WWWW[[#This Row],['#Water points coverage]])</f>
        <v>0</v>
      </c>
      <c r="BD351" s="781">
        <f>ROUND(IF(WWWW[[#This Row],[Total PoP ]]&lt;250,1,WWWW[[#This Row],[Total PoP ]]/250),0)</f>
        <v>1</v>
      </c>
      <c r="BE35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5.844155844155844E-2</v>
      </c>
      <c r="BF351" s="779">
        <f>WWWW[[#This Row],[% people access to functioning Latrine]]*WWWW[[#This Row],[Total PoP ]]</f>
        <v>18</v>
      </c>
      <c r="BG351" s="781">
        <f>WWWW[[#This Row],['#_of_Functioning_latrines_in_school]]*50</f>
        <v>0</v>
      </c>
      <c r="BH351" s="781">
        <f>ROUND((WWWW[[#This Row],[Total PoP ]]/6),0)</f>
        <v>51</v>
      </c>
      <c r="BI351" s="781">
        <f>IF(WWWW[[#This Row],[Total required Latrines]]-(WWWW[[#This Row],['#_of_sanitary_fly-proof_HH_latrines]])&lt;0,0,WWWW[[#This Row],[Total required Latrines]]-(WWWW[[#This Row],['#_of_sanitary_fly-proof_HH_latrines]]))</f>
        <v>48</v>
      </c>
      <c r="BJ351" s="778">
        <f>1-WWWW[[#This Row],[% people access to functioning Latrine]]</f>
        <v>0.94155844155844159</v>
      </c>
      <c r="BK35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51" s="772">
        <f>IF(WWWW[[#This Row],['#_of_functional_handwashing_facilities_at_HH_level]]*6&gt;WWWW[[#This Row],[Total PoP ]],WWWW[[#This Row],[Total PoP ]],WWWW[[#This Row],['#_of_functional_handwashing_facilities_at_HH_level]]*6)</f>
        <v>0</v>
      </c>
      <c r="BM351" s="781">
        <f>IF(WWWW[[#This Row],['# people reached by regular dedicated hygiene promotion]]&gt;WWWW[[#This Row],['# People received regular supply of hygiene items]],WWWW[[#This Row],['# people reached by regular dedicated hygiene promotion]],WWWW[[#This Row],['# People received regular supply of hygiene items]])</f>
        <v>0</v>
      </c>
      <c r="BN351" s="780">
        <f>IF(WWWW[[#This Row],[HRP3]]/WWWW[[#This Row],[Total PoP ]]&gt;100%,100%,WWWW[[#This Row],[HRP3]]/WWWW[[#This Row],[Total PoP ]])</f>
        <v>0</v>
      </c>
      <c r="BO351" s="778">
        <f>1-WWWW[[#This Row],[Hygiene Coverage%]]</f>
        <v>1</v>
      </c>
      <c r="BP351" s="777">
        <f>WWWW[[#This Row],['# people reached by regular dedicated hygiene promotion]]/WWWW[[#This Row],[Total PoP ]]</f>
        <v>0</v>
      </c>
      <c r="BQ35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51" s="770">
        <f>WWWW[[#This Row],['#_of_affected_women_and_girls_receiving_a_sufficient_quantity_of_sanitary_pads]]</f>
        <v>0</v>
      </c>
      <c r="BS351" s="773">
        <f>IF(WWWW[[#This Row],['# People with access to soap]]&gt;WWWW[[#This Row],['# People with access to Sanity Pads]],WWWW[[#This Row],['# People with access to soap]],WWWW[[#This Row],['# People with access to Sanity Pads]])</f>
        <v>0</v>
      </c>
      <c r="BT351" s="772" t="str">
        <f>IF(OR(WWWW[[#This Row],['#of students in school]]="",WWWW[[#This Row],['#of students in school]]=0),"No","Yes")</f>
        <v>Yes</v>
      </c>
      <c r="BU351" s="782" t="str">
        <f>VLOOKUP(WWWW[[#This Row],[Village  Name]],SiteDB6[[Site Name]:[Location Type 1]],9,FALSE)</f>
        <v>Village</v>
      </c>
      <c r="BV351" s="782" t="str">
        <f>VLOOKUP(WWWW[[#This Row],[Village  Name]],SiteDB6[[Site Name]:[Type of Accommodation]],10,FALSE)</f>
        <v>Village</v>
      </c>
      <c r="BW351" s="782">
        <f>VLOOKUP(WWWW[[#This Row],[Village  Name]],SiteDB6[[Site Name]:[Ethnic or GCA/NGCA]],11,FALSE)</f>
        <v>0</v>
      </c>
      <c r="BX351" s="782">
        <f>VLOOKUP(WWWW[[#This Row],[Village  Name]],SiteDB6[[Site Name]:[Lat]],12,FALSE)</f>
        <v>20.06903076</v>
      </c>
      <c r="BY351" s="782">
        <f>VLOOKUP(WWWW[[#This Row],[Village  Name]],SiteDB6[[Site Name]:[Long]],13,FALSE)</f>
        <v>92.930137630000004</v>
      </c>
      <c r="BZ351" s="782">
        <f>VLOOKUP(WWWW[[#This Row],[Village  Name]],SiteDB6[[Site Name]:[Pcode]],3,FALSE)</f>
        <v>197562</v>
      </c>
      <c r="CA351" s="782" t="str">
        <f t="shared" si="21"/>
        <v>Covered</v>
      </c>
      <c r="CB351" s="783"/>
    </row>
    <row r="352" spans="1:80">
      <c r="A352" s="727" t="s">
        <v>3199</v>
      </c>
      <c r="B352" s="727" t="s">
        <v>3152</v>
      </c>
      <c r="C352" s="728" t="s">
        <v>3152</v>
      </c>
      <c r="D352" s="728" t="s">
        <v>3153</v>
      </c>
      <c r="E352" s="728" t="s">
        <v>2648</v>
      </c>
      <c r="F352" s="728" t="s">
        <v>295</v>
      </c>
      <c r="G352" s="644" t="str">
        <f>VLOOKUP(WWWW[[#This Row],[Village  Name]],SiteDB6[[Site Name]:[Location Type]],8,FALSE)</f>
        <v>Village</v>
      </c>
      <c r="H352" s="728" t="s">
        <v>429</v>
      </c>
      <c r="I352" s="775">
        <v>342</v>
      </c>
      <c r="J352" s="775">
        <v>1980</v>
      </c>
      <c r="K352" s="784">
        <v>43922</v>
      </c>
      <c r="L352" s="785">
        <v>44073</v>
      </c>
      <c r="M352" s="775"/>
      <c r="N352" s="775"/>
      <c r="O352" s="773"/>
      <c r="P352" s="775"/>
      <c r="Q352" s="775"/>
      <c r="R352" s="775"/>
      <c r="S352" s="775"/>
      <c r="T352" s="775"/>
      <c r="U352" s="776"/>
      <c r="V352" s="775"/>
      <c r="W352" s="773" t="s">
        <v>130</v>
      </c>
      <c r="X352" s="775"/>
      <c r="Y352" s="775">
        <v>18</v>
      </c>
      <c r="Z352" s="775">
        <v>18</v>
      </c>
      <c r="AA352" s="775"/>
      <c r="AB352" s="775"/>
      <c r="AC352" s="776"/>
      <c r="AD352" s="775">
        <v>426</v>
      </c>
      <c r="AE352" s="775">
        <v>371</v>
      </c>
      <c r="AF352" s="775">
        <v>548</v>
      </c>
      <c r="AG352" s="775">
        <v>535</v>
      </c>
      <c r="AH352" s="775">
        <v>548</v>
      </c>
      <c r="AI352" s="775">
        <v>535</v>
      </c>
      <c r="AJ352" s="773"/>
      <c r="AK352" s="775"/>
      <c r="AL352" s="773">
        <v>1980</v>
      </c>
      <c r="AM352" s="773"/>
      <c r="AN352" s="776"/>
      <c r="AO352" s="769">
        <v>0.2</v>
      </c>
      <c r="AP352" s="769">
        <v>0.01</v>
      </c>
      <c r="AQ352" s="773"/>
      <c r="AR352" s="773"/>
      <c r="AS352" s="773"/>
      <c r="AT35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52" s="779">
        <f>WWWW[[#This Row],[%Equitable and continuous access to sufficient quantity of safe drinking water]]*WWWW[[#This Row],[Total PoP ]]</f>
        <v>0</v>
      </c>
      <c r="AV35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52" s="779">
        <f>WWWW[[#This Row],[% Access to unimproved water points]]*WWWW[[#This Row],[Total PoP ]]</f>
        <v>0</v>
      </c>
      <c r="AX35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5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52" s="779">
        <f>WWWW[[#This Row],[HRP1]]/250</f>
        <v>0</v>
      </c>
      <c r="BA352" s="780">
        <f>1-WWWW[[#This Row],[% Equitable and continuous access to sufficient quantity of domestic water]]</f>
        <v>1</v>
      </c>
      <c r="BB352" s="779">
        <f>WWWW[[#This Row],[%equitable and continuous access to sufficient quantity of safe drinking and domestic water''s GAP]]*WWWW[[#This Row],[Total PoP ]]</f>
        <v>1980</v>
      </c>
      <c r="BC352" s="781">
        <f>IF(WWWW[[#This Row],[Total required water points]]-WWWW[[#This Row],['#Water points coverage]]&lt;0,0,WWWW[[#This Row],[Total required water points]]-WWWW[[#This Row],['#Water points coverage]])</f>
        <v>8</v>
      </c>
      <c r="BD352" s="781">
        <f>ROUND(IF(WWWW[[#This Row],[Total PoP ]]&lt;250,1,WWWW[[#This Row],[Total PoP ]]/250),0)</f>
        <v>8</v>
      </c>
      <c r="BE35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9.0909090909090905E-3</v>
      </c>
      <c r="BF352" s="779">
        <f>WWWW[[#This Row],[% people access to functioning Latrine]]*WWWW[[#This Row],[Total PoP ]]</f>
        <v>18</v>
      </c>
      <c r="BG352" s="781">
        <f>WWWW[[#This Row],['#_of_Functioning_latrines_in_school]]*50</f>
        <v>0</v>
      </c>
      <c r="BH352" s="781">
        <f>ROUND((WWWW[[#This Row],[Total PoP ]]/6),0)</f>
        <v>330</v>
      </c>
      <c r="BI352" s="781">
        <f>IF(WWWW[[#This Row],[Total required Latrines]]-(WWWW[[#This Row],['#_of_sanitary_fly-proof_HH_latrines]])&lt;0,0,WWWW[[#This Row],[Total required Latrines]]-(WWWW[[#This Row],['#_of_sanitary_fly-proof_HH_latrines]]))</f>
        <v>330</v>
      </c>
      <c r="BJ352" s="778">
        <f>1-WWWW[[#This Row],[% people access to functioning Latrine]]</f>
        <v>0.99090909090909096</v>
      </c>
      <c r="BK35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1980</v>
      </c>
      <c r="BL352" s="772">
        <f>IF(WWWW[[#This Row],['#_of_functional_handwashing_facilities_at_HH_level]]*6&gt;WWWW[[#This Row],[Total PoP ]],WWWW[[#This Row],[Total PoP ]],WWWW[[#This Row],['#_of_functional_handwashing_facilities_at_HH_level]]*6)</f>
        <v>0</v>
      </c>
      <c r="BM352" s="781">
        <f>IF(WWWW[[#This Row],['# people reached by regular dedicated hygiene promotion]]&gt;WWWW[[#This Row],['# People received regular supply of hygiene items]],WWWW[[#This Row],['# people reached by regular dedicated hygiene promotion]],WWWW[[#This Row],['# People received regular supply of hygiene items]])</f>
        <v>1980</v>
      </c>
      <c r="BN352" s="780">
        <f>IF(WWWW[[#This Row],[HRP3]]/WWWW[[#This Row],[Total PoP ]]&gt;100%,100%,WWWW[[#This Row],[HRP3]]/WWWW[[#This Row],[Total PoP ]])</f>
        <v>1</v>
      </c>
      <c r="BO352" s="778">
        <f>1-WWWW[[#This Row],[Hygiene Coverage%]]</f>
        <v>0</v>
      </c>
      <c r="BP352" s="777">
        <f>WWWW[[#This Row],['# people reached by regular dedicated hygiene promotion]]/WWWW[[#This Row],[Total PoP ]]</f>
        <v>1</v>
      </c>
      <c r="BQ35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1980</v>
      </c>
      <c r="BR352" s="770">
        <f>WWWW[[#This Row],['#_of_affected_women_and_girls_receiving_a_sufficient_quantity_of_sanitary_pads]]</f>
        <v>0</v>
      </c>
      <c r="BS352" s="773">
        <f>IF(WWWW[[#This Row],['# People with access to soap]]&gt;WWWW[[#This Row],['# People with access to Sanity Pads]],WWWW[[#This Row],['# People with access to soap]],WWWW[[#This Row],['# People with access to Sanity Pads]])</f>
        <v>1980</v>
      </c>
      <c r="BT352" s="772" t="str">
        <f>IF(OR(WWWW[[#This Row],['#of students in school]]="",WWWW[[#This Row],['#of students in school]]=0),"No","Yes")</f>
        <v>No</v>
      </c>
      <c r="BU352" s="782" t="str">
        <f>VLOOKUP(WWWW[[#This Row],[Village  Name]],SiteDB6[[Site Name]:[Location Type 1]],9,FALSE)</f>
        <v>Village</v>
      </c>
      <c r="BV352" s="782" t="str">
        <f>VLOOKUP(WWWW[[#This Row],[Village  Name]],SiteDB6[[Site Name]:[Type of Accommodation]],10,FALSE)</f>
        <v>Village</v>
      </c>
      <c r="BW352" s="782">
        <f>VLOOKUP(WWWW[[#This Row],[Village  Name]],SiteDB6[[Site Name]:[Ethnic or GCA/NGCA]],11,FALSE)</f>
        <v>0</v>
      </c>
      <c r="BX352" s="782">
        <f>VLOOKUP(WWWW[[#This Row],[Village  Name]],SiteDB6[[Site Name]:[Lat]],12,FALSE)</f>
        <v>20.183790210000002</v>
      </c>
      <c r="BY352" s="782">
        <f>VLOOKUP(WWWW[[#This Row],[Village  Name]],SiteDB6[[Site Name]:[Long]],13,FALSE)</f>
        <v>92.864143369999994</v>
      </c>
      <c r="BZ352" s="782">
        <f>VLOOKUP(WWWW[[#This Row],[Village  Name]],SiteDB6[[Site Name]:[Pcode]],3,FALSE)</f>
        <v>196197</v>
      </c>
      <c r="CA352" s="782" t="str">
        <f t="shared" ref="CA352:CA368" si="22">IF(C352="none","Notcovered","Covered")</f>
        <v>Covered</v>
      </c>
      <c r="CB352" s="783"/>
    </row>
    <row r="353" spans="1:80">
      <c r="A353" s="727" t="s">
        <v>3199</v>
      </c>
      <c r="B353" s="727" t="s">
        <v>3152</v>
      </c>
      <c r="C353" s="728" t="s">
        <v>3152</v>
      </c>
      <c r="D353" s="728" t="s">
        <v>3297</v>
      </c>
      <c r="E353" s="728" t="s">
        <v>2648</v>
      </c>
      <c r="F353" s="728" t="s">
        <v>295</v>
      </c>
      <c r="G353" s="644" t="str">
        <f>VLOOKUP(WWWW[[#This Row],[Village  Name]],SiteDB6[[Site Name]:[Location Type]],8,FALSE)</f>
        <v>Village</v>
      </c>
      <c r="H353" s="728" t="s">
        <v>3303</v>
      </c>
      <c r="I353" s="775">
        <v>203</v>
      </c>
      <c r="J353" s="775">
        <v>937</v>
      </c>
      <c r="K353" s="784">
        <v>43952</v>
      </c>
      <c r="L353" s="785">
        <v>44073</v>
      </c>
      <c r="M353" s="775"/>
      <c r="N353" s="775"/>
      <c r="O353" s="773"/>
      <c r="P353" s="775"/>
      <c r="Q353" s="775"/>
      <c r="R353" s="775"/>
      <c r="S353" s="775"/>
      <c r="T353" s="775"/>
      <c r="U353" s="776"/>
      <c r="V353" s="775"/>
      <c r="W353" s="773" t="s">
        <v>130</v>
      </c>
      <c r="X353" s="775"/>
      <c r="Y353" s="775">
        <v>4</v>
      </c>
      <c r="Z353" s="775">
        <v>4</v>
      </c>
      <c r="AA353" s="775"/>
      <c r="AB353" s="775"/>
      <c r="AC353" s="776"/>
      <c r="AD353" s="775">
        <v>282</v>
      </c>
      <c r="AE353" s="775">
        <v>377</v>
      </c>
      <c r="AF353" s="775">
        <v>134</v>
      </c>
      <c r="AG353" s="775">
        <v>144</v>
      </c>
      <c r="AH353" s="775">
        <v>134</v>
      </c>
      <c r="AI353" s="775">
        <v>144</v>
      </c>
      <c r="AJ353" s="773"/>
      <c r="AK353" s="775"/>
      <c r="AL353" s="773">
        <v>203</v>
      </c>
      <c r="AM353" s="773"/>
      <c r="AN353" s="776"/>
      <c r="AO353" s="769"/>
      <c r="AP353" s="769"/>
      <c r="AQ353" s="773"/>
      <c r="AR353" s="773"/>
      <c r="AS353" s="773"/>
      <c r="AT35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53" s="779">
        <f>WWWW[[#This Row],[%Equitable and continuous access to sufficient quantity of safe drinking water]]*WWWW[[#This Row],[Total PoP ]]</f>
        <v>0</v>
      </c>
      <c r="AV35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53" s="779">
        <f>WWWW[[#This Row],[% Access to unimproved water points]]*WWWW[[#This Row],[Total PoP ]]</f>
        <v>0</v>
      </c>
      <c r="AX35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5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53" s="779">
        <f>WWWW[[#This Row],[HRP1]]/250</f>
        <v>0</v>
      </c>
      <c r="BA353" s="780">
        <f>1-WWWW[[#This Row],[% Equitable and continuous access to sufficient quantity of domestic water]]</f>
        <v>1</v>
      </c>
      <c r="BB353" s="779">
        <f>WWWW[[#This Row],[%equitable and continuous access to sufficient quantity of safe drinking and domestic water''s GAP]]*WWWW[[#This Row],[Total PoP ]]</f>
        <v>937</v>
      </c>
      <c r="BC353" s="781">
        <f>IF(WWWW[[#This Row],[Total required water points]]-WWWW[[#This Row],['#Water points coverage]]&lt;0,0,WWWW[[#This Row],[Total required water points]]-WWWW[[#This Row],['#Water points coverage]])</f>
        <v>4</v>
      </c>
      <c r="BD353" s="781">
        <f>ROUND(IF(WWWW[[#This Row],[Total PoP ]]&lt;250,1,WWWW[[#This Row],[Total PoP ]]/250),0)</f>
        <v>4</v>
      </c>
      <c r="BE35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4.2689434364994666E-3</v>
      </c>
      <c r="BF353" s="779">
        <f>WWWW[[#This Row],[% people access to functioning Latrine]]*WWWW[[#This Row],[Total PoP ]]</f>
        <v>4</v>
      </c>
      <c r="BG353" s="781">
        <f>WWWW[[#This Row],['#_of_Functioning_latrines_in_school]]*50</f>
        <v>0</v>
      </c>
      <c r="BH353" s="781">
        <f>ROUND((WWWW[[#This Row],[Total PoP ]]/6),0)</f>
        <v>156</v>
      </c>
      <c r="BI353" s="781">
        <f>IF(WWWW[[#This Row],[Total required Latrines]]-(WWWW[[#This Row],['#_of_sanitary_fly-proof_HH_latrines]])&lt;0,0,WWWW[[#This Row],[Total required Latrines]]-(WWWW[[#This Row],['#_of_sanitary_fly-proof_HH_latrines]]))</f>
        <v>156</v>
      </c>
      <c r="BJ353" s="778">
        <f>1-WWWW[[#This Row],[% people access to functioning Latrine]]</f>
        <v>0.99573105656350058</v>
      </c>
      <c r="BK35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937</v>
      </c>
      <c r="BL353" s="772">
        <f>IF(WWWW[[#This Row],['#_of_functional_handwashing_facilities_at_HH_level]]*6&gt;WWWW[[#This Row],[Total PoP ]],WWWW[[#This Row],[Total PoP ]],WWWW[[#This Row],['#_of_functional_handwashing_facilities_at_HH_level]]*6)</f>
        <v>0</v>
      </c>
      <c r="BM353" s="781">
        <f>IF(WWWW[[#This Row],['# people reached by regular dedicated hygiene promotion]]&gt;WWWW[[#This Row],['# People received regular supply of hygiene items]],WWWW[[#This Row],['# people reached by regular dedicated hygiene promotion]],WWWW[[#This Row],['# People received regular supply of hygiene items]])</f>
        <v>937</v>
      </c>
      <c r="BN353" s="780">
        <f>IF(WWWW[[#This Row],[HRP3]]/WWWW[[#This Row],[Total PoP ]]&gt;100%,100%,WWWW[[#This Row],[HRP3]]/WWWW[[#This Row],[Total PoP ]])</f>
        <v>1</v>
      </c>
      <c r="BO353" s="778">
        <f>1-WWWW[[#This Row],[Hygiene Coverage%]]</f>
        <v>0</v>
      </c>
      <c r="BP353" s="777">
        <f>WWWW[[#This Row],['# people reached by regular dedicated hygiene promotion]]/WWWW[[#This Row],[Total PoP ]]</f>
        <v>1</v>
      </c>
      <c r="BQ35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937</v>
      </c>
      <c r="BR353" s="770">
        <f>WWWW[[#This Row],['#_of_affected_women_and_girls_receiving_a_sufficient_quantity_of_sanitary_pads]]</f>
        <v>0</v>
      </c>
      <c r="BS353" s="773">
        <f>IF(WWWW[[#This Row],['# People with access to soap]]&gt;WWWW[[#This Row],['# People with access to Sanity Pads]],WWWW[[#This Row],['# People with access to soap]],WWWW[[#This Row],['# People with access to Sanity Pads]])</f>
        <v>937</v>
      </c>
      <c r="BT353" s="772" t="str">
        <f>IF(OR(WWWW[[#This Row],['#of students in school]]="",WWWW[[#This Row],['#of students in school]]=0),"No","Yes")</f>
        <v>No</v>
      </c>
      <c r="BU353" s="782" t="str">
        <f>VLOOKUP(WWWW[[#This Row],[Village  Name]],SiteDB6[[Site Name]:[Location Type 1]],9,FALSE)</f>
        <v>Village</v>
      </c>
      <c r="BV353" s="782" t="str">
        <f>VLOOKUP(WWWW[[#This Row],[Village  Name]],SiteDB6[[Site Name]:[Type of Accommodation]],10,FALSE)</f>
        <v>Village</v>
      </c>
      <c r="BW353" s="782">
        <f>VLOOKUP(WWWW[[#This Row],[Village  Name]],SiteDB6[[Site Name]:[Ethnic or GCA/NGCA]],11,FALSE)</f>
        <v>0</v>
      </c>
      <c r="BX353" s="782">
        <f>VLOOKUP(WWWW[[#This Row],[Village  Name]],SiteDB6[[Site Name]:[Lat]],12,FALSE)</f>
        <v>20.210090637206999</v>
      </c>
      <c r="BY353" s="782">
        <f>VLOOKUP(WWWW[[#This Row],[Village  Name]],SiteDB6[[Site Name]:[Long]],13,FALSE)</f>
        <v>92.879753112792997</v>
      </c>
      <c r="BZ353" s="782">
        <f>VLOOKUP(WWWW[[#This Row],[Village  Name]],SiteDB6[[Site Name]:[Pcode]],3,FALSE)</f>
        <v>196146</v>
      </c>
      <c r="CA353" s="782" t="str">
        <f t="shared" si="22"/>
        <v>Covered</v>
      </c>
      <c r="CB353" s="783"/>
    </row>
    <row r="354" spans="1:80">
      <c r="A354" s="727" t="s">
        <v>3199</v>
      </c>
      <c r="B354" s="727" t="s">
        <v>3152</v>
      </c>
      <c r="C354" s="728" t="s">
        <v>3152</v>
      </c>
      <c r="D354" s="728" t="s">
        <v>3297</v>
      </c>
      <c r="E354" s="728" t="s">
        <v>2648</v>
      </c>
      <c r="F354" s="728" t="s">
        <v>295</v>
      </c>
      <c r="G354" s="644" t="str">
        <f>VLOOKUP(WWWW[[#This Row],[Village  Name]],SiteDB6[[Site Name]:[Location Type]],8,FALSE)</f>
        <v>Village</v>
      </c>
      <c r="H354" s="728" t="s">
        <v>3298</v>
      </c>
      <c r="I354" s="775">
        <v>91</v>
      </c>
      <c r="J354" s="775">
        <v>358</v>
      </c>
      <c r="K354" s="784">
        <v>43952</v>
      </c>
      <c r="L354" s="785">
        <v>44073</v>
      </c>
      <c r="M354" s="775"/>
      <c r="N354" s="775"/>
      <c r="O354" s="773"/>
      <c r="P354" s="775"/>
      <c r="Q354" s="775"/>
      <c r="R354" s="775"/>
      <c r="S354" s="775"/>
      <c r="T354" s="775"/>
      <c r="U354" s="776"/>
      <c r="V354" s="775"/>
      <c r="W354" s="773" t="s">
        <v>130</v>
      </c>
      <c r="X354" s="775"/>
      <c r="Y354" s="775">
        <v>0</v>
      </c>
      <c r="Z354" s="775">
        <v>0</v>
      </c>
      <c r="AA354" s="775"/>
      <c r="AB354" s="775"/>
      <c r="AC354" s="776"/>
      <c r="AD354" s="775">
        <v>93</v>
      </c>
      <c r="AE354" s="775">
        <v>98</v>
      </c>
      <c r="AF354" s="775">
        <v>101</v>
      </c>
      <c r="AG354" s="775">
        <v>66</v>
      </c>
      <c r="AH354" s="775">
        <v>101</v>
      </c>
      <c r="AI354" s="775">
        <v>66</v>
      </c>
      <c r="AJ354" s="773"/>
      <c r="AK354" s="775"/>
      <c r="AL354" s="773">
        <v>91</v>
      </c>
      <c r="AM354" s="773"/>
      <c r="AN354" s="776"/>
      <c r="AO354" s="769"/>
      <c r="AP354" s="769"/>
      <c r="AQ354" s="773"/>
      <c r="AR354" s="773"/>
      <c r="AS354" s="773"/>
      <c r="AT35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54" s="779">
        <f>WWWW[[#This Row],[%Equitable and continuous access to sufficient quantity of safe drinking water]]*WWWW[[#This Row],[Total PoP ]]</f>
        <v>0</v>
      </c>
      <c r="AV35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54" s="779">
        <f>WWWW[[#This Row],[% Access to unimproved water points]]*WWWW[[#This Row],[Total PoP ]]</f>
        <v>0</v>
      </c>
      <c r="AX35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5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54" s="779">
        <f>WWWW[[#This Row],[HRP1]]/250</f>
        <v>0</v>
      </c>
      <c r="BA354" s="780">
        <f>1-WWWW[[#This Row],[% Equitable and continuous access to sufficient quantity of domestic water]]</f>
        <v>1</v>
      </c>
      <c r="BB354" s="779">
        <f>WWWW[[#This Row],[%equitable and continuous access to sufficient quantity of safe drinking and domestic water''s GAP]]*WWWW[[#This Row],[Total PoP ]]</f>
        <v>358</v>
      </c>
      <c r="BC354" s="781">
        <f>IF(WWWW[[#This Row],[Total required water points]]-WWWW[[#This Row],['#Water points coverage]]&lt;0,0,WWWW[[#This Row],[Total required water points]]-WWWW[[#This Row],['#Water points coverage]])</f>
        <v>1</v>
      </c>
      <c r="BD354" s="781">
        <f>ROUND(IF(WWWW[[#This Row],[Total PoP ]]&lt;250,1,WWWW[[#This Row],[Total PoP ]]/250),0)</f>
        <v>1</v>
      </c>
      <c r="BE35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54" s="779">
        <f>WWWW[[#This Row],[% people access to functioning Latrine]]*WWWW[[#This Row],[Total PoP ]]</f>
        <v>0</v>
      </c>
      <c r="BG354" s="781">
        <f>WWWW[[#This Row],['#_of_Functioning_latrines_in_school]]*50</f>
        <v>0</v>
      </c>
      <c r="BH354" s="781">
        <f>ROUND((WWWW[[#This Row],[Total PoP ]]/6),0)</f>
        <v>60</v>
      </c>
      <c r="BI354" s="781">
        <f>IF(WWWW[[#This Row],[Total required Latrines]]-(WWWW[[#This Row],['#_of_sanitary_fly-proof_HH_latrines]])&lt;0,0,WWWW[[#This Row],[Total required Latrines]]-(WWWW[[#This Row],['#_of_sanitary_fly-proof_HH_latrines]]))</f>
        <v>60</v>
      </c>
      <c r="BJ354" s="778">
        <f>1-WWWW[[#This Row],[% people access to functioning Latrine]]</f>
        <v>1</v>
      </c>
      <c r="BK35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358</v>
      </c>
      <c r="BL354" s="772">
        <f>IF(WWWW[[#This Row],['#_of_functional_handwashing_facilities_at_HH_level]]*6&gt;WWWW[[#This Row],[Total PoP ]],WWWW[[#This Row],[Total PoP ]],WWWW[[#This Row],['#_of_functional_handwashing_facilities_at_HH_level]]*6)</f>
        <v>0</v>
      </c>
      <c r="BM354" s="781">
        <f>IF(WWWW[[#This Row],['# people reached by regular dedicated hygiene promotion]]&gt;WWWW[[#This Row],['# People received regular supply of hygiene items]],WWWW[[#This Row],['# people reached by regular dedicated hygiene promotion]],WWWW[[#This Row],['# People received regular supply of hygiene items]])</f>
        <v>358</v>
      </c>
      <c r="BN354" s="780">
        <f>IF(WWWW[[#This Row],[HRP3]]/WWWW[[#This Row],[Total PoP ]]&gt;100%,100%,WWWW[[#This Row],[HRP3]]/WWWW[[#This Row],[Total PoP ]])</f>
        <v>1</v>
      </c>
      <c r="BO354" s="778">
        <f>1-WWWW[[#This Row],[Hygiene Coverage%]]</f>
        <v>0</v>
      </c>
      <c r="BP354" s="777">
        <f>WWWW[[#This Row],['# people reached by regular dedicated hygiene promotion]]/WWWW[[#This Row],[Total PoP ]]</f>
        <v>1</v>
      </c>
      <c r="BQ35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358</v>
      </c>
      <c r="BR354" s="770">
        <f>WWWW[[#This Row],['#_of_affected_women_and_girls_receiving_a_sufficient_quantity_of_sanitary_pads]]</f>
        <v>0</v>
      </c>
      <c r="BS354" s="773">
        <f>IF(WWWW[[#This Row],['# People with access to soap]]&gt;WWWW[[#This Row],['# People with access to Sanity Pads]],WWWW[[#This Row],['# People with access to soap]],WWWW[[#This Row],['# People with access to Sanity Pads]])</f>
        <v>358</v>
      </c>
      <c r="BT354" s="772" t="str">
        <f>IF(OR(WWWW[[#This Row],['#of students in school]]="",WWWW[[#This Row],['#of students in school]]=0),"No","Yes")</f>
        <v>No</v>
      </c>
      <c r="BU354" s="782" t="str">
        <f>VLOOKUP(WWWW[[#This Row],[Village  Name]],SiteDB6[[Site Name]:[Location Type 1]],9,FALSE)</f>
        <v>Village</v>
      </c>
      <c r="BV354" s="782" t="str">
        <f>VLOOKUP(WWWW[[#This Row],[Village  Name]],SiteDB6[[Site Name]:[Type of Accommodation]],10,FALSE)</f>
        <v>Village</v>
      </c>
      <c r="BW354" s="782">
        <f>VLOOKUP(WWWW[[#This Row],[Village  Name]],SiteDB6[[Site Name]:[Ethnic or GCA/NGCA]],11,FALSE)</f>
        <v>0</v>
      </c>
      <c r="BX354" s="782">
        <f>VLOOKUP(WWWW[[#This Row],[Village  Name]],SiteDB6[[Site Name]:[Lat]],12,FALSE)</f>
        <v>20.172649383544901</v>
      </c>
      <c r="BY354" s="782">
        <f>VLOOKUP(WWWW[[#This Row],[Village  Name]],SiteDB6[[Site Name]:[Long]],13,FALSE)</f>
        <v>92.874351501464801</v>
      </c>
      <c r="BZ354" s="782">
        <f>VLOOKUP(WWWW[[#This Row],[Village  Name]],SiteDB6[[Site Name]:[Pcode]],3,FALSE)</f>
        <v>196195</v>
      </c>
      <c r="CA354" s="782" t="str">
        <f t="shared" si="22"/>
        <v>Covered</v>
      </c>
      <c r="CB354" s="783"/>
    </row>
    <row r="355" spans="1:80">
      <c r="A355" s="727" t="s">
        <v>3199</v>
      </c>
      <c r="B355" s="727" t="s">
        <v>3152</v>
      </c>
      <c r="C355" s="728" t="s">
        <v>3152</v>
      </c>
      <c r="D355" s="728" t="s">
        <v>3297</v>
      </c>
      <c r="E355" s="728" t="s">
        <v>2648</v>
      </c>
      <c r="F355" s="728" t="s">
        <v>295</v>
      </c>
      <c r="G355" s="644" t="str">
        <f>VLOOKUP(WWWW[[#This Row],[Village  Name]],SiteDB6[[Site Name]:[Location Type]],8,FALSE)</f>
        <v>Village</v>
      </c>
      <c r="H355" s="728" t="s">
        <v>3299</v>
      </c>
      <c r="I355" s="775">
        <v>100</v>
      </c>
      <c r="J355" s="775">
        <v>514</v>
      </c>
      <c r="K355" s="784">
        <v>43952</v>
      </c>
      <c r="L355" s="785">
        <v>44073</v>
      </c>
      <c r="M355" s="775"/>
      <c r="N355" s="775"/>
      <c r="O355" s="773"/>
      <c r="P355" s="775"/>
      <c r="Q355" s="775"/>
      <c r="R355" s="775"/>
      <c r="S355" s="775"/>
      <c r="T355" s="775"/>
      <c r="U355" s="776"/>
      <c r="V355" s="775"/>
      <c r="W355" s="773" t="s">
        <v>130</v>
      </c>
      <c r="X355" s="775"/>
      <c r="Y355" s="775">
        <v>1</v>
      </c>
      <c r="Z355" s="775">
        <v>1</v>
      </c>
      <c r="AA355" s="775"/>
      <c r="AB355" s="775"/>
      <c r="AC355" s="776"/>
      <c r="AD355" s="775">
        <v>168</v>
      </c>
      <c r="AE355" s="775">
        <v>112</v>
      </c>
      <c r="AF355" s="775">
        <v>161</v>
      </c>
      <c r="AG355" s="775">
        <v>133</v>
      </c>
      <c r="AH355" s="775">
        <v>161</v>
      </c>
      <c r="AI355" s="775">
        <v>133</v>
      </c>
      <c r="AJ355" s="773"/>
      <c r="AK355" s="775"/>
      <c r="AL355" s="773">
        <v>100</v>
      </c>
      <c r="AM355" s="773"/>
      <c r="AN355" s="776"/>
      <c r="AO355" s="769"/>
      <c r="AP355" s="769"/>
      <c r="AQ355" s="773"/>
      <c r="AR355" s="773"/>
      <c r="AS355" s="773"/>
      <c r="AT35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55" s="779">
        <f>WWWW[[#This Row],[%Equitable and continuous access to sufficient quantity of safe drinking water]]*WWWW[[#This Row],[Total PoP ]]</f>
        <v>0</v>
      </c>
      <c r="AV35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55" s="779">
        <f>WWWW[[#This Row],[% Access to unimproved water points]]*WWWW[[#This Row],[Total PoP ]]</f>
        <v>0</v>
      </c>
      <c r="AX35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5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55" s="779">
        <f>WWWW[[#This Row],[HRP1]]/250</f>
        <v>0</v>
      </c>
      <c r="BA355" s="780">
        <f>1-WWWW[[#This Row],[% Equitable and continuous access to sufficient quantity of domestic water]]</f>
        <v>1</v>
      </c>
      <c r="BB355" s="779">
        <f>WWWW[[#This Row],[%equitable and continuous access to sufficient quantity of safe drinking and domestic water''s GAP]]*WWWW[[#This Row],[Total PoP ]]</f>
        <v>514</v>
      </c>
      <c r="BC355" s="781">
        <f>IF(WWWW[[#This Row],[Total required water points]]-WWWW[[#This Row],['#Water points coverage]]&lt;0,0,WWWW[[#This Row],[Total required water points]]-WWWW[[#This Row],['#Water points coverage]])</f>
        <v>2</v>
      </c>
      <c r="BD355" s="781">
        <f>ROUND(IF(WWWW[[#This Row],[Total PoP ]]&lt;250,1,WWWW[[#This Row],[Total PoP ]]/250),0)</f>
        <v>2</v>
      </c>
      <c r="BE35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1.9455252918287938E-3</v>
      </c>
      <c r="BF355" s="779">
        <f>WWWW[[#This Row],[% people access to functioning Latrine]]*WWWW[[#This Row],[Total PoP ]]</f>
        <v>1</v>
      </c>
      <c r="BG355" s="781">
        <f>WWWW[[#This Row],['#_of_Functioning_latrines_in_school]]*50</f>
        <v>0</v>
      </c>
      <c r="BH355" s="781">
        <f>ROUND((WWWW[[#This Row],[Total PoP ]]/6),0)</f>
        <v>86</v>
      </c>
      <c r="BI355" s="781">
        <f>IF(WWWW[[#This Row],[Total required Latrines]]-(WWWW[[#This Row],['#_of_sanitary_fly-proof_HH_latrines]])&lt;0,0,WWWW[[#This Row],[Total required Latrines]]-(WWWW[[#This Row],['#_of_sanitary_fly-proof_HH_latrines]]))</f>
        <v>86</v>
      </c>
      <c r="BJ355" s="778">
        <f>1-WWWW[[#This Row],[% people access to functioning Latrine]]</f>
        <v>0.99805447470817121</v>
      </c>
      <c r="BK35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514</v>
      </c>
      <c r="BL355" s="772">
        <f>IF(WWWW[[#This Row],['#_of_functional_handwashing_facilities_at_HH_level]]*6&gt;WWWW[[#This Row],[Total PoP ]],WWWW[[#This Row],[Total PoP ]],WWWW[[#This Row],['#_of_functional_handwashing_facilities_at_HH_level]]*6)</f>
        <v>0</v>
      </c>
      <c r="BM355" s="781">
        <f>IF(WWWW[[#This Row],['# people reached by regular dedicated hygiene promotion]]&gt;WWWW[[#This Row],['# People received regular supply of hygiene items]],WWWW[[#This Row],['# people reached by regular dedicated hygiene promotion]],WWWW[[#This Row],['# People received regular supply of hygiene items]])</f>
        <v>514</v>
      </c>
      <c r="BN355" s="780">
        <f>IF(WWWW[[#This Row],[HRP3]]/WWWW[[#This Row],[Total PoP ]]&gt;100%,100%,WWWW[[#This Row],[HRP3]]/WWWW[[#This Row],[Total PoP ]])</f>
        <v>1</v>
      </c>
      <c r="BO355" s="778">
        <f>1-WWWW[[#This Row],[Hygiene Coverage%]]</f>
        <v>0</v>
      </c>
      <c r="BP355" s="777">
        <f>WWWW[[#This Row],['# people reached by regular dedicated hygiene promotion]]/WWWW[[#This Row],[Total PoP ]]</f>
        <v>1</v>
      </c>
      <c r="BQ35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514</v>
      </c>
      <c r="BR355" s="770">
        <f>WWWW[[#This Row],['#_of_affected_women_and_girls_receiving_a_sufficient_quantity_of_sanitary_pads]]</f>
        <v>0</v>
      </c>
      <c r="BS355" s="773">
        <f>IF(WWWW[[#This Row],['# People with access to soap]]&gt;WWWW[[#This Row],['# People with access to Sanity Pads]],WWWW[[#This Row],['# People with access to soap]],WWWW[[#This Row],['# People with access to Sanity Pads]])</f>
        <v>514</v>
      </c>
      <c r="BT355" s="772" t="str">
        <f>IF(OR(WWWW[[#This Row],['#of students in school]]="",WWWW[[#This Row],['#of students in school]]=0),"No","Yes")</f>
        <v>No</v>
      </c>
      <c r="BU355" s="782" t="str">
        <f>VLOOKUP(WWWW[[#This Row],[Village  Name]],SiteDB6[[Site Name]:[Location Type 1]],9,FALSE)</f>
        <v>Village</v>
      </c>
      <c r="BV355" s="782" t="str">
        <f>VLOOKUP(WWWW[[#This Row],[Village  Name]],SiteDB6[[Site Name]:[Type of Accommodation]],10,FALSE)</f>
        <v>Village</v>
      </c>
      <c r="BW355" s="782">
        <f>VLOOKUP(WWWW[[#This Row],[Village  Name]],SiteDB6[[Site Name]:[Ethnic or GCA/NGCA]],11,FALSE)</f>
        <v>0</v>
      </c>
      <c r="BX355" s="782">
        <f>VLOOKUP(WWWW[[#This Row],[Village  Name]],SiteDB6[[Site Name]:[Lat]],12,FALSE)</f>
        <v>20.172649383544901</v>
      </c>
      <c r="BY355" s="782">
        <f>VLOOKUP(WWWW[[#This Row],[Village  Name]],SiteDB6[[Site Name]:[Long]],13,FALSE)</f>
        <v>92.874351501464801</v>
      </c>
      <c r="BZ355" s="782">
        <f>VLOOKUP(WWWW[[#This Row],[Village  Name]],SiteDB6[[Site Name]:[Pcode]],3,FALSE)</f>
        <v>196195</v>
      </c>
      <c r="CA355" s="782" t="str">
        <f t="shared" si="22"/>
        <v>Covered</v>
      </c>
      <c r="CB355" s="783"/>
    </row>
    <row r="356" spans="1:80">
      <c r="A356" s="727" t="s">
        <v>3199</v>
      </c>
      <c r="B356" s="727" t="s">
        <v>3152</v>
      </c>
      <c r="C356" s="728" t="s">
        <v>3152</v>
      </c>
      <c r="D356" s="728" t="s">
        <v>3153</v>
      </c>
      <c r="E356" s="728" t="s">
        <v>2648</v>
      </c>
      <c r="F356" s="728" t="s">
        <v>295</v>
      </c>
      <c r="G356" s="644" t="str">
        <f>VLOOKUP(WWWW[[#This Row],[Village  Name]],SiteDB6[[Site Name]:[Location Type]],8,FALSE)</f>
        <v>Village</v>
      </c>
      <c r="H356" s="728" t="s">
        <v>450</v>
      </c>
      <c r="I356" s="775">
        <v>169</v>
      </c>
      <c r="J356" s="775">
        <v>829</v>
      </c>
      <c r="K356" s="784">
        <v>43922</v>
      </c>
      <c r="L356" s="785">
        <v>44073</v>
      </c>
      <c r="M356" s="775"/>
      <c r="N356" s="775"/>
      <c r="O356" s="773"/>
      <c r="P356" s="775"/>
      <c r="Q356" s="775"/>
      <c r="R356" s="775"/>
      <c r="S356" s="775"/>
      <c r="T356" s="775"/>
      <c r="U356" s="776"/>
      <c r="V356" s="775"/>
      <c r="W356" s="773" t="s">
        <v>130</v>
      </c>
      <c r="X356" s="775"/>
      <c r="Y356" s="775">
        <v>3</v>
      </c>
      <c r="Z356" s="775">
        <v>3</v>
      </c>
      <c r="AA356" s="775"/>
      <c r="AB356" s="775"/>
      <c r="AC356" s="776"/>
      <c r="AD356" s="775">
        <v>296</v>
      </c>
      <c r="AE356" s="775">
        <v>314</v>
      </c>
      <c r="AF356" s="775">
        <v>106</v>
      </c>
      <c r="AG356" s="775">
        <v>118</v>
      </c>
      <c r="AH356" s="775">
        <v>106</v>
      </c>
      <c r="AI356" s="775">
        <v>118</v>
      </c>
      <c r="AJ356" s="773"/>
      <c r="AK356" s="775"/>
      <c r="AL356" s="773">
        <v>169</v>
      </c>
      <c r="AM356" s="773"/>
      <c r="AN356" s="776"/>
      <c r="AO356" s="769">
        <v>0.5</v>
      </c>
      <c r="AP356" s="769">
        <v>2.41E-2</v>
      </c>
      <c r="AQ356" s="773"/>
      <c r="AR356" s="773"/>
      <c r="AS356" s="773"/>
      <c r="AT35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56" s="779">
        <f>WWWW[[#This Row],[%Equitable and continuous access to sufficient quantity of safe drinking water]]*WWWW[[#This Row],[Total PoP ]]</f>
        <v>0</v>
      </c>
      <c r="AV35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56" s="779">
        <f>WWWW[[#This Row],[% Access to unimproved water points]]*WWWW[[#This Row],[Total PoP ]]</f>
        <v>0</v>
      </c>
      <c r="AX35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5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56" s="779">
        <f>WWWW[[#This Row],[HRP1]]/250</f>
        <v>0</v>
      </c>
      <c r="BA356" s="780">
        <f>1-WWWW[[#This Row],[% Equitable and continuous access to sufficient quantity of domestic water]]</f>
        <v>1</v>
      </c>
      <c r="BB356" s="779">
        <f>WWWW[[#This Row],[%equitable and continuous access to sufficient quantity of safe drinking and domestic water''s GAP]]*WWWW[[#This Row],[Total PoP ]]</f>
        <v>829</v>
      </c>
      <c r="BC356" s="781">
        <f>IF(WWWW[[#This Row],[Total required water points]]-WWWW[[#This Row],['#Water points coverage]]&lt;0,0,WWWW[[#This Row],[Total required water points]]-WWWW[[#This Row],['#Water points coverage]])</f>
        <v>3</v>
      </c>
      <c r="BD356" s="781">
        <f>ROUND(IF(WWWW[[#This Row],[Total PoP ]]&lt;250,1,WWWW[[#This Row],[Total PoP ]]/250),0)</f>
        <v>3</v>
      </c>
      <c r="BE35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3.6188178528347406E-3</v>
      </c>
      <c r="BF356" s="779">
        <f>WWWW[[#This Row],[% people access to functioning Latrine]]*WWWW[[#This Row],[Total PoP ]]</f>
        <v>3</v>
      </c>
      <c r="BG356" s="781">
        <f>WWWW[[#This Row],['#_of_Functioning_latrines_in_school]]*50</f>
        <v>0</v>
      </c>
      <c r="BH356" s="781">
        <f>ROUND((WWWW[[#This Row],[Total PoP ]]/6),0)</f>
        <v>138</v>
      </c>
      <c r="BI356" s="781">
        <f>IF(WWWW[[#This Row],[Total required Latrines]]-(WWWW[[#This Row],['#_of_sanitary_fly-proof_HH_latrines]])&lt;0,0,WWWW[[#This Row],[Total required Latrines]]-(WWWW[[#This Row],['#_of_sanitary_fly-proof_HH_latrines]]))</f>
        <v>138</v>
      </c>
      <c r="BJ356" s="778">
        <f>1-WWWW[[#This Row],[% people access to functioning Latrine]]</f>
        <v>0.99638118214716531</v>
      </c>
      <c r="BK35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829</v>
      </c>
      <c r="BL356" s="772">
        <f>IF(WWWW[[#This Row],['#_of_functional_handwashing_facilities_at_HH_level]]*6&gt;WWWW[[#This Row],[Total PoP ]],WWWW[[#This Row],[Total PoP ]],WWWW[[#This Row],['#_of_functional_handwashing_facilities_at_HH_level]]*6)</f>
        <v>0</v>
      </c>
      <c r="BM356" s="781">
        <f>IF(WWWW[[#This Row],['# people reached by regular dedicated hygiene promotion]]&gt;WWWW[[#This Row],['# People received regular supply of hygiene items]],WWWW[[#This Row],['# people reached by regular dedicated hygiene promotion]],WWWW[[#This Row],['# People received regular supply of hygiene items]])</f>
        <v>829</v>
      </c>
      <c r="BN356" s="780">
        <f>IF(WWWW[[#This Row],[HRP3]]/WWWW[[#This Row],[Total PoP ]]&gt;100%,100%,WWWW[[#This Row],[HRP3]]/WWWW[[#This Row],[Total PoP ]])</f>
        <v>1</v>
      </c>
      <c r="BO356" s="778">
        <f>1-WWWW[[#This Row],[Hygiene Coverage%]]</f>
        <v>0</v>
      </c>
      <c r="BP356" s="777">
        <f>WWWW[[#This Row],['# people reached by regular dedicated hygiene promotion]]/WWWW[[#This Row],[Total PoP ]]</f>
        <v>1</v>
      </c>
      <c r="BQ35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829</v>
      </c>
      <c r="BR356" s="770">
        <f>WWWW[[#This Row],['#_of_affected_women_and_girls_receiving_a_sufficient_quantity_of_sanitary_pads]]</f>
        <v>0</v>
      </c>
      <c r="BS356" s="773">
        <f>IF(WWWW[[#This Row],['# People with access to soap]]&gt;WWWW[[#This Row],['# People with access to Sanity Pads]],WWWW[[#This Row],['# People with access to soap]],WWWW[[#This Row],['# People with access to Sanity Pads]])</f>
        <v>829</v>
      </c>
      <c r="BT356" s="772" t="str">
        <f>IF(OR(WWWW[[#This Row],['#of students in school]]="",WWWW[[#This Row],['#of students in school]]=0),"No","Yes")</f>
        <v>No</v>
      </c>
      <c r="BU356" s="782" t="str">
        <f>VLOOKUP(WWWW[[#This Row],[Village  Name]],SiteDB6[[Site Name]:[Location Type 1]],9,FALSE)</f>
        <v>Village</v>
      </c>
      <c r="BV356" s="782" t="str">
        <f>VLOOKUP(WWWW[[#This Row],[Village  Name]],SiteDB6[[Site Name]:[Type of Accommodation]],10,FALSE)</f>
        <v>Village</v>
      </c>
      <c r="BW356" s="782" t="str">
        <f>VLOOKUP(WWWW[[#This Row],[Village  Name]],SiteDB6[[Site Name]:[Ethnic or GCA/NGCA]],11,FALSE)</f>
        <v>Rakhine</v>
      </c>
      <c r="BX356" s="782">
        <f>VLOOKUP(WWWW[[#This Row],[Village  Name]],SiteDB6[[Site Name]:[Lat]],12,FALSE)</f>
        <v>20.245159149999999</v>
      </c>
      <c r="BY356" s="782">
        <f>VLOOKUP(WWWW[[#This Row],[Village  Name]],SiteDB6[[Site Name]:[Long]],13,FALSE)</f>
        <v>92.807418819999995</v>
      </c>
      <c r="BZ356" s="782">
        <f>VLOOKUP(WWWW[[#This Row],[Village  Name]],SiteDB6[[Site Name]:[Pcode]],3,FALSE)</f>
        <v>196137</v>
      </c>
      <c r="CA356" s="782" t="str">
        <f t="shared" si="22"/>
        <v>Covered</v>
      </c>
      <c r="CB356" s="783"/>
    </row>
    <row r="357" spans="1:80">
      <c r="A357" s="727" t="s">
        <v>3199</v>
      </c>
      <c r="B357" s="727" t="s">
        <v>3152</v>
      </c>
      <c r="C357" s="728" t="s">
        <v>3152</v>
      </c>
      <c r="D357" s="728" t="s">
        <v>3297</v>
      </c>
      <c r="E357" s="728" t="s">
        <v>2648</v>
      </c>
      <c r="F357" s="728" t="s">
        <v>295</v>
      </c>
      <c r="G357" s="644" t="str">
        <f>VLOOKUP(WWWW[[#This Row],[Village  Name]],SiteDB6[[Site Name]:[Location Type]],8,FALSE)</f>
        <v>Village</v>
      </c>
      <c r="H357" s="728" t="s">
        <v>3300</v>
      </c>
      <c r="I357" s="775">
        <v>145</v>
      </c>
      <c r="J357" s="775">
        <v>688</v>
      </c>
      <c r="K357" s="784">
        <v>43952</v>
      </c>
      <c r="L357" s="785">
        <v>44073</v>
      </c>
      <c r="M357" s="775"/>
      <c r="N357" s="775"/>
      <c r="O357" s="773"/>
      <c r="P357" s="775"/>
      <c r="Q357" s="775"/>
      <c r="R357" s="775"/>
      <c r="S357" s="775"/>
      <c r="T357" s="775"/>
      <c r="U357" s="776"/>
      <c r="V357" s="775"/>
      <c r="W357" s="773" t="s">
        <v>130</v>
      </c>
      <c r="X357" s="775"/>
      <c r="Y357" s="775">
        <v>6</v>
      </c>
      <c r="Z357" s="775">
        <v>6</v>
      </c>
      <c r="AA357" s="775"/>
      <c r="AB357" s="775"/>
      <c r="AC357" s="776"/>
      <c r="AD357" s="775">
        <v>269</v>
      </c>
      <c r="AE357" s="775">
        <v>312</v>
      </c>
      <c r="AF357" s="775">
        <v>196</v>
      </c>
      <c r="AG357" s="775">
        <v>196</v>
      </c>
      <c r="AH357" s="775">
        <v>196</v>
      </c>
      <c r="AI357" s="775">
        <v>196</v>
      </c>
      <c r="AJ357" s="773"/>
      <c r="AK357" s="775"/>
      <c r="AL357" s="773">
        <v>145</v>
      </c>
      <c r="AM357" s="773"/>
      <c r="AN357" s="776"/>
      <c r="AO357" s="769"/>
      <c r="AP357" s="769"/>
      <c r="AQ357" s="773"/>
      <c r="AR357" s="773"/>
      <c r="AS357" s="773"/>
      <c r="AT35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57" s="779">
        <f>WWWW[[#This Row],[%Equitable and continuous access to sufficient quantity of safe drinking water]]*WWWW[[#This Row],[Total PoP ]]</f>
        <v>0</v>
      </c>
      <c r="AV35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57" s="779">
        <f>WWWW[[#This Row],[% Access to unimproved water points]]*WWWW[[#This Row],[Total PoP ]]</f>
        <v>0</v>
      </c>
      <c r="AX35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5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57" s="779">
        <f>WWWW[[#This Row],[HRP1]]/250</f>
        <v>0</v>
      </c>
      <c r="BA357" s="780">
        <f>1-WWWW[[#This Row],[% Equitable and continuous access to sufficient quantity of domestic water]]</f>
        <v>1</v>
      </c>
      <c r="BB357" s="779">
        <f>WWWW[[#This Row],[%equitable and continuous access to sufficient quantity of safe drinking and domestic water''s GAP]]*WWWW[[#This Row],[Total PoP ]]</f>
        <v>688</v>
      </c>
      <c r="BC357" s="781">
        <f>IF(WWWW[[#This Row],[Total required water points]]-WWWW[[#This Row],['#Water points coverage]]&lt;0,0,WWWW[[#This Row],[Total required water points]]-WWWW[[#This Row],['#Water points coverage]])</f>
        <v>3</v>
      </c>
      <c r="BD357" s="781">
        <f>ROUND(IF(WWWW[[#This Row],[Total PoP ]]&lt;250,1,WWWW[[#This Row],[Total PoP ]]/250),0)</f>
        <v>3</v>
      </c>
      <c r="BE35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8.7209302325581394E-3</v>
      </c>
      <c r="BF357" s="779">
        <f>WWWW[[#This Row],[% people access to functioning Latrine]]*WWWW[[#This Row],[Total PoP ]]</f>
        <v>6</v>
      </c>
      <c r="BG357" s="781">
        <f>WWWW[[#This Row],['#_of_Functioning_latrines_in_school]]*50</f>
        <v>0</v>
      </c>
      <c r="BH357" s="781">
        <f>ROUND((WWWW[[#This Row],[Total PoP ]]/6),0)</f>
        <v>115</v>
      </c>
      <c r="BI357" s="781">
        <f>IF(WWWW[[#This Row],[Total required Latrines]]-(WWWW[[#This Row],['#_of_sanitary_fly-proof_HH_latrines]])&lt;0,0,WWWW[[#This Row],[Total required Latrines]]-(WWWW[[#This Row],['#_of_sanitary_fly-proof_HH_latrines]]))</f>
        <v>115</v>
      </c>
      <c r="BJ357" s="778">
        <f>1-WWWW[[#This Row],[% people access to functioning Latrine]]</f>
        <v>0.99127906976744184</v>
      </c>
      <c r="BK35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688</v>
      </c>
      <c r="BL357" s="772">
        <f>IF(WWWW[[#This Row],['#_of_functional_handwashing_facilities_at_HH_level]]*6&gt;WWWW[[#This Row],[Total PoP ]],WWWW[[#This Row],[Total PoP ]],WWWW[[#This Row],['#_of_functional_handwashing_facilities_at_HH_level]]*6)</f>
        <v>0</v>
      </c>
      <c r="BM357" s="781">
        <f>IF(WWWW[[#This Row],['# people reached by regular dedicated hygiene promotion]]&gt;WWWW[[#This Row],['# People received regular supply of hygiene items]],WWWW[[#This Row],['# people reached by regular dedicated hygiene promotion]],WWWW[[#This Row],['# People received regular supply of hygiene items]])</f>
        <v>688</v>
      </c>
      <c r="BN357" s="780">
        <f>IF(WWWW[[#This Row],[HRP3]]/WWWW[[#This Row],[Total PoP ]]&gt;100%,100%,WWWW[[#This Row],[HRP3]]/WWWW[[#This Row],[Total PoP ]])</f>
        <v>1</v>
      </c>
      <c r="BO357" s="778">
        <f>1-WWWW[[#This Row],[Hygiene Coverage%]]</f>
        <v>0</v>
      </c>
      <c r="BP357" s="777">
        <f>WWWW[[#This Row],['# people reached by regular dedicated hygiene promotion]]/WWWW[[#This Row],[Total PoP ]]</f>
        <v>1</v>
      </c>
      <c r="BQ35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688</v>
      </c>
      <c r="BR357" s="770">
        <f>WWWW[[#This Row],['#_of_affected_women_and_girls_receiving_a_sufficient_quantity_of_sanitary_pads]]</f>
        <v>0</v>
      </c>
      <c r="BS357" s="773">
        <f>IF(WWWW[[#This Row],['# People with access to soap]]&gt;WWWW[[#This Row],['# People with access to Sanity Pads]],WWWW[[#This Row],['# People with access to soap]],WWWW[[#This Row],['# People with access to Sanity Pads]])</f>
        <v>688</v>
      </c>
      <c r="BT357" s="772" t="str">
        <f>IF(OR(WWWW[[#This Row],['#of students in school]]="",WWWW[[#This Row],['#of students in school]]=0),"No","Yes")</f>
        <v>No</v>
      </c>
      <c r="BU357" s="782" t="str">
        <f>VLOOKUP(WWWW[[#This Row],[Village  Name]],SiteDB6[[Site Name]:[Location Type 1]],9,FALSE)</f>
        <v>Village</v>
      </c>
      <c r="BV357" s="782" t="str">
        <f>VLOOKUP(WWWW[[#This Row],[Village  Name]],SiteDB6[[Site Name]:[Type of Accommodation]],10,FALSE)</f>
        <v>Village</v>
      </c>
      <c r="BW357" s="782">
        <f>VLOOKUP(WWWW[[#This Row],[Village  Name]],SiteDB6[[Site Name]:[Ethnic or GCA/NGCA]],11,FALSE)</f>
        <v>0</v>
      </c>
      <c r="BX357" s="782">
        <f>VLOOKUP(WWWW[[#This Row],[Village  Name]],SiteDB6[[Site Name]:[Lat]],12,FALSE)</f>
        <v>0</v>
      </c>
      <c r="BY357" s="782">
        <f>VLOOKUP(WWWW[[#This Row],[Village  Name]],SiteDB6[[Site Name]:[Long]],13,FALSE)</f>
        <v>0</v>
      </c>
      <c r="BZ357" s="782">
        <f>VLOOKUP(WWWW[[#This Row],[Village  Name]],SiteDB6[[Site Name]:[Pcode]],3,FALSE)</f>
        <v>0</v>
      </c>
      <c r="CA357" s="782" t="str">
        <f t="shared" si="22"/>
        <v>Covered</v>
      </c>
      <c r="CB357" s="783"/>
    </row>
    <row r="358" spans="1:80">
      <c r="A358" s="727" t="s">
        <v>3199</v>
      </c>
      <c r="B358" s="727" t="s">
        <v>3152</v>
      </c>
      <c r="C358" s="728" t="s">
        <v>3152</v>
      </c>
      <c r="D358" s="728" t="s">
        <v>3153</v>
      </c>
      <c r="E358" s="728" t="s">
        <v>2648</v>
      </c>
      <c r="F358" s="728" t="s">
        <v>295</v>
      </c>
      <c r="G358" s="644" t="str">
        <f>VLOOKUP(WWWW[[#This Row],[Village  Name]],SiteDB6[[Site Name]:[Location Type]],8,FALSE)</f>
        <v>Village</v>
      </c>
      <c r="H358" s="728" t="s">
        <v>2949</v>
      </c>
      <c r="I358" s="775">
        <v>241</v>
      </c>
      <c r="J358" s="775">
        <v>1162</v>
      </c>
      <c r="K358" s="784">
        <v>43922</v>
      </c>
      <c r="L358" s="785">
        <v>44073</v>
      </c>
      <c r="M358" s="775"/>
      <c r="N358" s="775"/>
      <c r="O358" s="773"/>
      <c r="P358" s="775"/>
      <c r="Q358" s="775"/>
      <c r="R358" s="775"/>
      <c r="S358" s="775"/>
      <c r="T358" s="775"/>
      <c r="U358" s="776"/>
      <c r="V358" s="775"/>
      <c r="W358" s="773" t="s">
        <v>130</v>
      </c>
      <c r="X358" s="775"/>
      <c r="Y358" s="775">
        <v>25</v>
      </c>
      <c r="Z358" s="775">
        <v>25</v>
      </c>
      <c r="AA358" s="775"/>
      <c r="AB358" s="775"/>
      <c r="AC358" s="776"/>
      <c r="AD358" s="775">
        <v>412</v>
      </c>
      <c r="AE358" s="775">
        <v>427</v>
      </c>
      <c r="AF358" s="775">
        <v>175</v>
      </c>
      <c r="AG358" s="775">
        <v>153</v>
      </c>
      <c r="AH358" s="775">
        <v>175</v>
      </c>
      <c r="AI358" s="775">
        <v>153</v>
      </c>
      <c r="AJ358" s="773"/>
      <c r="AK358" s="775"/>
      <c r="AL358" s="773">
        <v>241</v>
      </c>
      <c r="AM358" s="773"/>
      <c r="AN358" s="776"/>
      <c r="AO358" s="769">
        <v>0.2</v>
      </c>
      <c r="AP358" s="769">
        <v>3.3599999999999998E-2</v>
      </c>
      <c r="AQ358" s="773"/>
      <c r="AR358" s="773"/>
      <c r="AS358" s="773"/>
      <c r="AT35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58" s="779">
        <f>WWWW[[#This Row],[%Equitable and continuous access to sufficient quantity of safe drinking water]]*WWWW[[#This Row],[Total PoP ]]</f>
        <v>0</v>
      </c>
      <c r="AV35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58" s="779">
        <f>WWWW[[#This Row],[% Access to unimproved water points]]*WWWW[[#This Row],[Total PoP ]]</f>
        <v>0</v>
      </c>
      <c r="AX35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5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58" s="779">
        <f>WWWW[[#This Row],[HRP1]]/250</f>
        <v>0</v>
      </c>
      <c r="BA358" s="780">
        <f>1-WWWW[[#This Row],[% Equitable and continuous access to sufficient quantity of domestic water]]</f>
        <v>1</v>
      </c>
      <c r="BB358" s="779">
        <f>WWWW[[#This Row],[%equitable and continuous access to sufficient quantity of safe drinking and domestic water''s GAP]]*WWWW[[#This Row],[Total PoP ]]</f>
        <v>1162</v>
      </c>
      <c r="BC358" s="781">
        <f>IF(WWWW[[#This Row],[Total required water points]]-WWWW[[#This Row],['#Water points coverage]]&lt;0,0,WWWW[[#This Row],[Total required water points]]-WWWW[[#This Row],['#Water points coverage]])</f>
        <v>5</v>
      </c>
      <c r="BD358" s="781">
        <f>ROUND(IF(WWWW[[#This Row],[Total PoP ]]&lt;250,1,WWWW[[#This Row],[Total PoP ]]/250),0)</f>
        <v>5</v>
      </c>
      <c r="BE35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2.1514629948364887E-2</v>
      </c>
      <c r="BF358" s="779">
        <f>WWWW[[#This Row],[% people access to functioning Latrine]]*WWWW[[#This Row],[Total PoP ]]</f>
        <v>25</v>
      </c>
      <c r="BG358" s="781">
        <f>WWWW[[#This Row],['#_of_Functioning_latrines_in_school]]*50</f>
        <v>0</v>
      </c>
      <c r="BH358" s="781">
        <f>ROUND((WWWW[[#This Row],[Total PoP ]]/6),0)</f>
        <v>194</v>
      </c>
      <c r="BI358" s="781">
        <f>IF(WWWW[[#This Row],[Total required Latrines]]-(WWWW[[#This Row],['#_of_sanitary_fly-proof_HH_latrines]])&lt;0,0,WWWW[[#This Row],[Total required Latrines]]-(WWWW[[#This Row],['#_of_sanitary_fly-proof_HH_latrines]]))</f>
        <v>194</v>
      </c>
      <c r="BJ358" s="778">
        <f>1-WWWW[[#This Row],[% people access to functioning Latrine]]</f>
        <v>0.97848537005163516</v>
      </c>
      <c r="BK35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1162</v>
      </c>
      <c r="BL358" s="772">
        <f>IF(WWWW[[#This Row],['#_of_functional_handwashing_facilities_at_HH_level]]*6&gt;WWWW[[#This Row],[Total PoP ]],WWWW[[#This Row],[Total PoP ]],WWWW[[#This Row],['#_of_functional_handwashing_facilities_at_HH_level]]*6)</f>
        <v>0</v>
      </c>
      <c r="BM358" s="781">
        <f>IF(WWWW[[#This Row],['# people reached by regular dedicated hygiene promotion]]&gt;WWWW[[#This Row],['# People received regular supply of hygiene items]],WWWW[[#This Row],['# people reached by regular dedicated hygiene promotion]],WWWW[[#This Row],['# People received regular supply of hygiene items]])</f>
        <v>1162</v>
      </c>
      <c r="BN358" s="780">
        <f>IF(WWWW[[#This Row],[HRP3]]/WWWW[[#This Row],[Total PoP ]]&gt;100%,100%,WWWW[[#This Row],[HRP3]]/WWWW[[#This Row],[Total PoP ]])</f>
        <v>1</v>
      </c>
      <c r="BO358" s="778">
        <f>1-WWWW[[#This Row],[Hygiene Coverage%]]</f>
        <v>0</v>
      </c>
      <c r="BP358" s="777">
        <f>WWWW[[#This Row],['# people reached by regular dedicated hygiene promotion]]/WWWW[[#This Row],[Total PoP ]]</f>
        <v>1</v>
      </c>
      <c r="BQ35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1162</v>
      </c>
      <c r="BR358" s="770">
        <f>WWWW[[#This Row],['#_of_affected_women_and_girls_receiving_a_sufficient_quantity_of_sanitary_pads]]</f>
        <v>0</v>
      </c>
      <c r="BS358" s="773">
        <f>IF(WWWW[[#This Row],['# People with access to soap]]&gt;WWWW[[#This Row],['# People with access to Sanity Pads]],WWWW[[#This Row],['# People with access to soap]],WWWW[[#This Row],['# People with access to Sanity Pads]])</f>
        <v>1162</v>
      </c>
      <c r="BT358" s="772" t="str">
        <f>IF(OR(WWWW[[#This Row],['#of students in school]]="",WWWW[[#This Row],['#of students in school]]=0),"No","Yes")</f>
        <v>No</v>
      </c>
      <c r="BU358" s="782" t="str">
        <f>VLOOKUP(WWWW[[#This Row],[Village  Name]],SiteDB6[[Site Name]:[Location Type 1]],9,FALSE)</f>
        <v>Village</v>
      </c>
      <c r="BV358" s="782" t="str">
        <f>VLOOKUP(WWWW[[#This Row],[Village  Name]],SiteDB6[[Site Name]:[Type of Accommodation]],10,FALSE)</f>
        <v>Village</v>
      </c>
      <c r="BW358" s="782">
        <f>VLOOKUP(WWWW[[#This Row],[Village  Name]],SiteDB6[[Site Name]:[Ethnic or GCA/NGCA]],11,FALSE)</f>
        <v>0</v>
      </c>
      <c r="BX358" s="782">
        <f>VLOOKUP(WWWW[[#This Row],[Village  Name]],SiteDB6[[Site Name]:[Lat]],12,FALSE)</f>
        <v>20.219699859619102</v>
      </c>
      <c r="BY358" s="782">
        <f>VLOOKUP(WWWW[[#This Row],[Village  Name]],SiteDB6[[Site Name]:[Long]],13,FALSE)</f>
        <v>92.851379394531307</v>
      </c>
      <c r="BZ358" s="782">
        <f>VLOOKUP(WWWW[[#This Row],[Village  Name]],SiteDB6[[Site Name]:[Pcode]],3,FALSE)</f>
        <v>196153</v>
      </c>
      <c r="CA358" s="782" t="str">
        <f t="shared" si="22"/>
        <v>Covered</v>
      </c>
      <c r="CB358" s="783"/>
    </row>
    <row r="359" spans="1:80">
      <c r="A359" s="727" t="s">
        <v>3199</v>
      </c>
      <c r="B359" s="727" t="s">
        <v>3152</v>
      </c>
      <c r="C359" s="728" t="s">
        <v>3152</v>
      </c>
      <c r="D359" s="728" t="s">
        <v>3297</v>
      </c>
      <c r="E359" s="728" t="s">
        <v>2648</v>
      </c>
      <c r="F359" s="728" t="s">
        <v>295</v>
      </c>
      <c r="G359" s="644" t="str">
        <f>VLOOKUP(WWWW[[#This Row],[Village  Name]],SiteDB6[[Site Name]:[Location Type]],8,FALSE)</f>
        <v>Village</v>
      </c>
      <c r="H359" s="728" t="s">
        <v>3305</v>
      </c>
      <c r="I359" s="775">
        <v>117</v>
      </c>
      <c r="J359" s="775">
        <v>487</v>
      </c>
      <c r="K359" s="784">
        <v>43952</v>
      </c>
      <c r="L359" s="785">
        <v>44073</v>
      </c>
      <c r="M359" s="775"/>
      <c r="N359" s="775"/>
      <c r="O359" s="773"/>
      <c r="P359" s="775"/>
      <c r="Q359" s="775"/>
      <c r="R359" s="775"/>
      <c r="S359" s="775"/>
      <c r="T359" s="775"/>
      <c r="U359" s="776"/>
      <c r="V359" s="775"/>
      <c r="W359" s="773" t="s">
        <v>130</v>
      </c>
      <c r="X359" s="775"/>
      <c r="Y359" s="775">
        <v>6</v>
      </c>
      <c r="Z359" s="775">
        <v>6</v>
      </c>
      <c r="AA359" s="775"/>
      <c r="AB359" s="775"/>
      <c r="AC359" s="776"/>
      <c r="AD359" s="775">
        <v>147</v>
      </c>
      <c r="AE359" s="775">
        <v>137</v>
      </c>
      <c r="AF359" s="775">
        <v>105</v>
      </c>
      <c r="AG359" s="775">
        <v>98</v>
      </c>
      <c r="AH359" s="775">
        <v>105</v>
      </c>
      <c r="AI359" s="775">
        <v>98</v>
      </c>
      <c r="AJ359" s="773"/>
      <c r="AK359" s="775"/>
      <c r="AL359" s="773">
        <v>117</v>
      </c>
      <c r="AM359" s="773"/>
      <c r="AN359" s="776"/>
      <c r="AO359" s="769"/>
      <c r="AP359" s="769"/>
      <c r="AQ359" s="773"/>
      <c r="AR359" s="773"/>
      <c r="AS359" s="773"/>
      <c r="AT359"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59" s="779">
        <f>WWWW[[#This Row],[%Equitable and continuous access to sufficient quantity of safe drinking water]]*WWWW[[#This Row],[Total PoP ]]</f>
        <v>0</v>
      </c>
      <c r="AV359"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59" s="779">
        <f>WWWW[[#This Row],[% Access to unimproved water points]]*WWWW[[#This Row],[Total PoP ]]</f>
        <v>0</v>
      </c>
      <c r="AX359"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59"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59" s="779">
        <f>WWWW[[#This Row],[HRP1]]/250</f>
        <v>0</v>
      </c>
      <c r="BA359" s="780">
        <f>1-WWWW[[#This Row],[% Equitable and continuous access to sufficient quantity of domestic water]]</f>
        <v>1</v>
      </c>
      <c r="BB359" s="779">
        <f>WWWW[[#This Row],[%equitable and continuous access to sufficient quantity of safe drinking and domestic water''s GAP]]*WWWW[[#This Row],[Total PoP ]]</f>
        <v>487</v>
      </c>
      <c r="BC359" s="781">
        <f>IF(WWWW[[#This Row],[Total required water points]]-WWWW[[#This Row],['#Water points coverage]]&lt;0,0,WWWW[[#This Row],[Total required water points]]-WWWW[[#This Row],['#Water points coverage]])</f>
        <v>2</v>
      </c>
      <c r="BD359" s="781">
        <f>ROUND(IF(WWWW[[#This Row],[Total PoP ]]&lt;250,1,WWWW[[#This Row],[Total PoP ]]/250),0)</f>
        <v>2</v>
      </c>
      <c r="BE35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1.2320328542094456E-2</v>
      </c>
      <c r="BF359" s="779">
        <f>WWWW[[#This Row],[% people access to functioning Latrine]]*WWWW[[#This Row],[Total PoP ]]</f>
        <v>6</v>
      </c>
      <c r="BG359" s="781">
        <f>WWWW[[#This Row],['#_of_Functioning_latrines_in_school]]*50</f>
        <v>0</v>
      </c>
      <c r="BH359" s="781">
        <f>ROUND((WWWW[[#This Row],[Total PoP ]]/6),0)</f>
        <v>81</v>
      </c>
      <c r="BI359" s="781">
        <f>IF(WWWW[[#This Row],[Total required Latrines]]-(WWWW[[#This Row],['#_of_sanitary_fly-proof_HH_latrines]])&lt;0,0,WWWW[[#This Row],[Total required Latrines]]-(WWWW[[#This Row],['#_of_sanitary_fly-proof_HH_latrines]]))</f>
        <v>81</v>
      </c>
      <c r="BJ359" s="778">
        <f>1-WWWW[[#This Row],[% people access to functioning Latrine]]</f>
        <v>0.98767967145790558</v>
      </c>
      <c r="BK359"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487</v>
      </c>
      <c r="BL359" s="772">
        <f>IF(WWWW[[#This Row],['#_of_functional_handwashing_facilities_at_HH_level]]*6&gt;WWWW[[#This Row],[Total PoP ]],WWWW[[#This Row],[Total PoP ]],WWWW[[#This Row],['#_of_functional_handwashing_facilities_at_HH_level]]*6)</f>
        <v>0</v>
      </c>
      <c r="BM359" s="781">
        <f>IF(WWWW[[#This Row],['# people reached by regular dedicated hygiene promotion]]&gt;WWWW[[#This Row],['# People received regular supply of hygiene items]],WWWW[[#This Row],['# people reached by regular dedicated hygiene promotion]],WWWW[[#This Row],['# People received regular supply of hygiene items]])</f>
        <v>487</v>
      </c>
      <c r="BN359" s="780">
        <f>IF(WWWW[[#This Row],[HRP3]]/WWWW[[#This Row],[Total PoP ]]&gt;100%,100%,WWWW[[#This Row],[HRP3]]/WWWW[[#This Row],[Total PoP ]])</f>
        <v>1</v>
      </c>
      <c r="BO359" s="778">
        <f>1-WWWW[[#This Row],[Hygiene Coverage%]]</f>
        <v>0</v>
      </c>
      <c r="BP359" s="777">
        <f>WWWW[[#This Row],['# people reached by regular dedicated hygiene promotion]]/WWWW[[#This Row],[Total PoP ]]</f>
        <v>1</v>
      </c>
      <c r="BQ35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487</v>
      </c>
      <c r="BR359" s="770">
        <f>WWWW[[#This Row],['#_of_affected_women_and_girls_receiving_a_sufficient_quantity_of_sanitary_pads]]</f>
        <v>0</v>
      </c>
      <c r="BS359" s="773">
        <f>IF(WWWW[[#This Row],['# People with access to soap]]&gt;WWWW[[#This Row],['# People with access to Sanity Pads]],WWWW[[#This Row],['# People with access to soap]],WWWW[[#This Row],['# People with access to Sanity Pads]])</f>
        <v>487</v>
      </c>
      <c r="BT359" s="772" t="str">
        <f>IF(OR(WWWW[[#This Row],['#of students in school]]="",WWWW[[#This Row],['#of students in school]]=0),"No","Yes")</f>
        <v>No</v>
      </c>
      <c r="BU359" s="782" t="str">
        <f>VLOOKUP(WWWW[[#This Row],[Village  Name]],SiteDB6[[Site Name]:[Location Type 1]],9,FALSE)</f>
        <v>Village</v>
      </c>
      <c r="BV359" s="782" t="str">
        <f>VLOOKUP(WWWW[[#This Row],[Village  Name]],SiteDB6[[Site Name]:[Type of Accommodation]],10,FALSE)</f>
        <v>Village</v>
      </c>
      <c r="BW359" s="782">
        <f>VLOOKUP(WWWW[[#This Row],[Village  Name]],SiteDB6[[Site Name]:[Ethnic or GCA/NGCA]],11,FALSE)</f>
        <v>0</v>
      </c>
      <c r="BX359" s="782">
        <f>VLOOKUP(WWWW[[#This Row],[Village  Name]],SiteDB6[[Site Name]:[Lat]],12,FALSE)</f>
        <v>20.261358000000001</v>
      </c>
      <c r="BY359" s="782">
        <f>VLOOKUP(WWWW[[#This Row],[Village  Name]],SiteDB6[[Site Name]:[Long]],13,FALSE)</f>
        <v>92.805672999999999</v>
      </c>
      <c r="BZ359" s="782">
        <f>VLOOKUP(WWWW[[#This Row],[Village  Name]],SiteDB6[[Site Name]:[Pcode]],3,FALSE)</f>
        <v>220593</v>
      </c>
      <c r="CA359" s="782" t="str">
        <f t="shared" si="22"/>
        <v>Covered</v>
      </c>
      <c r="CB359" s="783"/>
    </row>
    <row r="360" spans="1:80">
      <c r="A360" s="727" t="s">
        <v>3199</v>
      </c>
      <c r="B360" s="727" t="s">
        <v>3152</v>
      </c>
      <c r="C360" s="728" t="s">
        <v>3152</v>
      </c>
      <c r="D360" s="728" t="s">
        <v>3297</v>
      </c>
      <c r="E360" s="728" t="s">
        <v>2648</v>
      </c>
      <c r="F360" s="728" t="s">
        <v>295</v>
      </c>
      <c r="G360" s="644" t="str">
        <f>VLOOKUP(WWWW[[#This Row],[Village  Name]],SiteDB6[[Site Name]:[Location Type]],8,FALSE)</f>
        <v>Village</v>
      </c>
      <c r="H360" s="728" t="s">
        <v>3301</v>
      </c>
      <c r="I360" s="775">
        <v>217</v>
      </c>
      <c r="J360" s="775">
        <v>837</v>
      </c>
      <c r="K360" s="784">
        <v>43952</v>
      </c>
      <c r="L360" s="785">
        <v>44073</v>
      </c>
      <c r="M360" s="775"/>
      <c r="N360" s="775"/>
      <c r="O360" s="773"/>
      <c r="P360" s="775"/>
      <c r="Q360" s="775"/>
      <c r="R360" s="775"/>
      <c r="S360" s="775"/>
      <c r="T360" s="775"/>
      <c r="U360" s="776"/>
      <c r="V360" s="775"/>
      <c r="W360" s="773" t="s">
        <v>130</v>
      </c>
      <c r="X360" s="775"/>
      <c r="Y360" s="775">
        <v>19</v>
      </c>
      <c r="Z360" s="775">
        <v>19</v>
      </c>
      <c r="AA360" s="775"/>
      <c r="AB360" s="775"/>
      <c r="AC360" s="776"/>
      <c r="AD360" s="775">
        <v>321</v>
      </c>
      <c r="AE360" s="775">
        <v>337</v>
      </c>
      <c r="AF360" s="775">
        <v>145</v>
      </c>
      <c r="AG360" s="775">
        <v>121</v>
      </c>
      <c r="AH360" s="775">
        <v>145</v>
      </c>
      <c r="AI360" s="775">
        <v>121</v>
      </c>
      <c r="AJ360" s="773"/>
      <c r="AK360" s="775"/>
      <c r="AL360" s="773">
        <v>217</v>
      </c>
      <c r="AM360" s="773"/>
      <c r="AN360" s="776"/>
      <c r="AO360" s="769"/>
      <c r="AP360" s="769"/>
      <c r="AQ360" s="773"/>
      <c r="AR360" s="773"/>
      <c r="AS360" s="773"/>
      <c r="AT360"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60" s="779">
        <f>WWWW[[#This Row],[%Equitable and continuous access to sufficient quantity of safe drinking water]]*WWWW[[#This Row],[Total PoP ]]</f>
        <v>0</v>
      </c>
      <c r="AV360"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60" s="779">
        <f>WWWW[[#This Row],[% Access to unimproved water points]]*WWWW[[#This Row],[Total PoP ]]</f>
        <v>0</v>
      </c>
      <c r="AX360"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60"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60" s="779">
        <f>WWWW[[#This Row],[HRP1]]/250</f>
        <v>0</v>
      </c>
      <c r="BA360" s="780">
        <f>1-WWWW[[#This Row],[% Equitable and continuous access to sufficient quantity of domestic water]]</f>
        <v>1</v>
      </c>
      <c r="BB360" s="779">
        <f>WWWW[[#This Row],[%equitable and continuous access to sufficient quantity of safe drinking and domestic water''s GAP]]*WWWW[[#This Row],[Total PoP ]]</f>
        <v>837</v>
      </c>
      <c r="BC360" s="781">
        <f>IF(WWWW[[#This Row],[Total required water points]]-WWWW[[#This Row],['#Water points coverage]]&lt;0,0,WWWW[[#This Row],[Total required water points]]-WWWW[[#This Row],['#Water points coverage]])</f>
        <v>3</v>
      </c>
      <c r="BD360" s="781">
        <f>ROUND(IF(WWWW[[#This Row],[Total PoP ]]&lt;250,1,WWWW[[#This Row],[Total PoP ]]/250),0)</f>
        <v>3</v>
      </c>
      <c r="BE36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2.2700119474313024E-2</v>
      </c>
      <c r="BF360" s="779">
        <f>WWWW[[#This Row],[% people access to functioning Latrine]]*WWWW[[#This Row],[Total PoP ]]</f>
        <v>19</v>
      </c>
      <c r="BG360" s="781">
        <f>WWWW[[#This Row],['#_of_Functioning_latrines_in_school]]*50</f>
        <v>0</v>
      </c>
      <c r="BH360" s="781">
        <f>ROUND((WWWW[[#This Row],[Total PoP ]]/6),0)</f>
        <v>140</v>
      </c>
      <c r="BI360" s="781">
        <f>IF(WWWW[[#This Row],[Total required Latrines]]-(WWWW[[#This Row],['#_of_sanitary_fly-proof_HH_latrines]])&lt;0,0,WWWW[[#This Row],[Total required Latrines]]-(WWWW[[#This Row],['#_of_sanitary_fly-proof_HH_latrines]]))</f>
        <v>140</v>
      </c>
      <c r="BJ360" s="778">
        <f>1-WWWW[[#This Row],[% people access to functioning Latrine]]</f>
        <v>0.97729988052568695</v>
      </c>
      <c r="BK360"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837</v>
      </c>
      <c r="BL360" s="772">
        <f>IF(WWWW[[#This Row],['#_of_functional_handwashing_facilities_at_HH_level]]*6&gt;WWWW[[#This Row],[Total PoP ]],WWWW[[#This Row],[Total PoP ]],WWWW[[#This Row],['#_of_functional_handwashing_facilities_at_HH_level]]*6)</f>
        <v>0</v>
      </c>
      <c r="BM360" s="781">
        <f>IF(WWWW[[#This Row],['# people reached by regular dedicated hygiene promotion]]&gt;WWWW[[#This Row],['# People received regular supply of hygiene items]],WWWW[[#This Row],['# people reached by regular dedicated hygiene promotion]],WWWW[[#This Row],['# People received regular supply of hygiene items]])</f>
        <v>837</v>
      </c>
      <c r="BN360" s="780">
        <f>IF(WWWW[[#This Row],[HRP3]]/WWWW[[#This Row],[Total PoP ]]&gt;100%,100%,WWWW[[#This Row],[HRP3]]/WWWW[[#This Row],[Total PoP ]])</f>
        <v>1</v>
      </c>
      <c r="BO360" s="778">
        <f>1-WWWW[[#This Row],[Hygiene Coverage%]]</f>
        <v>0</v>
      </c>
      <c r="BP360" s="777">
        <f>WWWW[[#This Row],['# people reached by regular dedicated hygiene promotion]]/WWWW[[#This Row],[Total PoP ]]</f>
        <v>1</v>
      </c>
      <c r="BQ36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837</v>
      </c>
      <c r="BR360" s="770">
        <f>WWWW[[#This Row],['#_of_affected_women_and_girls_receiving_a_sufficient_quantity_of_sanitary_pads]]</f>
        <v>0</v>
      </c>
      <c r="BS360" s="773">
        <f>IF(WWWW[[#This Row],['# People with access to soap]]&gt;WWWW[[#This Row],['# People with access to Sanity Pads]],WWWW[[#This Row],['# People with access to soap]],WWWW[[#This Row],['# People with access to Sanity Pads]])</f>
        <v>837</v>
      </c>
      <c r="BT360" s="772" t="str">
        <f>IF(OR(WWWW[[#This Row],['#of students in school]]="",WWWW[[#This Row],['#of students in school]]=0),"No","Yes")</f>
        <v>No</v>
      </c>
      <c r="BU360" s="782" t="str">
        <f>VLOOKUP(WWWW[[#This Row],[Village  Name]],SiteDB6[[Site Name]:[Location Type 1]],9,FALSE)</f>
        <v>Village</v>
      </c>
      <c r="BV360" s="782" t="str">
        <f>VLOOKUP(WWWW[[#This Row],[Village  Name]],SiteDB6[[Site Name]:[Type of Accommodation]],10,FALSE)</f>
        <v>Village</v>
      </c>
      <c r="BW360" s="782">
        <f>VLOOKUP(WWWW[[#This Row],[Village  Name]],SiteDB6[[Site Name]:[Ethnic or GCA/NGCA]],11,FALSE)</f>
        <v>0</v>
      </c>
      <c r="BX360" s="782">
        <f>VLOOKUP(WWWW[[#This Row],[Village  Name]],SiteDB6[[Site Name]:[Lat]],12,FALSE)</f>
        <v>20.236940383911101</v>
      </c>
      <c r="BY360" s="782">
        <f>VLOOKUP(WWWW[[#This Row],[Village  Name]],SiteDB6[[Site Name]:[Long]],13,FALSE)</f>
        <v>92.833259582519503</v>
      </c>
      <c r="BZ360" s="782">
        <f>VLOOKUP(WWWW[[#This Row],[Village  Name]],SiteDB6[[Site Name]:[Pcode]],3,FALSE)</f>
        <v>196130</v>
      </c>
      <c r="CA360" s="782" t="str">
        <f t="shared" si="22"/>
        <v>Covered</v>
      </c>
      <c r="CB360" s="783"/>
    </row>
    <row r="361" spans="1:80">
      <c r="A361" s="727" t="s">
        <v>3199</v>
      </c>
      <c r="B361" s="727" t="s">
        <v>3152</v>
      </c>
      <c r="C361" s="728" t="s">
        <v>3152</v>
      </c>
      <c r="D361" s="728" t="s">
        <v>3153</v>
      </c>
      <c r="E361" s="728" t="s">
        <v>2648</v>
      </c>
      <c r="F361" s="728" t="s">
        <v>295</v>
      </c>
      <c r="G361" s="644" t="str">
        <f>VLOOKUP(WWWW[[#This Row],[Village  Name]],SiteDB6[[Site Name]:[Location Type]],8,FALSE)</f>
        <v>Village</v>
      </c>
      <c r="H361" s="728" t="s">
        <v>2007</v>
      </c>
      <c r="I361" s="775">
        <v>119</v>
      </c>
      <c r="J361" s="775">
        <v>546</v>
      </c>
      <c r="K361" s="784">
        <v>43922</v>
      </c>
      <c r="L361" s="785">
        <v>44073</v>
      </c>
      <c r="M361" s="775"/>
      <c r="N361" s="775"/>
      <c r="O361" s="773"/>
      <c r="P361" s="775"/>
      <c r="Q361" s="775"/>
      <c r="R361" s="775"/>
      <c r="S361" s="775"/>
      <c r="T361" s="775"/>
      <c r="U361" s="776"/>
      <c r="V361" s="775"/>
      <c r="W361" s="773" t="s">
        <v>130</v>
      </c>
      <c r="X361" s="775"/>
      <c r="Y361" s="775">
        <v>45</v>
      </c>
      <c r="Z361" s="775">
        <v>45</v>
      </c>
      <c r="AA361" s="775"/>
      <c r="AB361" s="775"/>
      <c r="AC361" s="776"/>
      <c r="AD361" s="775">
        <v>121</v>
      </c>
      <c r="AE361" s="775">
        <v>146</v>
      </c>
      <c r="AF361" s="775">
        <v>135</v>
      </c>
      <c r="AG361" s="775">
        <v>133</v>
      </c>
      <c r="AH361" s="775">
        <v>135</v>
      </c>
      <c r="AI361" s="775">
        <v>133</v>
      </c>
      <c r="AJ361" s="773"/>
      <c r="AK361" s="775"/>
      <c r="AL361" s="773">
        <v>119</v>
      </c>
      <c r="AM361" s="773"/>
      <c r="AN361" s="776"/>
      <c r="AO361" s="769">
        <v>0.5</v>
      </c>
      <c r="AP361" s="769">
        <v>0.1681</v>
      </c>
      <c r="AQ361" s="773"/>
      <c r="AR361" s="773"/>
      <c r="AS361" s="773"/>
      <c r="AT361"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61" s="779">
        <f>WWWW[[#This Row],[%Equitable and continuous access to sufficient quantity of safe drinking water]]*WWWW[[#This Row],[Total PoP ]]</f>
        <v>0</v>
      </c>
      <c r="AV361"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61" s="779">
        <f>WWWW[[#This Row],[% Access to unimproved water points]]*WWWW[[#This Row],[Total PoP ]]</f>
        <v>0</v>
      </c>
      <c r="AX361"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61"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61" s="779">
        <f>WWWW[[#This Row],[HRP1]]/250</f>
        <v>0</v>
      </c>
      <c r="BA361" s="780">
        <f>1-WWWW[[#This Row],[% Equitable and continuous access to sufficient quantity of domestic water]]</f>
        <v>1</v>
      </c>
      <c r="BB361" s="779">
        <f>WWWW[[#This Row],[%equitable and continuous access to sufficient quantity of safe drinking and domestic water''s GAP]]*WWWW[[#This Row],[Total PoP ]]</f>
        <v>546</v>
      </c>
      <c r="BC361" s="781">
        <f>IF(WWWW[[#This Row],[Total required water points]]-WWWW[[#This Row],['#Water points coverage]]&lt;0,0,WWWW[[#This Row],[Total required water points]]-WWWW[[#This Row],['#Water points coverage]])</f>
        <v>2</v>
      </c>
      <c r="BD361" s="781">
        <f>ROUND(IF(WWWW[[#This Row],[Total PoP ]]&lt;250,1,WWWW[[#This Row],[Total PoP ]]/250),0)</f>
        <v>2</v>
      </c>
      <c r="BE36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8.2417582417582416E-2</v>
      </c>
      <c r="BF361" s="779">
        <f>WWWW[[#This Row],[% people access to functioning Latrine]]*WWWW[[#This Row],[Total PoP ]]</f>
        <v>45</v>
      </c>
      <c r="BG361" s="781">
        <f>WWWW[[#This Row],['#_of_Functioning_latrines_in_school]]*50</f>
        <v>0</v>
      </c>
      <c r="BH361" s="781">
        <f>ROUND((WWWW[[#This Row],[Total PoP ]]/6),0)</f>
        <v>91</v>
      </c>
      <c r="BI361" s="781">
        <f>IF(WWWW[[#This Row],[Total required Latrines]]-(WWWW[[#This Row],['#_of_sanitary_fly-proof_HH_latrines]])&lt;0,0,WWWW[[#This Row],[Total required Latrines]]-(WWWW[[#This Row],['#_of_sanitary_fly-proof_HH_latrines]]))</f>
        <v>91</v>
      </c>
      <c r="BJ361" s="778">
        <f>1-WWWW[[#This Row],[% people access to functioning Latrine]]</f>
        <v>0.91758241758241754</v>
      </c>
      <c r="BK361"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546</v>
      </c>
      <c r="BL361" s="772">
        <f>IF(WWWW[[#This Row],['#_of_functional_handwashing_facilities_at_HH_level]]*6&gt;WWWW[[#This Row],[Total PoP ]],WWWW[[#This Row],[Total PoP ]],WWWW[[#This Row],['#_of_functional_handwashing_facilities_at_HH_level]]*6)</f>
        <v>0</v>
      </c>
      <c r="BM361" s="781">
        <f>IF(WWWW[[#This Row],['# people reached by regular dedicated hygiene promotion]]&gt;WWWW[[#This Row],['# People received regular supply of hygiene items]],WWWW[[#This Row],['# people reached by regular dedicated hygiene promotion]],WWWW[[#This Row],['# People received regular supply of hygiene items]])</f>
        <v>546</v>
      </c>
      <c r="BN361" s="780">
        <f>IF(WWWW[[#This Row],[HRP3]]/WWWW[[#This Row],[Total PoP ]]&gt;100%,100%,WWWW[[#This Row],[HRP3]]/WWWW[[#This Row],[Total PoP ]])</f>
        <v>1</v>
      </c>
      <c r="BO361" s="778">
        <f>1-WWWW[[#This Row],[Hygiene Coverage%]]</f>
        <v>0</v>
      </c>
      <c r="BP361" s="777">
        <f>WWWW[[#This Row],['# people reached by regular dedicated hygiene promotion]]/WWWW[[#This Row],[Total PoP ]]</f>
        <v>1</v>
      </c>
      <c r="BQ36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546</v>
      </c>
      <c r="BR361" s="770">
        <f>WWWW[[#This Row],['#_of_affected_women_and_girls_receiving_a_sufficient_quantity_of_sanitary_pads]]</f>
        <v>0</v>
      </c>
      <c r="BS361" s="773">
        <f>IF(WWWW[[#This Row],['# People with access to soap]]&gt;WWWW[[#This Row],['# People with access to Sanity Pads]],WWWW[[#This Row],['# People with access to soap]],WWWW[[#This Row],['# People with access to Sanity Pads]])</f>
        <v>546</v>
      </c>
      <c r="BT361" s="772" t="str">
        <f>IF(OR(WWWW[[#This Row],['#of students in school]]="",WWWW[[#This Row],['#of students in school]]=0),"No","Yes")</f>
        <v>No</v>
      </c>
      <c r="BU361" s="782" t="str">
        <f>VLOOKUP(WWWW[[#This Row],[Village  Name]],SiteDB6[[Site Name]:[Location Type 1]],9,FALSE)</f>
        <v>Village</v>
      </c>
      <c r="BV361" s="782" t="str">
        <f>VLOOKUP(WWWW[[#This Row],[Village  Name]],SiteDB6[[Site Name]:[Type of Accommodation]],10,FALSE)</f>
        <v>Village</v>
      </c>
      <c r="BW361" s="782" t="str">
        <f>VLOOKUP(WWWW[[#This Row],[Village  Name]],SiteDB6[[Site Name]:[Ethnic or GCA/NGCA]],11,FALSE)</f>
        <v>Muslim</v>
      </c>
      <c r="BX361" s="782">
        <f>VLOOKUP(WWWW[[#This Row],[Village  Name]],SiteDB6[[Site Name]:[Lat]],12,FALSE)</f>
        <v>20.239929199999999</v>
      </c>
      <c r="BY361" s="782">
        <f>VLOOKUP(WWWW[[#This Row],[Village  Name]],SiteDB6[[Site Name]:[Long]],13,FALSE)</f>
        <v>92.827529909999996</v>
      </c>
      <c r="BZ361" s="782">
        <f>VLOOKUP(WWWW[[#This Row],[Village  Name]],SiteDB6[[Site Name]:[Pcode]],3,FALSE)</f>
        <v>196162</v>
      </c>
      <c r="CA361" s="782" t="str">
        <f t="shared" si="22"/>
        <v>Covered</v>
      </c>
      <c r="CB361" s="783"/>
    </row>
    <row r="362" spans="1:80">
      <c r="A362" s="727" t="s">
        <v>3199</v>
      </c>
      <c r="B362" s="727" t="s">
        <v>3152</v>
      </c>
      <c r="C362" s="728" t="s">
        <v>3152</v>
      </c>
      <c r="D362" s="728" t="s">
        <v>3297</v>
      </c>
      <c r="E362" s="728" t="s">
        <v>2648</v>
      </c>
      <c r="F362" s="728" t="s">
        <v>295</v>
      </c>
      <c r="G362" s="644" t="str">
        <f>VLOOKUP(WWWW[[#This Row],[Village  Name]],SiteDB6[[Site Name]:[Location Type]],8,FALSE)</f>
        <v>Village</v>
      </c>
      <c r="H362" s="728" t="s">
        <v>446</v>
      </c>
      <c r="I362" s="775">
        <v>175</v>
      </c>
      <c r="J362" s="775">
        <v>723</v>
      </c>
      <c r="K362" s="784">
        <v>43952</v>
      </c>
      <c r="L362" s="785">
        <v>44073</v>
      </c>
      <c r="M362" s="775"/>
      <c r="N362" s="775"/>
      <c r="O362" s="773"/>
      <c r="P362" s="775"/>
      <c r="Q362" s="775"/>
      <c r="R362" s="775"/>
      <c r="S362" s="775"/>
      <c r="T362" s="775"/>
      <c r="U362" s="776"/>
      <c r="V362" s="775"/>
      <c r="W362" s="773" t="s">
        <v>130</v>
      </c>
      <c r="X362" s="775"/>
      <c r="Y362" s="775">
        <v>1</v>
      </c>
      <c r="Z362" s="775">
        <v>1</v>
      </c>
      <c r="AA362" s="775"/>
      <c r="AB362" s="775"/>
      <c r="AC362" s="776"/>
      <c r="AD362" s="775">
        <v>213</v>
      </c>
      <c r="AE362" s="775">
        <v>285</v>
      </c>
      <c r="AF362" s="775">
        <v>116</v>
      </c>
      <c r="AG362" s="775">
        <v>109</v>
      </c>
      <c r="AH362" s="775">
        <v>116</v>
      </c>
      <c r="AI362" s="775">
        <v>109</v>
      </c>
      <c r="AJ362" s="773"/>
      <c r="AK362" s="775"/>
      <c r="AL362" s="773">
        <v>175</v>
      </c>
      <c r="AM362" s="773"/>
      <c r="AN362" s="776"/>
      <c r="AO362" s="769"/>
      <c r="AP362" s="769"/>
      <c r="AQ362" s="773"/>
      <c r="AR362" s="773"/>
      <c r="AS362" s="773"/>
      <c r="AT362"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62" s="779">
        <f>WWWW[[#This Row],[%Equitable and continuous access to sufficient quantity of safe drinking water]]*WWWW[[#This Row],[Total PoP ]]</f>
        <v>0</v>
      </c>
      <c r="AV362"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62" s="779">
        <f>WWWW[[#This Row],[% Access to unimproved water points]]*WWWW[[#This Row],[Total PoP ]]</f>
        <v>0</v>
      </c>
      <c r="AX362"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62"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62" s="779">
        <f>WWWW[[#This Row],[HRP1]]/250</f>
        <v>0</v>
      </c>
      <c r="BA362" s="780">
        <f>1-WWWW[[#This Row],[% Equitable and continuous access to sufficient quantity of domestic water]]</f>
        <v>1</v>
      </c>
      <c r="BB362" s="779">
        <f>WWWW[[#This Row],[%equitable and continuous access to sufficient quantity of safe drinking and domestic water''s GAP]]*WWWW[[#This Row],[Total PoP ]]</f>
        <v>723</v>
      </c>
      <c r="BC362" s="781">
        <f>IF(WWWW[[#This Row],[Total required water points]]-WWWW[[#This Row],['#Water points coverage]]&lt;0,0,WWWW[[#This Row],[Total required water points]]-WWWW[[#This Row],['#Water points coverage]])</f>
        <v>3</v>
      </c>
      <c r="BD362" s="781">
        <f>ROUND(IF(WWWW[[#This Row],[Total PoP ]]&lt;250,1,WWWW[[#This Row],[Total PoP ]]/250),0)</f>
        <v>3</v>
      </c>
      <c r="BE36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1.3831258644536654E-3</v>
      </c>
      <c r="BF362" s="779">
        <f>WWWW[[#This Row],[% people access to functioning Latrine]]*WWWW[[#This Row],[Total PoP ]]</f>
        <v>1</v>
      </c>
      <c r="BG362" s="781">
        <f>WWWW[[#This Row],['#_of_Functioning_latrines_in_school]]*50</f>
        <v>0</v>
      </c>
      <c r="BH362" s="781">
        <f>ROUND((WWWW[[#This Row],[Total PoP ]]/6),0)</f>
        <v>121</v>
      </c>
      <c r="BI362" s="781">
        <f>IF(WWWW[[#This Row],[Total required Latrines]]-(WWWW[[#This Row],['#_of_sanitary_fly-proof_HH_latrines]])&lt;0,0,WWWW[[#This Row],[Total required Latrines]]-(WWWW[[#This Row],['#_of_sanitary_fly-proof_HH_latrines]]))</f>
        <v>121</v>
      </c>
      <c r="BJ362" s="778">
        <f>1-WWWW[[#This Row],[% people access to functioning Latrine]]</f>
        <v>0.99861687413554634</v>
      </c>
      <c r="BK362"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723</v>
      </c>
      <c r="BL362" s="772">
        <f>IF(WWWW[[#This Row],['#_of_functional_handwashing_facilities_at_HH_level]]*6&gt;WWWW[[#This Row],[Total PoP ]],WWWW[[#This Row],[Total PoP ]],WWWW[[#This Row],['#_of_functional_handwashing_facilities_at_HH_level]]*6)</f>
        <v>0</v>
      </c>
      <c r="BM362" s="781">
        <f>IF(WWWW[[#This Row],['# people reached by regular dedicated hygiene promotion]]&gt;WWWW[[#This Row],['# People received regular supply of hygiene items]],WWWW[[#This Row],['# people reached by regular dedicated hygiene promotion]],WWWW[[#This Row],['# People received regular supply of hygiene items]])</f>
        <v>723</v>
      </c>
      <c r="BN362" s="780">
        <f>IF(WWWW[[#This Row],[HRP3]]/WWWW[[#This Row],[Total PoP ]]&gt;100%,100%,WWWW[[#This Row],[HRP3]]/WWWW[[#This Row],[Total PoP ]])</f>
        <v>1</v>
      </c>
      <c r="BO362" s="778">
        <f>1-WWWW[[#This Row],[Hygiene Coverage%]]</f>
        <v>0</v>
      </c>
      <c r="BP362" s="777">
        <f>WWWW[[#This Row],['# people reached by regular dedicated hygiene promotion]]/WWWW[[#This Row],[Total PoP ]]</f>
        <v>1</v>
      </c>
      <c r="BQ36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723</v>
      </c>
      <c r="BR362" s="770">
        <f>WWWW[[#This Row],['#_of_affected_women_and_girls_receiving_a_sufficient_quantity_of_sanitary_pads]]</f>
        <v>0</v>
      </c>
      <c r="BS362" s="773">
        <f>IF(WWWW[[#This Row],['# People with access to soap]]&gt;WWWW[[#This Row],['# People with access to Sanity Pads]],WWWW[[#This Row],['# People with access to soap]],WWWW[[#This Row],['# People with access to Sanity Pads]])</f>
        <v>723</v>
      </c>
      <c r="BT362" s="772" t="str">
        <f>IF(OR(WWWW[[#This Row],['#of students in school]]="",WWWW[[#This Row],['#of students in school]]=0),"No","Yes")</f>
        <v>No</v>
      </c>
      <c r="BU362" s="782" t="str">
        <f>VLOOKUP(WWWW[[#This Row],[Village  Name]],SiteDB6[[Site Name]:[Location Type 1]],9,FALSE)</f>
        <v>Village</v>
      </c>
      <c r="BV362" s="782" t="str">
        <f>VLOOKUP(WWWW[[#This Row],[Village  Name]],SiteDB6[[Site Name]:[Type of Accommodation]],10,FALSE)</f>
        <v>Village</v>
      </c>
      <c r="BW362" s="782" t="str">
        <f>VLOOKUP(WWWW[[#This Row],[Village  Name]],SiteDB6[[Site Name]:[Ethnic or GCA/NGCA]],11,FALSE)</f>
        <v>Rakhine</v>
      </c>
      <c r="BX362" s="782">
        <f>VLOOKUP(WWWW[[#This Row],[Village  Name]],SiteDB6[[Site Name]:[Lat]],12,FALSE)</f>
        <v>20.22929001</v>
      </c>
      <c r="BY362" s="782">
        <f>VLOOKUP(WWWW[[#This Row],[Village  Name]],SiteDB6[[Site Name]:[Long]],13,FALSE)</f>
        <v>92.864669800000001</v>
      </c>
      <c r="BZ362" s="782">
        <f>VLOOKUP(WWWW[[#This Row],[Village  Name]],SiteDB6[[Site Name]:[Pcode]],3,FALSE)</f>
        <v>196167</v>
      </c>
      <c r="CA362" s="782" t="str">
        <f t="shared" si="22"/>
        <v>Covered</v>
      </c>
      <c r="CB362" s="783"/>
    </row>
    <row r="363" spans="1:80">
      <c r="A363" s="727" t="s">
        <v>3199</v>
      </c>
      <c r="B363" s="727" t="s">
        <v>3152</v>
      </c>
      <c r="C363" s="728" t="s">
        <v>3152</v>
      </c>
      <c r="D363" s="728" t="s">
        <v>3153</v>
      </c>
      <c r="E363" s="728" t="s">
        <v>2648</v>
      </c>
      <c r="F363" s="728" t="s">
        <v>295</v>
      </c>
      <c r="G363" s="644" t="str">
        <f>VLOOKUP(WWWW[[#This Row],[Village  Name]],SiteDB6[[Site Name]:[Location Type]],8,FALSE)</f>
        <v>Village</v>
      </c>
      <c r="H363" s="728" t="s">
        <v>3302</v>
      </c>
      <c r="I363" s="775">
        <v>545</v>
      </c>
      <c r="J363" s="775">
        <v>3007</v>
      </c>
      <c r="K363" s="784">
        <v>43922</v>
      </c>
      <c r="L363" s="785">
        <v>44073</v>
      </c>
      <c r="M363" s="775"/>
      <c r="N363" s="775"/>
      <c r="O363" s="773"/>
      <c r="P363" s="775"/>
      <c r="Q363" s="775"/>
      <c r="R363" s="775"/>
      <c r="S363" s="775"/>
      <c r="T363" s="775"/>
      <c r="U363" s="776"/>
      <c r="V363" s="775"/>
      <c r="W363" s="773" t="s">
        <v>130</v>
      </c>
      <c r="X363" s="775"/>
      <c r="Y363" s="775">
        <v>47</v>
      </c>
      <c r="Z363" s="775">
        <v>47</v>
      </c>
      <c r="AA363" s="775"/>
      <c r="AB363" s="775"/>
      <c r="AC363" s="776"/>
      <c r="AD363" s="775">
        <v>744</v>
      </c>
      <c r="AE363" s="775">
        <v>793</v>
      </c>
      <c r="AF363" s="775">
        <v>743</v>
      </c>
      <c r="AG363" s="775">
        <v>727</v>
      </c>
      <c r="AH363" s="775">
        <v>743</v>
      </c>
      <c r="AI363" s="775">
        <v>727</v>
      </c>
      <c r="AJ363" s="773"/>
      <c r="AK363" s="775"/>
      <c r="AL363" s="773">
        <v>545</v>
      </c>
      <c r="AM363" s="773"/>
      <c r="AN363" s="776"/>
      <c r="AO363" s="769">
        <v>0.1</v>
      </c>
      <c r="AP363" s="769">
        <v>1.3599999999999999E-2</v>
      </c>
      <c r="AQ363" s="773"/>
      <c r="AR363" s="773"/>
      <c r="AS363" s="773"/>
      <c r="AT363"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63" s="779">
        <f>WWWW[[#This Row],[%Equitable and continuous access to sufficient quantity of safe drinking water]]*WWWW[[#This Row],[Total PoP ]]</f>
        <v>0</v>
      </c>
      <c r="AV363"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63" s="779">
        <f>WWWW[[#This Row],[% Access to unimproved water points]]*WWWW[[#This Row],[Total PoP ]]</f>
        <v>0</v>
      </c>
      <c r="AX363"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63"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63" s="779">
        <f>WWWW[[#This Row],[HRP1]]/250</f>
        <v>0</v>
      </c>
      <c r="BA363" s="780">
        <f>1-WWWW[[#This Row],[% Equitable and continuous access to sufficient quantity of domestic water]]</f>
        <v>1</v>
      </c>
      <c r="BB363" s="779">
        <f>WWWW[[#This Row],[%equitable and continuous access to sufficient quantity of safe drinking and domestic water''s GAP]]*WWWW[[#This Row],[Total PoP ]]</f>
        <v>3007</v>
      </c>
      <c r="BC363" s="781">
        <f>IF(WWWW[[#This Row],[Total required water points]]-WWWW[[#This Row],['#Water points coverage]]&lt;0,0,WWWW[[#This Row],[Total required water points]]-WWWW[[#This Row],['#Water points coverage]])</f>
        <v>12</v>
      </c>
      <c r="BD363" s="781">
        <f>ROUND(IF(WWWW[[#This Row],[Total PoP ]]&lt;250,1,WWWW[[#This Row],[Total PoP ]]/250),0)</f>
        <v>12</v>
      </c>
      <c r="BE36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1.5630196208846026E-2</v>
      </c>
      <c r="BF363" s="779">
        <f>WWWW[[#This Row],[% people access to functioning Latrine]]*WWWW[[#This Row],[Total PoP ]]</f>
        <v>47</v>
      </c>
      <c r="BG363" s="781">
        <f>WWWW[[#This Row],['#_of_Functioning_latrines_in_school]]*50</f>
        <v>0</v>
      </c>
      <c r="BH363" s="781">
        <f>ROUND((WWWW[[#This Row],[Total PoP ]]/6),0)</f>
        <v>501</v>
      </c>
      <c r="BI363" s="781">
        <f>IF(WWWW[[#This Row],[Total required Latrines]]-(WWWW[[#This Row],['#_of_sanitary_fly-proof_HH_latrines]])&lt;0,0,WWWW[[#This Row],[Total required Latrines]]-(WWWW[[#This Row],['#_of_sanitary_fly-proof_HH_latrines]]))</f>
        <v>501</v>
      </c>
      <c r="BJ363" s="778">
        <f>1-WWWW[[#This Row],[% people access to functioning Latrine]]</f>
        <v>0.98436980379115402</v>
      </c>
      <c r="BK363"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3007</v>
      </c>
      <c r="BL363" s="772">
        <f>IF(WWWW[[#This Row],['#_of_functional_handwashing_facilities_at_HH_level]]*6&gt;WWWW[[#This Row],[Total PoP ]],WWWW[[#This Row],[Total PoP ]],WWWW[[#This Row],['#_of_functional_handwashing_facilities_at_HH_level]]*6)</f>
        <v>0</v>
      </c>
      <c r="BM363" s="781">
        <f>IF(WWWW[[#This Row],['# people reached by regular dedicated hygiene promotion]]&gt;WWWW[[#This Row],['# People received regular supply of hygiene items]],WWWW[[#This Row],['# people reached by regular dedicated hygiene promotion]],WWWW[[#This Row],['# People received regular supply of hygiene items]])</f>
        <v>3007</v>
      </c>
      <c r="BN363" s="780">
        <f>IF(WWWW[[#This Row],[HRP3]]/WWWW[[#This Row],[Total PoP ]]&gt;100%,100%,WWWW[[#This Row],[HRP3]]/WWWW[[#This Row],[Total PoP ]])</f>
        <v>1</v>
      </c>
      <c r="BO363" s="778">
        <f>1-WWWW[[#This Row],[Hygiene Coverage%]]</f>
        <v>0</v>
      </c>
      <c r="BP363" s="777">
        <f>WWWW[[#This Row],['# people reached by regular dedicated hygiene promotion]]/WWWW[[#This Row],[Total PoP ]]</f>
        <v>1</v>
      </c>
      <c r="BQ36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3007</v>
      </c>
      <c r="BR363" s="770">
        <f>WWWW[[#This Row],['#_of_affected_women_and_girls_receiving_a_sufficient_quantity_of_sanitary_pads]]</f>
        <v>0</v>
      </c>
      <c r="BS363" s="773">
        <f>IF(WWWW[[#This Row],['# People with access to soap]]&gt;WWWW[[#This Row],['# People with access to Sanity Pads]],WWWW[[#This Row],['# People with access to soap]],WWWW[[#This Row],['# People with access to Sanity Pads]])</f>
        <v>3007</v>
      </c>
      <c r="BT363" s="772" t="str">
        <f>IF(OR(WWWW[[#This Row],['#of students in school]]="",WWWW[[#This Row],['#of students in school]]=0),"No","Yes")</f>
        <v>No</v>
      </c>
      <c r="BU363" s="782" t="str">
        <f>VLOOKUP(WWWW[[#This Row],[Village  Name]],SiteDB6[[Site Name]:[Location Type 1]],9,FALSE)</f>
        <v>Village</v>
      </c>
      <c r="BV363" s="782" t="str">
        <f>VLOOKUP(WWWW[[#This Row],[Village  Name]],SiteDB6[[Site Name]:[Type of Accommodation]],10,FALSE)</f>
        <v>Village</v>
      </c>
      <c r="BW363" s="782">
        <f>VLOOKUP(WWWW[[#This Row],[Village  Name]],SiteDB6[[Site Name]:[Ethnic or GCA/NGCA]],11,FALSE)</f>
        <v>0</v>
      </c>
      <c r="BX363" s="782">
        <f>VLOOKUP(WWWW[[#This Row],[Village  Name]],SiteDB6[[Site Name]:[Lat]],12,FALSE)</f>
        <v>0</v>
      </c>
      <c r="BY363" s="782">
        <f>VLOOKUP(WWWW[[#This Row],[Village  Name]],SiteDB6[[Site Name]:[Long]],13,FALSE)</f>
        <v>0</v>
      </c>
      <c r="BZ363" s="782">
        <f>VLOOKUP(WWWW[[#This Row],[Village  Name]],SiteDB6[[Site Name]:[Pcode]],3,FALSE)</f>
        <v>0</v>
      </c>
      <c r="CA363" s="782" t="str">
        <f t="shared" si="22"/>
        <v>Covered</v>
      </c>
      <c r="CB363" s="783"/>
    </row>
    <row r="364" spans="1:80">
      <c r="A364" s="727" t="s">
        <v>3199</v>
      </c>
      <c r="B364" s="727" t="s">
        <v>3152</v>
      </c>
      <c r="C364" s="728" t="s">
        <v>3152</v>
      </c>
      <c r="D364" s="728" t="s">
        <v>3153</v>
      </c>
      <c r="E364" s="728" t="s">
        <v>2648</v>
      </c>
      <c r="F364" s="728" t="s">
        <v>295</v>
      </c>
      <c r="G364" s="644" t="str">
        <f>VLOOKUP(WWWW[[#This Row],[Village  Name]],SiteDB6[[Site Name]:[Location Type]],8,FALSE)</f>
        <v>Village</v>
      </c>
      <c r="H364" s="728" t="s">
        <v>3306</v>
      </c>
      <c r="I364" s="775">
        <v>241</v>
      </c>
      <c r="J364" s="775">
        <v>667</v>
      </c>
      <c r="K364" s="784">
        <v>43922</v>
      </c>
      <c r="L364" s="785">
        <v>44073</v>
      </c>
      <c r="M364" s="775"/>
      <c r="N364" s="775"/>
      <c r="O364" s="773"/>
      <c r="P364" s="775"/>
      <c r="Q364" s="775"/>
      <c r="R364" s="775"/>
      <c r="S364" s="775"/>
      <c r="T364" s="775"/>
      <c r="U364" s="776"/>
      <c r="V364" s="775"/>
      <c r="W364" s="773" t="s">
        <v>130</v>
      </c>
      <c r="X364" s="775"/>
      <c r="Y364" s="775">
        <v>7</v>
      </c>
      <c r="Z364" s="775">
        <v>7</v>
      </c>
      <c r="AA364" s="775"/>
      <c r="AB364" s="775"/>
      <c r="AC364" s="776"/>
      <c r="AD364" s="775">
        <v>188</v>
      </c>
      <c r="AE364" s="775">
        <v>304</v>
      </c>
      <c r="AF364" s="775">
        <v>117</v>
      </c>
      <c r="AG364" s="775">
        <v>81</v>
      </c>
      <c r="AH364" s="775">
        <v>117</v>
      </c>
      <c r="AI364" s="775">
        <v>81</v>
      </c>
      <c r="AJ364" s="773"/>
      <c r="AK364" s="775"/>
      <c r="AL364" s="773">
        <v>169</v>
      </c>
      <c r="AM364" s="773"/>
      <c r="AN364" s="776"/>
      <c r="AO364" s="769">
        <v>0.3</v>
      </c>
      <c r="AP364" s="769">
        <v>3.39E-2</v>
      </c>
      <c r="AQ364" s="773"/>
      <c r="AR364" s="773"/>
      <c r="AS364" s="773"/>
      <c r="AT364"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64" s="779">
        <f>WWWW[[#This Row],[%Equitable and continuous access to sufficient quantity of safe drinking water]]*WWWW[[#This Row],[Total PoP ]]</f>
        <v>0</v>
      </c>
      <c r="AV364"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64" s="779">
        <f>WWWW[[#This Row],[% Access to unimproved water points]]*WWWW[[#This Row],[Total PoP ]]</f>
        <v>0</v>
      </c>
      <c r="AX364"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64"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64" s="779">
        <f>WWWW[[#This Row],[HRP1]]/250</f>
        <v>0</v>
      </c>
      <c r="BA364" s="780">
        <f>1-WWWW[[#This Row],[% Equitable and continuous access to sufficient quantity of domestic water]]</f>
        <v>1</v>
      </c>
      <c r="BB364" s="779">
        <f>WWWW[[#This Row],[%equitable and continuous access to sufficient quantity of safe drinking and domestic water''s GAP]]*WWWW[[#This Row],[Total PoP ]]</f>
        <v>667</v>
      </c>
      <c r="BC364" s="781">
        <f>IF(WWWW[[#This Row],[Total required water points]]-WWWW[[#This Row],['#Water points coverage]]&lt;0,0,WWWW[[#This Row],[Total required water points]]-WWWW[[#This Row],['#Water points coverage]])</f>
        <v>3</v>
      </c>
      <c r="BD364" s="781">
        <f>ROUND(IF(WWWW[[#This Row],[Total PoP ]]&lt;250,1,WWWW[[#This Row],[Total PoP ]]/250),0)</f>
        <v>3</v>
      </c>
      <c r="BE36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1.0494752623688156E-2</v>
      </c>
      <c r="BF364" s="779">
        <f>WWWW[[#This Row],[% people access to functioning Latrine]]*WWWW[[#This Row],[Total PoP ]]</f>
        <v>7</v>
      </c>
      <c r="BG364" s="781">
        <f>WWWW[[#This Row],['#_of_Functioning_latrines_in_school]]*50</f>
        <v>0</v>
      </c>
      <c r="BH364" s="781">
        <f>ROUND((WWWW[[#This Row],[Total PoP ]]/6),0)</f>
        <v>111</v>
      </c>
      <c r="BI364" s="781">
        <f>IF(WWWW[[#This Row],[Total required Latrines]]-(WWWW[[#This Row],['#_of_sanitary_fly-proof_HH_latrines]])&lt;0,0,WWWW[[#This Row],[Total required Latrines]]-(WWWW[[#This Row],['#_of_sanitary_fly-proof_HH_latrines]]))</f>
        <v>111</v>
      </c>
      <c r="BJ364" s="778">
        <f>1-WWWW[[#This Row],[% people access to functioning Latrine]]</f>
        <v>0.98950524737631185</v>
      </c>
      <c r="BK364"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667</v>
      </c>
      <c r="BL364" s="772">
        <f>IF(WWWW[[#This Row],['#_of_functional_handwashing_facilities_at_HH_level]]*6&gt;WWWW[[#This Row],[Total PoP ]],WWWW[[#This Row],[Total PoP ]],WWWW[[#This Row],['#_of_functional_handwashing_facilities_at_HH_level]]*6)</f>
        <v>0</v>
      </c>
      <c r="BM364" s="781">
        <f>IF(WWWW[[#This Row],['# people reached by regular dedicated hygiene promotion]]&gt;WWWW[[#This Row],['# People received regular supply of hygiene items]],WWWW[[#This Row],['# people reached by regular dedicated hygiene promotion]],WWWW[[#This Row],['# People received regular supply of hygiene items]])</f>
        <v>667</v>
      </c>
      <c r="BN364" s="780">
        <f>IF(WWWW[[#This Row],[HRP3]]/WWWW[[#This Row],[Total PoP ]]&gt;100%,100%,WWWW[[#This Row],[HRP3]]/WWWW[[#This Row],[Total PoP ]])</f>
        <v>1</v>
      </c>
      <c r="BO364" s="778">
        <f>1-WWWW[[#This Row],[Hygiene Coverage%]]</f>
        <v>0</v>
      </c>
      <c r="BP364" s="777">
        <f>WWWW[[#This Row],['# people reached by regular dedicated hygiene promotion]]/WWWW[[#This Row],[Total PoP ]]</f>
        <v>1</v>
      </c>
      <c r="BQ36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667</v>
      </c>
      <c r="BR364" s="770">
        <f>WWWW[[#This Row],['#_of_affected_women_and_girls_receiving_a_sufficient_quantity_of_sanitary_pads]]</f>
        <v>0</v>
      </c>
      <c r="BS364" s="773">
        <f>IF(WWWW[[#This Row],['# People with access to soap]]&gt;WWWW[[#This Row],['# People with access to Sanity Pads]],WWWW[[#This Row],['# People with access to soap]],WWWW[[#This Row],['# People with access to Sanity Pads]])</f>
        <v>667</v>
      </c>
      <c r="BT364" s="772" t="str">
        <f>IF(OR(WWWW[[#This Row],['#of students in school]]="",WWWW[[#This Row],['#of students in school]]=0),"No","Yes")</f>
        <v>No</v>
      </c>
      <c r="BU364" s="782" t="str">
        <f>VLOOKUP(WWWW[[#This Row],[Village  Name]],SiteDB6[[Site Name]:[Location Type 1]],9,FALSE)</f>
        <v>Village</v>
      </c>
      <c r="BV364" s="782" t="str">
        <f>VLOOKUP(WWWW[[#This Row],[Village  Name]],SiteDB6[[Site Name]:[Type of Accommodation]],10,FALSE)</f>
        <v>Village</v>
      </c>
      <c r="BW364" s="782">
        <f>VLOOKUP(WWWW[[#This Row],[Village  Name]],SiteDB6[[Site Name]:[Ethnic or GCA/NGCA]],11,FALSE)</f>
        <v>0</v>
      </c>
      <c r="BX364" s="782">
        <f>VLOOKUP(WWWW[[#This Row],[Village  Name]],SiteDB6[[Site Name]:[Lat]],12,FALSE)</f>
        <v>20.176319122314499</v>
      </c>
      <c r="BY364" s="782">
        <f>VLOOKUP(WWWW[[#This Row],[Village  Name]],SiteDB6[[Site Name]:[Long]],13,FALSE)</f>
        <v>92.875183105468807</v>
      </c>
      <c r="BZ364" s="782">
        <f>VLOOKUP(WWWW[[#This Row],[Village  Name]],SiteDB6[[Site Name]:[Pcode]],3,FALSE)</f>
        <v>196196</v>
      </c>
      <c r="CA364" s="782" t="str">
        <f t="shared" si="22"/>
        <v>Covered</v>
      </c>
      <c r="CB364" s="783"/>
    </row>
    <row r="365" spans="1:80">
      <c r="A365" s="727" t="s">
        <v>3199</v>
      </c>
      <c r="B365" s="727" t="s">
        <v>3152</v>
      </c>
      <c r="C365" s="728" t="s">
        <v>3152</v>
      </c>
      <c r="D365" s="728" t="s">
        <v>3153</v>
      </c>
      <c r="E365" s="728" t="s">
        <v>2648</v>
      </c>
      <c r="F365" s="728" t="s">
        <v>295</v>
      </c>
      <c r="G365" s="644" t="str">
        <f>VLOOKUP(WWWW[[#This Row],[Village  Name]],SiteDB6[[Site Name]:[Location Type]],8,FALSE)</f>
        <v>Village</v>
      </c>
      <c r="H365" s="728" t="s">
        <v>2688</v>
      </c>
      <c r="I365" s="775">
        <v>118</v>
      </c>
      <c r="J365" s="775">
        <v>432</v>
      </c>
      <c r="K365" s="784">
        <v>43922</v>
      </c>
      <c r="L365" s="785">
        <v>44073</v>
      </c>
      <c r="M365" s="775"/>
      <c r="N365" s="775"/>
      <c r="O365" s="773"/>
      <c r="P365" s="775"/>
      <c r="Q365" s="775"/>
      <c r="R365" s="775"/>
      <c r="S365" s="775"/>
      <c r="T365" s="775"/>
      <c r="U365" s="776"/>
      <c r="V365" s="775"/>
      <c r="W365" s="773" t="s">
        <v>130</v>
      </c>
      <c r="X365" s="775"/>
      <c r="Y365" s="775">
        <v>7</v>
      </c>
      <c r="Z365" s="775">
        <v>7</v>
      </c>
      <c r="AA365" s="775"/>
      <c r="AB365" s="775"/>
      <c r="AC365" s="776"/>
      <c r="AD365" s="775">
        <v>144</v>
      </c>
      <c r="AE365" s="775">
        <v>157</v>
      </c>
      <c r="AF365" s="775">
        <v>60</v>
      </c>
      <c r="AG365" s="775">
        <v>61</v>
      </c>
      <c r="AH365" s="775">
        <v>60</v>
      </c>
      <c r="AI365" s="775">
        <v>61</v>
      </c>
      <c r="AJ365" s="773"/>
      <c r="AK365" s="775"/>
      <c r="AL365" s="773">
        <v>118</v>
      </c>
      <c r="AM365" s="773"/>
      <c r="AN365" s="776"/>
      <c r="AO365" s="769">
        <v>0.5</v>
      </c>
      <c r="AP365" s="769">
        <v>6.1600000000000002E-2</v>
      </c>
      <c r="AQ365" s="773"/>
      <c r="AR365" s="773"/>
      <c r="AS365" s="773"/>
      <c r="AT365"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65" s="779">
        <f>WWWW[[#This Row],[%Equitable and continuous access to sufficient quantity of safe drinking water]]*WWWW[[#This Row],[Total PoP ]]</f>
        <v>0</v>
      </c>
      <c r="AV365"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65" s="779">
        <f>WWWW[[#This Row],[% Access to unimproved water points]]*WWWW[[#This Row],[Total PoP ]]</f>
        <v>0</v>
      </c>
      <c r="AX365"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65"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65" s="779">
        <f>WWWW[[#This Row],[HRP1]]/250</f>
        <v>0</v>
      </c>
      <c r="BA365" s="780">
        <f>1-WWWW[[#This Row],[% Equitable and continuous access to sufficient quantity of domestic water]]</f>
        <v>1</v>
      </c>
      <c r="BB365" s="779">
        <f>WWWW[[#This Row],[%equitable and continuous access to sufficient quantity of safe drinking and domestic water''s GAP]]*WWWW[[#This Row],[Total PoP ]]</f>
        <v>432</v>
      </c>
      <c r="BC365" s="781">
        <f>IF(WWWW[[#This Row],[Total required water points]]-WWWW[[#This Row],['#Water points coverage]]&lt;0,0,WWWW[[#This Row],[Total required water points]]-WWWW[[#This Row],['#Water points coverage]])</f>
        <v>2</v>
      </c>
      <c r="BD365" s="781">
        <f>ROUND(IF(WWWW[[#This Row],[Total PoP ]]&lt;250,1,WWWW[[#This Row],[Total PoP ]]/250),0)</f>
        <v>2</v>
      </c>
      <c r="BE36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1.6203703703703703E-2</v>
      </c>
      <c r="BF365" s="779">
        <f>WWWW[[#This Row],[% people access to functioning Latrine]]*WWWW[[#This Row],[Total PoP ]]</f>
        <v>7</v>
      </c>
      <c r="BG365" s="781">
        <f>WWWW[[#This Row],['#_of_Functioning_latrines_in_school]]*50</f>
        <v>0</v>
      </c>
      <c r="BH365" s="781">
        <f>ROUND((WWWW[[#This Row],[Total PoP ]]/6),0)</f>
        <v>72</v>
      </c>
      <c r="BI365" s="781">
        <f>IF(WWWW[[#This Row],[Total required Latrines]]-(WWWW[[#This Row],['#_of_sanitary_fly-proof_HH_latrines]])&lt;0,0,WWWW[[#This Row],[Total required Latrines]]-(WWWW[[#This Row],['#_of_sanitary_fly-proof_HH_latrines]]))</f>
        <v>72</v>
      </c>
      <c r="BJ365" s="778">
        <f>1-WWWW[[#This Row],[% people access to functioning Latrine]]</f>
        <v>0.98379629629629628</v>
      </c>
      <c r="BK365"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432</v>
      </c>
      <c r="BL365" s="772">
        <f>IF(WWWW[[#This Row],['#_of_functional_handwashing_facilities_at_HH_level]]*6&gt;WWWW[[#This Row],[Total PoP ]],WWWW[[#This Row],[Total PoP ]],WWWW[[#This Row],['#_of_functional_handwashing_facilities_at_HH_level]]*6)</f>
        <v>0</v>
      </c>
      <c r="BM365" s="781">
        <f>IF(WWWW[[#This Row],['# people reached by regular dedicated hygiene promotion]]&gt;WWWW[[#This Row],['# People received regular supply of hygiene items]],WWWW[[#This Row],['# people reached by regular dedicated hygiene promotion]],WWWW[[#This Row],['# People received regular supply of hygiene items]])</f>
        <v>432</v>
      </c>
      <c r="BN365" s="780">
        <f>IF(WWWW[[#This Row],[HRP3]]/WWWW[[#This Row],[Total PoP ]]&gt;100%,100%,WWWW[[#This Row],[HRP3]]/WWWW[[#This Row],[Total PoP ]])</f>
        <v>1</v>
      </c>
      <c r="BO365" s="778">
        <f>1-WWWW[[#This Row],[Hygiene Coverage%]]</f>
        <v>0</v>
      </c>
      <c r="BP365" s="777">
        <f>WWWW[[#This Row],['# people reached by regular dedicated hygiene promotion]]/WWWW[[#This Row],[Total PoP ]]</f>
        <v>1</v>
      </c>
      <c r="BQ36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432</v>
      </c>
      <c r="BR365" s="770">
        <f>WWWW[[#This Row],['#_of_affected_women_and_girls_receiving_a_sufficient_quantity_of_sanitary_pads]]</f>
        <v>0</v>
      </c>
      <c r="BS365" s="773">
        <f>IF(WWWW[[#This Row],['# People with access to soap]]&gt;WWWW[[#This Row],['# People with access to Sanity Pads]],WWWW[[#This Row],['# People with access to soap]],WWWW[[#This Row],['# People with access to Sanity Pads]])</f>
        <v>432</v>
      </c>
      <c r="BT365" s="772" t="str">
        <f>IF(OR(WWWW[[#This Row],['#of students in school]]="",WWWW[[#This Row],['#of students in school]]=0),"No","Yes")</f>
        <v>No</v>
      </c>
      <c r="BU365" s="782" t="str">
        <f>VLOOKUP(WWWW[[#This Row],[Village  Name]],SiteDB6[[Site Name]:[Location Type 1]],9,FALSE)</f>
        <v>Village</v>
      </c>
      <c r="BV365" s="782" t="str">
        <f>VLOOKUP(WWWW[[#This Row],[Village  Name]],SiteDB6[[Site Name]:[Type of Accommodation]],10,FALSE)</f>
        <v>Village</v>
      </c>
      <c r="BW365" s="782" t="str">
        <f>VLOOKUP(WWWW[[#This Row],[Village  Name]],SiteDB6[[Site Name]:[Ethnic or GCA/NGCA]],11,FALSE)</f>
        <v>Rakhine</v>
      </c>
      <c r="BX365" s="782">
        <f>VLOOKUP(WWWW[[#This Row],[Village  Name]],SiteDB6[[Site Name]:[Lat]],12,FALSE)</f>
        <v>21.153581620000001</v>
      </c>
      <c r="BY365" s="782">
        <f>VLOOKUP(WWWW[[#This Row],[Village  Name]],SiteDB6[[Site Name]:[Long]],13,FALSE)</f>
        <v>92.250885010000005</v>
      </c>
      <c r="BZ365" s="782">
        <f>VLOOKUP(WWWW[[#This Row],[Village  Name]],SiteDB6[[Site Name]:[Pcode]],3,FALSE)</f>
        <v>220747</v>
      </c>
      <c r="CA365" s="782" t="str">
        <f t="shared" si="22"/>
        <v>Covered</v>
      </c>
      <c r="CB365" s="783"/>
    </row>
    <row r="366" spans="1:80">
      <c r="A366" s="727" t="s">
        <v>3199</v>
      </c>
      <c r="B366" s="727" t="s">
        <v>3152</v>
      </c>
      <c r="C366" s="728" t="s">
        <v>3152</v>
      </c>
      <c r="D366" s="728" t="s">
        <v>3153</v>
      </c>
      <c r="E366" s="728" t="s">
        <v>2648</v>
      </c>
      <c r="F366" s="728" t="s">
        <v>295</v>
      </c>
      <c r="G366" s="644" t="str">
        <f>VLOOKUP(WWWW[[#This Row],[Village  Name]],SiteDB6[[Site Name]:[Location Type]],8,FALSE)</f>
        <v>village</v>
      </c>
      <c r="H366" s="728" t="s">
        <v>874</v>
      </c>
      <c r="I366" s="775">
        <v>354</v>
      </c>
      <c r="J366" s="775">
        <v>1546</v>
      </c>
      <c r="K366" s="784">
        <v>43922</v>
      </c>
      <c r="L366" s="785">
        <v>44073</v>
      </c>
      <c r="M366" s="775"/>
      <c r="N366" s="775"/>
      <c r="O366" s="773"/>
      <c r="P366" s="775"/>
      <c r="Q366" s="775"/>
      <c r="R366" s="775"/>
      <c r="S366" s="775"/>
      <c r="T366" s="775"/>
      <c r="U366" s="776"/>
      <c r="V366" s="775"/>
      <c r="W366" s="773" t="s">
        <v>130</v>
      </c>
      <c r="X366" s="775"/>
      <c r="Y366" s="775">
        <v>15</v>
      </c>
      <c r="Z366" s="775">
        <v>15</v>
      </c>
      <c r="AA366" s="775"/>
      <c r="AB366" s="775"/>
      <c r="AC366" s="776"/>
      <c r="AD366" s="775">
        <v>557</v>
      </c>
      <c r="AE366" s="775">
        <v>501</v>
      </c>
      <c r="AF366" s="775">
        <v>225</v>
      </c>
      <c r="AG366" s="775">
        <v>248</v>
      </c>
      <c r="AH366" s="775">
        <v>225</v>
      </c>
      <c r="AI366" s="775">
        <v>248</v>
      </c>
      <c r="AJ366" s="773"/>
      <c r="AK366" s="775"/>
      <c r="AL366" s="773">
        <v>354</v>
      </c>
      <c r="AM366" s="773"/>
      <c r="AN366" s="776"/>
      <c r="AO366" s="769">
        <v>0.2</v>
      </c>
      <c r="AP366" s="769">
        <v>1.03E-2</v>
      </c>
      <c r="AQ366" s="773"/>
      <c r="AR366" s="773"/>
      <c r="AS366" s="773"/>
      <c r="AT366"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66" s="779">
        <f>WWWW[[#This Row],[%Equitable and continuous access to sufficient quantity of safe drinking water]]*WWWW[[#This Row],[Total PoP ]]</f>
        <v>0</v>
      </c>
      <c r="AV366"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66" s="779">
        <f>WWWW[[#This Row],[% Access to unimproved water points]]*WWWW[[#This Row],[Total PoP ]]</f>
        <v>0</v>
      </c>
      <c r="AX366"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66"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66" s="779">
        <f>WWWW[[#This Row],[HRP1]]/250</f>
        <v>0</v>
      </c>
      <c r="BA366" s="780">
        <f>1-WWWW[[#This Row],[% Equitable and continuous access to sufficient quantity of domestic water]]</f>
        <v>1</v>
      </c>
      <c r="BB366" s="779">
        <f>WWWW[[#This Row],[%equitable and continuous access to sufficient quantity of safe drinking and domestic water''s GAP]]*WWWW[[#This Row],[Total PoP ]]</f>
        <v>1546</v>
      </c>
      <c r="BC366" s="781">
        <f>IF(WWWW[[#This Row],[Total required water points]]-WWWW[[#This Row],['#Water points coverage]]&lt;0,0,WWWW[[#This Row],[Total required water points]]-WWWW[[#This Row],['#Water points coverage]])</f>
        <v>6</v>
      </c>
      <c r="BD366" s="781">
        <f>ROUND(IF(WWWW[[#This Row],[Total PoP ]]&lt;250,1,WWWW[[#This Row],[Total PoP ]]/250),0)</f>
        <v>6</v>
      </c>
      <c r="BE36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9.7024579560155231E-3</v>
      </c>
      <c r="BF366" s="779">
        <f>WWWW[[#This Row],[% people access to functioning Latrine]]*WWWW[[#This Row],[Total PoP ]]</f>
        <v>14.999999999999998</v>
      </c>
      <c r="BG366" s="781">
        <f>WWWW[[#This Row],['#_of_Functioning_latrines_in_school]]*50</f>
        <v>0</v>
      </c>
      <c r="BH366" s="781">
        <f>ROUND((WWWW[[#This Row],[Total PoP ]]/6),0)</f>
        <v>258</v>
      </c>
      <c r="BI366" s="781">
        <f>IF(WWWW[[#This Row],[Total required Latrines]]-(WWWW[[#This Row],['#_of_sanitary_fly-proof_HH_latrines]])&lt;0,0,WWWW[[#This Row],[Total required Latrines]]-(WWWW[[#This Row],['#_of_sanitary_fly-proof_HH_latrines]]))</f>
        <v>258</v>
      </c>
      <c r="BJ366" s="778">
        <f>1-WWWW[[#This Row],[% people access to functioning Latrine]]</f>
        <v>0.99029754204398446</v>
      </c>
      <c r="BK366"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1546</v>
      </c>
      <c r="BL366" s="772">
        <f>IF(WWWW[[#This Row],['#_of_functional_handwashing_facilities_at_HH_level]]*6&gt;WWWW[[#This Row],[Total PoP ]],WWWW[[#This Row],[Total PoP ]],WWWW[[#This Row],['#_of_functional_handwashing_facilities_at_HH_level]]*6)</f>
        <v>0</v>
      </c>
      <c r="BM366" s="781">
        <f>IF(WWWW[[#This Row],['# people reached by regular dedicated hygiene promotion]]&gt;WWWW[[#This Row],['# People received regular supply of hygiene items]],WWWW[[#This Row],['# people reached by regular dedicated hygiene promotion]],WWWW[[#This Row],['# People received regular supply of hygiene items]])</f>
        <v>1546</v>
      </c>
      <c r="BN366" s="780">
        <f>IF(WWWW[[#This Row],[HRP3]]/WWWW[[#This Row],[Total PoP ]]&gt;100%,100%,WWWW[[#This Row],[HRP3]]/WWWW[[#This Row],[Total PoP ]])</f>
        <v>1</v>
      </c>
      <c r="BO366" s="778">
        <f>1-WWWW[[#This Row],[Hygiene Coverage%]]</f>
        <v>0</v>
      </c>
      <c r="BP366" s="777">
        <f>WWWW[[#This Row],['# people reached by regular dedicated hygiene promotion]]/WWWW[[#This Row],[Total PoP ]]</f>
        <v>1</v>
      </c>
      <c r="BQ36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1546</v>
      </c>
      <c r="BR366" s="770">
        <f>WWWW[[#This Row],['#_of_affected_women_and_girls_receiving_a_sufficient_quantity_of_sanitary_pads]]</f>
        <v>0</v>
      </c>
      <c r="BS366" s="773">
        <f>IF(WWWW[[#This Row],['# People with access to soap]]&gt;WWWW[[#This Row],['# People with access to Sanity Pads]],WWWW[[#This Row],['# People with access to soap]],WWWW[[#This Row],['# People with access to Sanity Pads]])</f>
        <v>1546</v>
      </c>
      <c r="BT366" s="772" t="str">
        <f>IF(OR(WWWW[[#This Row],['#of students in school]]="",WWWW[[#This Row],['#of students in school]]=0),"No","Yes")</f>
        <v>No</v>
      </c>
      <c r="BU366" s="782" t="str">
        <f>VLOOKUP(WWWW[[#This Row],[Village  Name]],SiteDB6[[Site Name]:[Location Type 1]],9,FALSE)</f>
        <v>Village</v>
      </c>
      <c r="BV366" s="782" t="str">
        <f>VLOOKUP(WWWW[[#This Row],[Village  Name]],SiteDB6[[Site Name]:[Type of Accommodation]],10,FALSE)</f>
        <v>village</v>
      </c>
      <c r="BW366" s="782" t="str">
        <f>VLOOKUP(WWWW[[#This Row],[Village  Name]],SiteDB6[[Site Name]:[Ethnic or GCA/NGCA]],11,FALSE)</f>
        <v>Rakhine</v>
      </c>
      <c r="BX366" s="782">
        <f>VLOOKUP(WWWW[[#This Row],[Village  Name]],SiteDB6[[Site Name]:[Lat]],12,FALSE)</f>
        <v>20.226730346679702</v>
      </c>
      <c r="BY366" s="782">
        <f>VLOOKUP(WWWW[[#This Row],[Village  Name]],SiteDB6[[Site Name]:[Long]],13,FALSE)</f>
        <v>92.836929321289105</v>
      </c>
      <c r="BZ366" s="782">
        <f>VLOOKUP(WWWW[[#This Row],[Village  Name]],SiteDB6[[Site Name]:[Pcode]],3,FALSE)</f>
        <v>196129</v>
      </c>
      <c r="CA366" s="782" t="str">
        <f t="shared" si="22"/>
        <v>Covered</v>
      </c>
      <c r="CB366" s="783"/>
    </row>
    <row r="367" spans="1:80">
      <c r="A367" s="727" t="s">
        <v>3199</v>
      </c>
      <c r="B367" s="727" t="s">
        <v>3152</v>
      </c>
      <c r="C367" s="728" t="s">
        <v>3152</v>
      </c>
      <c r="D367" s="728" t="s">
        <v>3297</v>
      </c>
      <c r="E367" s="728" t="s">
        <v>2648</v>
      </c>
      <c r="F367" s="728" t="s">
        <v>295</v>
      </c>
      <c r="G367" s="644" t="str">
        <f>VLOOKUP(WWWW[[#This Row],[Village  Name]],SiteDB6[[Site Name]:[Location Type]],8,FALSE)</f>
        <v>Village</v>
      </c>
      <c r="H367" s="728" t="s">
        <v>2226</v>
      </c>
      <c r="I367" s="775">
        <v>410</v>
      </c>
      <c r="J367" s="775">
        <v>1421</v>
      </c>
      <c r="K367" s="784">
        <v>43952</v>
      </c>
      <c r="L367" s="785">
        <v>44073</v>
      </c>
      <c r="M367" s="775"/>
      <c r="N367" s="775"/>
      <c r="O367" s="773"/>
      <c r="P367" s="775"/>
      <c r="Q367" s="775"/>
      <c r="R367" s="775"/>
      <c r="S367" s="775"/>
      <c r="T367" s="775"/>
      <c r="U367" s="776"/>
      <c r="V367" s="775"/>
      <c r="W367" s="773" t="s">
        <v>130</v>
      </c>
      <c r="X367" s="775"/>
      <c r="Y367" s="775">
        <v>30</v>
      </c>
      <c r="Z367" s="775">
        <v>30</v>
      </c>
      <c r="AA367" s="775"/>
      <c r="AB367" s="775"/>
      <c r="AC367" s="776"/>
      <c r="AD367" s="775">
        <v>401</v>
      </c>
      <c r="AE367" s="775">
        <v>465</v>
      </c>
      <c r="AF367" s="775">
        <v>265</v>
      </c>
      <c r="AG367" s="775">
        <v>290</v>
      </c>
      <c r="AH367" s="775">
        <v>265</v>
      </c>
      <c r="AI367" s="775">
        <v>290</v>
      </c>
      <c r="AJ367" s="773"/>
      <c r="AK367" s="775"/>
      <c r="AL367" s="773">
        <v>410</v>
      </c>
      <c r="AM367" s="773"/>
      <c r="AN367" s="776"/>
      <c r="AO367" s="769"/>
      <c r="AP367" s="769"/>
      <c r="AQ367" s="773"/>
      <c r="AR367" s="773"/>
      <c r="AS367" s="773"/>
      <c r="AT367"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67" s="779">
        <f>WWWW[[#This Row],[%Equitable and continuous access to sufficient quantity of safe drinking water]]*WWWW[[#This Row],[Total PoP ]]</f>
        <v>0</v>
      </c>
      <c r="AV367"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67" s="779">
        <f>WWWW[[#This Row],[% Access to unimproved water points]]*WWWW[[#This Row],[Total PoP ]]</f>
        <v>0</v>
      </c>
      <c r="AX367"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67"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67" s="779">
        <f>WWWW[[#This Row],[HRP1]]/250</f>
        <v>0</v>
      </c>
      <c r="BA367" s="780">
        <f>1-WWWW[[#This Row],[% Equitable and continuous access to sufficient quantity of domestic water]]</f>
        <v>1</v>
      </c>
      <c r="BB367" s="779">
        <f>WWWW[[#This Row],[%equitable and continuous access to sufficient quantity of safe drinking and domestic water''s GAP]]*WWWW[[#This Row],[Total PoP ]]</f>
        <v>1421</v>
      </c>
      <c r="BC367" s="781">
        <f>IF(WWWW[[#This Row],[Total required water points]]-WWWW[[#This Row],['#Water points coverage]]&lt;0,0,WWWW[[#This Row],[Total required water points]]-WWWW[[#This Row],['#Water points coverage]])</f>
        <v>6</v>
      </c>
      <c r="BD367" s="781">
        <f>ROUND(IF(WWWW[[#This Row],[Total PoP ]]&lt;250,1,WWWW[[#This Row],[Total PoP ]]/250),0)</f>
        <v>6</v>
      </c>
      <c r="BE36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2.1111893033075299E-2</v>
      </c>
      <c r="BF367" s="779">
        <f>WWWW[[#This Row],[% people access to functioning Latrine]]*WWWW[[#This Row],[Total PoP ]]</f>
        <v>30</v>
      </c>
      <c r="BG367" s="781">
        <f>WWWW[[#This Row],['#_of_Functioning_latrines_in_school]]*50</f>
        <v>0</v>
      </c>
      <c r="BH367" s="781">
        <f>ROUND((WWWW[[#This Row],[Total PoP ]]/6),0)</f>
        <v>237</v>
      </c>
      <c r="BI367" s="781">
        <f>IF(WWWW[[#This Row],[Total required Latrines]]-(WWWW[[#This Row],['#_of_sanitary_fly-proof_HH_latrines]])&lt;0,0,WWWW[[#This Row],[Total required Latrines]]-(WWWW[[#This Row],['#_of_sanitary_fly-proof_HH_latrines]]))</f>
        <v>237</v>
      </c>
      <c r="BJ367" s="778">
        <f>1-WWWW[[#This Row],[% people access to functioning Latrine]]</f>
        <v>0.97888810696692474</v>
      </c>
      <c r="BK367"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1421</v>
      </c>
      <c r="BL367" s="772">
        <f>IF(WWWW[[#This Row],['#_of_functional_handwashing_facilities_at_HH_level]]*6&gt;WWWW[[#This Row],[Total PoP ]],WWWW[[#This Row],[Total PoP ]],WWWW[[#This Row],['#_of_functional_handwashing_facilities_at_HH_level]]*6)</f>
        <v>0</v>
      </c>
      <c r="BM367" s="781">
        <f>IF(WWWW[[#This Row],['# people reached by regular dedicated hygiene promotion]]&gt;WWWW[[#This Row],['# People received regular supply of hygiene items]],WWWW[[#This Row],['# people reached by regular dedicated hygiene promotion]],WWWW[[#This Row],['# People received regular supply of hygiene items]])</f>
        <v>1421</v>
      </c>
      <c r="BN367" s="780">
        <f>IF(WWWW[[#This Row],[HRP3]]/WWWW[[#This Row],[Total PoP ]]&gt;100%,100%,WWWW[[#This Row],[HRP3]]/WWWW[[#This Row],[Total PoP ]])</f>
        <v>1</v>
      </c>
      <c r="BO367" s="778">
        <f>1-WWWW[[#This Row],[Hygiene Coverage%]]</f>
        <v>0</v>
      </c>
      <c r="BP367" s="777">
        <f>WWWW[[#This Row],['# people reached by regular dedicated hygiene promotion]]/WWWW[[#This Row],[Total PoP ]]</f>
        <v>1</v>
      </c>
      <c r="BQ36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1421</v>
      </c>
      <c r="BR367" s="770">
        <f>WWWW[[#This Row],['#_of_affected_women_and_girls_receiving_a_sufficient_quantity_of_sanitary_pads]]</f>
        <v>0</v>
      </c>
      <c r="BS367" s="773">
        <f>IF(WWWW[[#This Row],['# People with access to soap]]&gt;WWWW[[#This Row],['# People with access to Sanity Pads]],WWWW[[#This Row],['# People with access to soap]],WWWW[[#This Row],['# People with access to Sanity Pads]])</f>
        <v>1421</v>
      </c>
      <c r="BT367" s="772" t="str">
        <f>IF(OR(WWWW[[#This Row],['#of students in school]]="",WWWW[[#This Row],['#of students in school]]=0),"No","Yes")</f>
        <v>No</v>
      </c>
      <c r="BU367" s="782" t="str">
        <f>VLOOKUP(WWWW[[#This Row],[Village  Name]],SiteDB6[[Site Name]:[Location Type 1]],9,FALSE)</f>
        <v>Village</v>
      </c>
      <c r="BV367" s="782" t="str">
        <f>VLOOKUP(WWWW[[#This Row],[Village  Name]],SiteDB6[[Site Name]:[Type of Accommodation]],10,FALSE)</f>
        <v>Village</v>
      </c>
      <c r="BW367" s="782">
        <f>VLOOKUP(WWWW[[#This Row],[Village  Name]],SiteDB6[[Site Name]:[Ethnic or GCA/NGCA]],11,FALSE)</f>
        <v>0</v>
      </c>
      <c r="BX367" s="782">
        <f>VLOOKUP(WWWW[[#This Row],[Village  Name]],SiteDB6[[Site Name]:[Lat]],12,FALSE)</f>
        <v>20.760820389999999</v>
      </c>
      <c r="BY367" s="782">
        <f>VLOOKUP(WWWW[[#This Row],[Village  Name]],SiteDB6[[Site Name]:[Long]],13,FALSE)</f>
        <v>92.960083010000005</v>
      </c>
      <c r="BZ367" s="782">
        <f>VLOOKUP(WWWW[[#This Row],[Village  Name]],SiteDB6[[Site Name]:[Pcode]],3,FALSE)</f>
        <v>196893</v>
      </c>
      <c r="CA367" s="782" t="str">
        <f t="shared" si="22"/>
        <v>Covered</v>
      </c>
      <c r="CB367" s="783"/>
    </row>
    <row r="368" spans="1:80">
      <c r="A368" s="727" t="s">
        <v>3199</v>
      </c>
      <c r="B368" s="727" t="s">
        <v>3152</v>
      </c>
      <c r="C368" s="728" t="s">
        <v>3152</v>
      </c>
      <c r="D368" s="728" t="s">
        <v>3153</v>
      </c>
      <c r="E368" s="728" t="s">
        <v>2648</v>
      </c>
      <c r="F368" s="728" t="s">
        <v>295</v>
      </c>
      <c r="G368" s="644" t="str">
        <f>VLOOKUP(WWWW[[#This Row],[Village  Name]],SiteDB6[[Site Name]:[Location Type]],8,FALSE)</f>
        <v>Village</v>
      </c>
      <c r="H368" s="728" t="s">
        <v>2005</v>
      </c>
      <c r="I368" s="775">
        <v>310</v>
      </c>
      <c r="J368" s="775">
        <v>1490</v>
      </c>
      <c r="K368" s="784">
        <v>43922</v>
      </c>
      <c r="L368" s="785">
        <v>44073</v>
      </c>
      <c r="M368" s="775"/>
      <c r="N368" s="775"/>
      <c r="O368" s="773"/>
      <c r="P368" s="775"/>
      <c r="Q368" s="775"/>
      <c r="R368" s="775"/>
      <c r="S368" s="775"/>
      <c r="T368" s="775"/>
      <c r="U368" s="776"/>
      <c r="V368" s="775"/>
      <c r="W368" s="773" t="s">
        <v>130</v>
      </c>
      <c r="X368" s="775"/>
      <c r="Y368" s="775">
        <v>20</v>
      </c>
      <c r="Z368" s="775">
        <v>20</v>
      </c>
      <c r="AA368" s="775"/>
      <c r="AB368" s="775"/>
      <c r="AC368" s="776"/>
      <c r="AD368" s="775">
        <v>487</v>
      </c>
      <c r="AE368" s="775">
        <v>541</v>
      </c>
      <c r="AF368" s="775">
        <v>265</v>
      </c>
      <c r="AG368" s="775">
        <v>215</v>
      </c>
      <c r="AH368" s="775">
        <v>265</v>
      </c>
      <c r="AI368" s="775">
        <v>215</v>
      </c>
      <c r="AJ368" s="773"/>
      <c r="AK368" s="775"/>
      <c r="AL368" s="773">
        <v>310</v>
      </c>
      <c r="AM368" s="773"/>
      <c r="AN368" s="776"/>
      <c r="AO368" s="769">
        <v>0.2</v>
      </c>
      <c r="AP368" s="769">
        <v>3.15E-2</v>
      </c>
      <c r="AQ368" s="773"/>
      <c r="AR368" s="773"/>
      <c r="AS368" s="773"/>
      <c r="AT368" s="778">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68" s="779">
        <f>WWWW[[#This Row],[%Equitable and continuous access to sufficient quantity of safe drinking water]]*WWWW[[#This Row],[Total PoP ]]</f>
        <v>0</v>
      </c>
      <c r="AV368" s="778">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68" s="779">
        <f>WWWW[[#This Row],[% Access to unimproved water points]]*WWWW[[#This Row],[Total PoP ]]</f>
        <v>0</v>
      </c>
      <c r="AX368" s="77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68" s="77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68" s="779">
        <f>WWWW[[#This Row],[HRP1]]/250</f>
        <v>0</v>
      </c>
      <c r="BA368" s="780">
        <f>1-WWWW[[#This Row],[% Equitable and continuous access to sufficient quantity of domestic water]]</f>
        <v>1</v>
      </c>
      <c r="BB368" s="779">
        <f>WWWW[[#This Row],[%equitable and continuous access to sufficient quantity of safe drinking and domestic water''s GAP]]*WWWW[[#This Row],[Total PoP ]]</f>
        <v>1490</v>
      </c>
      <c r="BC368" s="781">
        <f>IF(WWWW[[#This Row],[Total required water points]]-WWWW[[#This Row],['#Water points coverage]]&lt;0,0,WWWW[[#This Row],[Total required water points]]-WWWW[[#This Row],['#Water points coverage]])</f>
        <v>6</v>
      </c>
      <c r="BD368" s="781">
        <f>ROUND(IF(WWWW[[#This Row],[Total PoP ]]&lt;250,1,WWWW[[#This Row],[Total PoP ]]/250),0)</f>
        <v>6</v>
      </c>
      <c r="BE36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1.3422818791946308E-2</v>
      </c>
      <c r="BF368" s="779">
        <f>WWWW[[#This Row],[% people access to functioning Latrine]]*WWWW[[#This Row],[Total PoP ]]</f>
        <v>20</v>
      </c>
      <c r="BG368" s="781">
        <f>WWWW[[#This Row],['#_of_Functioning_latrines_in_school]]*50</f>
        <v>0</v>
      </c>
      <c r="BH368" s="781">
        <f>ROUND((WWWW[[#This Row],[Total PoP ]]/6),0)</f>
        <v>248</v>
      </c>
      <c r="BI368" s="781">
        <f>IF(WWWW[[#This Row],[Total required Latrines]]-(WWWW[[#This Row],['#_of_sanitary_fly-proof_HH_latrines]])&lt;0,0,WWWW[[#This Row],[Total required Latrines]]-(WWWW[[#This Row],['#_of_sanitary_fly-proof_HH_latrines]]))</f>
        <v>248</v>
      </c>
      <c r="BJ368" s="778">
        <f>1-WWWW[[#This Row],[% people access to functioning Latrine]]</f>
        <v>0.98657718120805371</v>
      </c>
      <c r="BK368" s="779">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1490</v>
      </c>
      <c r="BL368" s="772">
        <f>IF(WWWW[[#This Row],['#_of_functional_handwashing_facilities_at_HH_level]]*6&gt;WWWW[[#This Row],[Total PoP ]],WWWW[[#This Row],[Total PoP ]],WWWW[[#This Row],['#_of_functional_handwashing_facilities_at_HH_level]]*6)</f>
        <v>0</v>
      </c>
      <c r="BM368" s="781">
        <f>IF(WWWW[[#This Row],['# people reached by regular dedicated hygiene promotion]]&gt;WWWW[[#This Row],['# People received regular supply of hygiene items]],WWWW[[#This Row],['# people reached by regular dedicated hygiene promotion]],WWWW[[#This Row],['# People received regular supply of hygiene items]])</f>
        <v>1490</v>
      </c>
      <c r="BN368" s="780">
        <f>IF(WWWW[[#This Row],[HRP3]]/WWWW[[#This Row],[Total PoP ]]&gt;100%,100%,WWWW[[#This Row],[HRP3]]/WWWW[[#This Row],[Total PoP ]])</f>
        <v>1</v>
      </c>
      <c r="BO368" s="778">
        <f>1-WWWW[[#This Row],[Hygiene Coverage%]]</f>
        <v>0</v>
      </c>
      <c r="BP368" s="777">
        <f>WWWW[[#This Row],['# people reached by regular dedicated hygiene promotion]]/WWWW[[#This Row],[Total PoP ]]</f>
        <v>1</v>
      </c>
      <c r="BQ36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1490</v>
      </c>
      <c r="BR368" s="770">
        <f>WWWW[[#This Row],['#_of_affected_women_and_girls_receiving_a_sufficient_quantity_of_sanitary_pads]]</f>
        <v>0</v>
      </c>
      <c r="BS368" s="773">
        <f>IF(WWWW[[#This Row],['# People with access to soap]]&gt;WWWW[[#This Row],['# People with access to Sanity Pads]],WWWW[[#This Row],['# People with access to soap]],WWWW[[#This Row],['# People with access to Sanity Pads]])</f>
        <v>1490</v>
      </c>
      <c r="BT368" s="772" t="str">
        <f>IF(OR(WWWW[[#This Row],['#of students in school]]="",WWWW[[#This Row],['#of students in school]]=0),"No","Yes")</f>
        <v>No</v>
      </c>
      <c r="BU368" s="782" t="str">
        <f>VLOOKUP(WWWW[[#This Row],[Village  Name]],SiteDB6[[Site Name]:[Location Type 1]],9,FALSE)</f>
        <v>Village</v>
      </c>
      <c r="BV368" s="782" t="str">
        <f>VLOOKUP(WWWW[[#This Row],[Village  Name]],SiteDB6[[Site Name]:[Type of Accommodation]],10,FALSE)</f>
        <v>Village</v>
      </c>
      <c r="BW368" s="782" t="str">
        <f>VLOOKUP(WWWW[[#This Row],[Village  Name]],SiteDB6[[Site Name]:[Ethnic or GCA/NGCA]],11,FALSE)</f>
        <v>Rakhine</v>
      </c>
      <c r="BX368" s="782">
        <f>VLOOKUP(WWWW[[#This Row],[Village  Name]],SiteDB6[[Site Name]:[Lat]],12,FALSE)</f>
        <v>20.257850650000002</v>
      </c>
      <c r="BY368" s="782">
        <f>VLOOKUP(WWWW[[#This Row],[Village  Name]],SiteDB6[[Site Name]:[Long]],13,FALSE)</f>
        <v>92.811126709999996</v>
      </c>
      <c r="BZ368" s="782">
        <f>VLOOKUP(WWWW[[#This Row],[Village  Name]],SiteDB6[[Site Name]:[Pcode]],3,FALSE)</f>
        <v>196161</v>
      </c>
      <c r="CA368" s="782" t="str">
        <f t="shared" si="22"/>
        <v>Covered</v>
      </c>
      <c r="CB368" s="783"/>
    </row>
    <row r="369" spans="1:80">
      <c r="A369" s="774" t="s">
        <v>3199</v>
      </c>
      <c r="B369" s="774" t="s">
        <v>308</v>
      </c>
      <c r="C369" s="415"/>
      <c r="D369" s="415" t="s">
        <v>327</v>
      </c>
      <c r="E369" s="415" t="s">
        <v>3274</v>
      </c>
      <c r="F369" s="415" t="s">
        <v>3275</v>
      </c>
      <c r="G369" s="644" t="str">
        <f>VLOOKUP(WWWW[[#This Row],[Village  Name]],SiteDB6[[Site Name]:[Location Type]],8,FALSE)</f>
        <v>Village</v>
      </c>
      <c r="H369" s="415" t="s">
        <v>3307</v>
      </c>
      <c r="I369" s="773">
        <v>93</v>
      </c>
      <c r="J369" s="773">
        <v>382</v>
      </c>
      <c r="K369" s="418">
        <v>43300</v>
      </c>
      <c r="L369" s="55">
        <v>44377</v>
      </c>
      <c r="M369" s="773">
        <v>0</v>
      </c>
      <c r="N369" s="773">
        <v>0</v>
      </c>
      <c r="O369" s="773">
        <v>52</v>
      </c>
      <c r="P369" s="773">
        <v>0</v>
      </c>
      <c r="Q369" s="773">
        <v>0</v>
      </c>
      <c r="R369" s="773">
        <v>0</v>
      </c>
      <c r="S369" s="773">
        <v>0</v>
      </c>
      <c r="T369" s="773">
        <v>0</v>
      </c>
      <c r="U369" s="551"/>
      <c r="V369" s="773">
        <v>40</v>
      </c>
      <c r="W369" s="773" t="s">
        <v>130</v>
      </c>
      <c r="X369" s="773">
        <v>2</v>
      </c>
      <c r="Y369" s="773">
        <v>0</v>
      </c>
      <c r="Z369" s="773">
        <v>0</v>
      </c>
      <c r="AA369" s="773">
        <v>0</v>
      </c>
      <c r="AB369" s="773">
        <v>0</v>
      </c>
      <c r="AC369" s="551"/>
      <c r="AD369" s="773">
        <v>0</v>
      </c>
      <c r="AE369" s="773">
        <v>0</v>
      </c>
      <c r="AF369" s="773">
        <v>0</v>
      </c>
      <c r="AG369" s="773">
        <v>0</v>
      </c>
      <c r="AH369" s="773">
        <v>0</v>
      </c>
      <c r="AI369" s="773">
        <v>0</v>
      </c>
      <c r="AJ369" s="773">
        <v>0</v>
      </c>
      <c r="AK369" s="773">
        <v>1</v>
      </c>
      <c r="AL369" s="773">
        <v>0</v>
      </c>
      <c r="AM369" s="773">
        <v>0</v>
      </c>
      <c r="AN369" s="551"/>
      <c r="AO369" s="769">
        <v>0</v>
      </c>
      <c r="AP369" s="769">
        <v>0</v>
      </c>
      <c r="AQ369" s="773">
        <v>0</v>
      </c>
      <c r="AR369" s="773">
        <v>0</v>
      </c>
      <c r="AS369" s="773">
        <v>0</v>
      </c>
      <c r="AT369"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69" s="772">
        <f>WWWW[[#This Row],[%Equitable and continuous access to sufficient quantity of safe drinking water]]*WWWW[[#This Row],[Total PoP ]]</f>
        <v>382</v>
      </c>
      <c r="AV369"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69" s="772">
        <f>WWWW[[#This Row],[% Access to unimproved water points]]*WWWW[[#This Row],[Total PoP ]]</f>
        <v>0</v>
      </c>
      <c r="AX369"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69"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382</v>
      </c>
      <c r="AZ369" s="772">
        <f>WWWW[[#This Row],[HRP1]]/250</f>
        <v>1.528</v>
      </c>
      <c r="BA369" s="476">
        <f>1-WWWW[[#This Row],[% Equitable and continuous access to sufficient quantity of domestic water]]</f>
        <v>0</v>
      </c>
      <c r="BB369" s="772">
        <f>WWWW[[#This Row],[%equitable and continuous access to sufficient quantity of safe drinking and domestic water''s GAP]]*WWWW[[#This Row],[Total PoP ]]</f>
        <v>0</v>
      </c>
      <c r="BC369" s="770">
        <f>IF(WWWW[[#This Row],[Total required water points]]-WWWW[[#This Row],['#Water points coverage]]&lt;0,0,WWWW[[#This Row],[Total required water points]]-WWWW[[#This Row],['#Water points coverage]])</f>
        <v>0.47199999999999998</v>
      </c>
      <c r="BD369" s="770">
        <f>ROUND(IF(WWWW[[#This Row],[Total PoP ]]&lt;250,1,WWWW[[#This Row],[Total PoP ]]/250),0)</f>
        <v>2</v>
      </c>
      <c r="BE36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0.62827225130890052</v>
      </c>
      <c r="BF369" s="772">
        <f>WWWW[[#This Row],[% people access to functioning Latrine]]*WWWW[[#This Row],[Total PoP ]]</f>
        <v>240</v>
      </c>
      <c r="BG369" s="770">
        <f>WWWW[[#This Row],['#_of_Functioning_latrines_in_school]]*50</f>
        <v>100</v>
      </c>
      <c r="BH369" s="770">
        <f>ROUND((WWWW[[#This Row],[Total PoP ]]/6),0)</f>
        <v>64</v>
      </c>
      <c r="BI369" s="770">
        <f>IF(WWWW[[#This Row],[Total required Latrines]]-(WWWW[[#This Row],['#_of_sanitary_fly-proof_HH_latrines]])&lt;0,0,WWWW[[#This Row],[Total required Latrines]]-(WWWW[[#This Row],['#_of_sanitary_fly-proof_HH_latrines]]))</f>
        <v>24</v>
      </c>
      <c r="BJ369" s="771">
        <f>1-WWWW[[#This Row],[% people access to functioning Latrine]]</f>
        <v>0.37172774869109948</v>
      </c>
      <c r="BK369"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69" s="772">
        <f>IF(WWWW[[#This Row],['#_of_functional_handwashing_facilities_at_HH_level]]*6&gt;WWWW[[#This Row],[Total PoP ]],WWWW[[#This Row],[Total PoP ]],WWWW[[#This Row],['#_of_functional_handwashing_facilities_at_HH_level]]*6)</f>
        <v>0</v>
      </c>
      <c r="BM369" s="770">
        <f>IF(WWWW[[#This Row],['# people reached by regular dedicated hygiene promotion]]&gt;WWWW[[#This Row],['# People received regular supply of hygiene items]],WWWW[[#This Row],['# people reached by regular dedicated hygiene promotion]],WWWW[[#This Row],['# People received regular supply of hygiene items]])</f>
        <v>0</v>
      </c>
      <c r="BN369" s="476">
        <f>IF(WWWW[[#This Row],[HRP3]]/WWWW[[#This Row],[Total PoP ]]&gt;100%,100%,WWWW[[#This Row],[HRP3]]/WWWW[[#This Row],[Total PoP ]])</f>
        <v>0</v>
      </c>
      <c r="BO369" s="771">
        <f>1-WWWW[[#This Row],[Hygiene Coverage%]]</f>
        <v>1</v>
      </c>
      <c r="BP369" s="769">
        <f>WWWW[[#This Row],['# people reached by regular dedicated hygiene promotion]]/WWWW[[#This Row],[Total PoP ]]</f>
        <v>0</v>
      </c>
      <c r="BQ36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69" s="770">
        <f>WWWW[[#This Row],['#_of_affected_women_and_girls_receiving_a_sufficient_quantity_of_sanitary_pads]]</f>
        <v>0</v>
      </c>
      <c r="BS369" s="773">
        <f>IF(WWWW[[#This Row],['# People with access to soap]]&gt;WWWW[[#This Row],['# People with access to Sanity Pads]],WWWW[[#This Row],['# People with access to soap]],WWWW[[#This Row],['# People with access to Sanity Pads]])</f>
        <v>0</v>
      </c>
      <c r="BT369" s="772" t="str">
        <f>IF(OR(WWWW[[#This Row],['#of students in school]]="",WWWW[[#This Row],['#of students in school]]=0),"No","Yes")</f>
        <v>No</v>
      </c>
      <c r="BU369" s="480" t="str">
        <f>VLOOKUP(WWWW[[#This Row],[Village  Name]],SiteDB6[[Site Name]:[Location Type 1]],9,FALSE)</f>
        <v>Village</v>
      </c>
      <c r="BV369" s="480" t="str">
        <f>VLOOKUP(WWWW[[#This Row],[Village  Name]],SiteDB6[[Site Name]:[Type of Accommodation]],10,FALSE)</f>
        <v>Village</v>
      </c>
      <c r="BW369" s="480">
        <f>VLOOKUP(WWWW[[#This Row],[Village  Name]],SiteDB6[[Site Name]:[Ethnic or GCA/NGCA]],11,FALSE)</f>
        <v>0</v>
      </c>
      <c r="BX369" s="480">
        <f>VLOOKUP(WWWW[[#This Row],[Village  Name]],SiteDB6[[Site Name]:[Lat]],12,FALSE)</f>
        <v>0</v>
      </c>
      <c r="BY369" s="480">
        <f>VLOOKUP(WWWW[[#This Row],[Village  Name]],SiteDB6[[Site Name]:[Long]],13,FALSE)</f>
        <v>0</v>
      </c>
      <c r="BZ369" s="480">
        <f>VLOOKUP(WWWW[[#This Row],[Village  Name]],SiteDB6[[Site Name]:[Pcode]],3,FALSE)</f>
        <v>0</v>
      </c>
      <c r="CA369" s="480" t="str">
        <f t="shared" ref="CA369:CA388" si="23">IF(C369="none","Notcovered","Covered")</f>
        <v>Covered</v>
      </c>
      <c r="CB369" s="505"/>
    </row>
    <row r="370" spans="1:80">
      <c r="A370" s="774" t="s">
        <v>3199</v>
      </c>
      <c r="B370" s="774" t="s">
        <v>308</v>
      </c>
      <c r="C370" s="415"/>
      <c r="D370" s="415" t="s">
        <v>327</v>
      </c>
      <c r="E370" s="415" t="s">
        <v>3274</v>
      </c>
      <c r="F370" s="415" t="s">
        <v>3275</v>
      </c>
      <c r="G370" s="644" t="str">
        <f>VLOOKUP(WWWW[[#This Row],[Village  Name]],SiteDB6[[Site Name]:[Location Type]],8,FALSE)</f>
        <v>Village</v>
      </c>
      <c r="H370" s="415" t="s">
        <v>3308</v>
      </c>
      <c r="I370" s="773">
        <v>63</v>
      </c>
      <c r="J370" s="773">
        <v>265</v>
      </c>
      <c r="K370" s="418">
        <v>43300</v>
      </c>
      <c r="L370" s="55">
        <v>44377</v>
      </c>
      <c r="M370" s="773">
        <v>0</v>
      </c>
      <c r="N370" s="773">
        <v>0</v>
      </c>
      <c r="O370" s="773">
        <v>28</v>
      </c>
      <c r="P370" s="773">
        <v>0</v>
      </c>
      <c r="Q370" s="773">
        <v>0</v>
      </c>
      <c r="R370" s="773">
        <v>0</v>
      </c>
      <c r="S370" s="773">
        <v>0</v>
      </c>
      <c r="T370" s="773">
        <v>0</v>
      </c>
      <c r="U370" s="551"/>
      <c r="V370" s="773">
        <v>30</v>
      </c>
      <c r="W370" s="773" t="s">
        <v>130</v>
      </c>
      <c r="X370" s="773">
        <v>0</v>
      </c>
      <c r="Y370" s="773">
        <v>0</v>
      </c>
      <c r="Z370" s="773">
        <v>0</v>
      </c>
      <c r="AA370" s="773">
        <v>0</v>
      </c>
      <c r="AB370" s="773">
        <v>0</v>
      </c>
      <c r="AC370" s="551"/>
      <c r="AD370" s="773">
        <v>0</v>
      </c>
      <c r="AE370" s="773">
        <v>0</v>
      </c>
      <c r="AF370" s="773">
        <v>0</v>
      </c>
      <c r="AG370" s="773">
        <v>0</v>
      </c>
      <c r="AH370" s="773">
        <v>0</v>
      </c>
      <c r="AI370" s="773">
        <v>0</v>
      </c>
      <c r="AJ370" s="773">
        <v>0</v>
      </c>
      <c r="AK370" s="773">
        <v>0</v>
      </c>
      <c r="AL370" s="773">
        <v>0</v>
      </c>
      <c r="AM370" s="773">
        <v>0</v>
      </c>
      <c r="AN370" s="551"/>
      <c r="AO370" s="769">
        <v>0</v>
      </c>
      <c r="AP370" s="769">
        <v>0</v>
      </c>
      <c r="AQ370" s="773">
        <v>0</v>
      </c>
      <c r="AR370" s="773">
        <v>0</v>
      </c>
      <c r="AS370" s="773">
        <v>0</v>
      </c>
      <c r="AT370"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70" s="772">
        <f>WWWW[[#This Row],[%Equitable and continuous access to sufficient quantity of safe drinking water]]*WWWW[[#This Row],[Total PoP ]]</f>
        <v>265</v>
      </c>
      <c r="AV370"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70" s="772">
        <f>WWWW[[#This Row],[% Access to unimproved water points]]*WWWW[[#This Row],[Total PoP ]]</f>
        <v>0</v>
      </c>
      <c r="AX370"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70"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265</v>
      </c>
      <c r="AZ370" s="772">
        <f>WWWW[[#This Row],[HRP1]]/250</f>
        <v>1.06</v>
      </c>
      <c r="BA370" s="476">
        <f>1-WWWW[[#This Row],[% Equitable and continuous access to sufficient quantity of domestic water]]</f>
        <v>0</v>
      </c>
      <c r="BB370" s="772">
        <f>WWWW[[#This Row],[%equitable and continuous access to sufficient quantity of safe drinking and domestic water''s GAP]]*WWWW[[#This Row],[Total PoP ]]</f>
        <v>0</v>
      </c>
      <c r="BC370" s="770">
        <f>IF(WWWW[[#This Row],[Total required water points]]-WWWW[[#This Row],['#Water points coverage]]&lt;0,0,WWWW[[#This Row],[Total required water points]]-WWWW[[#This Row],['#Water points coverage]])</f>
        <v>0</v>
      </c>
      <c r="BD370" s="770">
        <f>ROUND(IF(WWWW[[#This Row],[Total PoP ]]&lt;250,1,WWWW[[#This Row],[Total PoP ]]/250),0)</f>
        <v>1</v>
      </c>
      <c r="BE37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0.67924528301886788</v>
      </c>
      <c r="BF370" s="772">
        <f>WWWW[[#This Row],[% people access to functioning Latrine]]*WWWW[[#This Row],[Total PoP ]]</f>
        <v>180</v>
      </c>
      <c r="BG370" s="770">
        <f>WWWW[[#This Row],['#_of_Functioning_latrines_in_school]]*50</f>
        <v>0</v>
      </c>
      <c r="BH370" s="770">
        <f>ROUND((WWWW[[#This Row],[Total PoP ]]/6),0)</f>
        <v>44</v>
      </c>
      <c r="BI370" s="770">
        <f>IF(WWWW[[#This Row],[Total required Latrines]]-(WWWW[[#This Row],['#_of_sanitary_fly-proof_HH_latrines]])&lt;0,0,WWWW[[#This Row],[Total required Latrines]]-(WWWW[[#This Row],['#_of_sanitary_fly-proof_HH_latrines]]))</f>
        <v>14</v>
      </c>
      <c r="BJ370" s="771">
        <f>1-WWWW[[#This Row],[% people access to functioning Latrine]]</f>
        <v>0.32075471698113212</v>
      </c>
      <c r="BK370"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70" s="772">
        <f>IF(WWWW[[#This Row],['#_of_functional_handwashing_facilities_at_HH_level]]*6&gt;WWWW[[#This Row],[Total PoP ]],WWWW[[#This Row],[Total PoP ]],WWWW[[#This Row],['#_of_functional_handwashing_facilities_at_HH_level]]*6)</f>
        <v>0</v>
      </c>
      <c r="BM370" s="770">
        <f>IF(WWWW[[#This Row],['# people reached by regular dedicated hygiene promotion]]&gt;WWWW[[#This Row],['# People received regular supply of hygiene items]],WWWW[[#This Row],['# people reached by regular dedicated hygiene promotion]],WWWW[[#This Row],['# People received regular supply of hygiene items]])</f>
        <v>0</v>
      </c>
      <c r="BN370" s="476">
        <f>IF(WWWW[[#This Row],[HRP3]]/WWWW[[#This Row],[Total PoP ]]&gt;100%,100%,WWWW[[#This Row],[HRP3]]/WWWW[[#This Row],[Total PoP ]])</f>
        <v>0</v>
      </c>
      <c r="BO370" s="771">
        <f>1-WWWW[[#This Row],[Hygiene Coverage%]]</f>
        <v>1</v>
      </c>
      <c r="BP370" s="769">
        <f>WWWW[[#This Row],['# people reached by regular dedicated hygiene promotion]]/WWWW[[#This Row],[Total PoP ]]</f>
        <v>0</v>
      </c>
      <c r="BQ37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70" s="770">
        <f>WWWW[[#This Row],['#_of_affected_women_and_girls_receiving_a_sufficient_quantity_of_sanitary_pads]]</f>
        <v>0</v>
      </c>
      <c r="BS370" s="773">
        <f>IF(WWWW[[#This Row],['# People with access to soap]]&gt;WWWW[[#This Row],['# People with access to Sanity Pads]],WWWW[[#This Row],['# People with access to soap]],WWWW[[#This Row],['# People with access to Sanity Pads]])</f>
        <v>0</v>
      </c>
      <c r="BT370" s="772" t="str">
        <f>IF(OR(WWWW[[#This Row],['#of students in school]]="",WWWW[[#This Row],['#of students in school]]=0),"No","Yes")</f>
        <v>No</v>
      </c>
      <c r="BU370" s="480" t="str">
        <f>VLOOKUP(WWWW[[#This Row],[Village  Name]],SiteDB6[[Site Name]:[Location Type 1]],9,FALSE)</f>
        <v>Village</v>
      </c>
      <c r="BV370" s="480" t="str">
        <f>VLOOKUP(WWWW[[#This Row],[Village  Name]],SiteDB6[[Site Name]:[Type of Accommodation]],10,FALSE)</f>
        <v>Village</v>
      </c>
      <c r="BW370" s="480">
        <f>VLOOKUP(WWWW[[#This Row],[Village  Name]],SiteDB6[[Site Name]:[Ethnic or GCA/NGCA]],11,FALSE)</f>
        <v>0</v>
      </c>
      <c r="BX370" s="480">
        <f>VLOOKUP(WWWW[[#This Row],[Village  Name]],SiteDB6[[Site Name]:[Lat]],12,FALSE)</f>
        <v>0</v>
      </c>
      <c r="BY370" s="480">
        <f>VLOOKUP(WWWW[[#This Row],[Village  Name]],SiteDB6[[Site Name]:[Long]],13,FALSE)</f>
        <v>0</v>
      </c>
      <c r="BZ370" s="480">
        <f>VLOOKUP(WWWW[[#This Row],[Village  Name]],SiteDB6[[Site Name]:[Pcode]],3,FALSE)</f>
        <v>0</v>
      </c>
      <c r="CA370" s="480" t="str">
        <f t="shared" si="23"/>
        <v>Covered</v>
      </c>
      <c r="CB370" s="505"/>
    </row>
    <row r="371" spans="1:80">
      <c r="A371" s="774" t="s">
        <v>3199</v>
      </c>
      <c r="B371" s="774" t="s">
        <v>308</v>
      </c>
      <c r="C371" s="415"/>
      <c r="D371" s="415" t="s">
        <v>327</v>
      </c>
      <c r="E371" s="415" t="s">
        <v>3274</v>
      </c>
      <c r="F371" s="415" t="s">
        <v>3275</v>
      </c>
      <c r="G371" s="644" t="str">
        <f>VLOOKUP(WWWW[[#This Row],[Village  Name]],SiteDB6[[Site Name]:[Location Type]],8,FALSE)</f>
        <v>Village</v>
      </c>
      <c r="H371" s="415" t="s">
        <v>3309</v>
      </c>
      <c r="I371" s="773">
        <v>68</v>
      </c>
      <c r="J371" s="773">
        <v>282</v>
      </c>
      <c r="K371" s="418">
        <v>43300</v>
      </c>
      <c r="L371" s="55">
        <v>44377</v>
      </c>
      <c r="M371" s="773">
        <v>0</v>
      </c>
      <c r="N371" s="773">
        <v>0</v>
      </c>
      <c r="O371" s="773">
        <v>32</v>
      </c>
      <c r="P371" s="773">
        <v>0</v>
      </c>
      <c r="Q371" s="773">
        <v>0</v>
      </c>
      <c r="R371" s="773">
        <v>0</v>
      </c>
      <c r="S371" s="773">
        <v>0</v>
      </c>
      <c r="T371" s="773">
        <v>1</v>
      </c>
      <c r="U371" s="551"/>
      <c r="V371" s="773">
        <v>45</v>
      </c>
      <c r="W371" s="773" t="s">
        <v>130</v>
      </c>
      <c r="X371" s="773">
        <v>1</v>
      </c>
      <c r="Y371" s="773">
        <v>0</v>
      </c>
      <c r="Z371" s="773">
        <v>0</v>
      </c>
      <c r="AA371" s="773">
        <v>0</v>
      </c>
      <c r="AB371" s="773">
        <v>0</v>
      </c>
      <c r="AC371" s="551"/>
      <c r="AD371" s="773">
        <v>0</v>
      </c>
      <c r="AE371" s="773">
        <v>0</v>
      </c>
      <c r="AF371" s="773">
        <v>0</v>
      </c>
      <c r="AG371" s="773">
        <v>0</v>
      </c>
      <c r="AH371" s="773">
        <v>0</v>
      </c>
      <c r="AI371" s="773">
        <v>0</v>
      </c>
      <c r="AJ371" s="773">
        <v>0</v>
      </c>
      <c r="AK371" s="773">
        <v>0</v>
      </c>
      <c r="AL371" s="773">
        <v>0</v>
      </c>
      <c r="AM371" s="773">
        <v>0</v>
      </c>
      <c r="AN371" s="551"/>
      <c r="AO371" s="769">
        <v>0</v>
      </c>
      <c r="AP371" s="769">
        <v>0</v>
      </c>
      <c r="AQ371" s="773">
        <v>0</v>
      </c>
      <c r="AR371" s="773">
        <v>0</v>
      </c>
      <c r="AS371" s="773">
        <v>0</v>
      </c>
      <c r="AT371"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71" s="772">
        <f>WWWW[[#This Row],[%Equitable and continuous access to sufficient quantity of safe drinking water]]*WWWW[[#This Row],[Total PoP ]]</f>
        <v>282</v>
      </c>
      <c r="AV371"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71" s="772">
        <f>WWWW[[#This Row],[% Access to unimproved water points]]*WWWW[[#This Row],[Total PoP ]]</f>
        <v>0</v>
      </c>
      <c r="AX371"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71"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282</v>
      </c>
      <c r="AZ371" s="772">
        <f>WWWW[[#This Row],[HRP1]]/250</f>
        <v>1.1279999999999999</v>
      </c>
      <c r="BA371" s="476">
        <f>1-WWWW[[#This Row],[% Equitable and continuous access to sufficient quantity of domestic water]]</f>
        <v>0</v>
      </c>
      <c r="BB371" s="772">
        <f>WWWW[[#This Row],[%equitable and continuous access to sufficient quantity of safe drinking and domestic water''s GAP]]*WWWW[[#This Row],[Total PoP ]]</f>
        <v>0</v>
      </c>
      <c r="BC371" s="770">
        <f>IF(WWWW[[#This Row],[Total required water points]]-WWWW[[#This Row],['#Water points coverage]]&lt;0,0,WWWW[[#This Row],[Total required water points]]-WWWW[[#This Row],['#Water points coverage]])</f>
        <v>0</v>
      </c>
      <c r="BD371" s="770">
        <f>ROUND(IF(WWWW[[#This Row],[Total PoP ]]&lt;250,1,WWWW[[#This Row],[Total PoP ]]/250),0)</f>
        <v>1</v>
      </c>
      <c r="BE37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0.95744680851063835</v>
      </c>
      <c r="BF371" s="772">
        <f>WWWW[[#This Row],[% people access to functioning Latrine]]*WWWW[[#This Row],[Total PoP ]]</f>
        <v>270</v>
      </c>
      <c r="BG371" s="770">
        <f>WWWW[[#This Row],['#_of_Functioning_latrines_in_school]]*50</f>
        <v>50</v>
      </c>
      <c r="BH371" s="770">
        <f>ROUND((WWWW[[#This Row],[Total PoP ]]/6),0)</f>
        <v>47</v>
      </c>
      <c r="BI371" s="770">
        <f>IF(WWWW[[#This Row],[Total required Latrines]]-(WWWW[[#This Row],['#_of_sanitary_fly-proof_HH_latrines]])&lt;0,0,WWWW[[#This Row],[Total required Latrines]]-(WWWW[[#This Row],['#_of_sanitary_fly-proof_HH_latrines]]))</f>
        <v>2</v>
      </c>
      <c r="BJ371" s="771">
        <f>1-WWWW[[#This Row],[% people access to functioning Latrine]]</f>
        <v>4.2553191489361653E-2</v>
      </c>
      <c r="BK371"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71" s="772">
        <f>IF(WWWW[[#This Row],['#_of_functional_handwashing_facilities_at_HH_level]]*6&gt;WWWW[[#This Row],[Total PoP ]],WWWW[[#This Row],[Total PoP ]],WWWW[[#This Row],['#_of_functional_handwashing_facilities_at_HH_level]]*6)</f>
        <v>0</v>
      </c>
      <c r="BM371" s="770">
        <f>IF(WWWW[[#This Row],['# people reached by regular dedicated hygiene promotion]]&gt;WWWW[[#This Row],['# People received regular supply of hygiene items]],WWWW[[#This Row],['# people reached by regular dedicated hygiene promotion]],WWWW[[#This Row],['# People received regular supply of hygiene items]])</f>
        <v>0</v>
      </c>
      <c r="BN371" s="476">
        <f>IF(WWWW[[#This Row],[HRP3]]/WWWW[[#This Row],[Total PoP ]]&gt;100%,100%,WWWW[[#This Row],[HRP3]]/WWWW[[#This Row],[Total PoP ]])</f>
        <v>0</v>
      </c>
      <c r="BO371" s="771">
        <f>1-WWWW[[#This Row],[Hygiene Coverage%]]</f>
        <v>1</v>
      </c>
      <c r="BP371" s="769">
        <f>WWWW[[#This Row],['# people reached by regular dedicated hygiene promotion]]/WWWW[[#This Row],[Total PoP ]]</f>
        <v>0</v>
      </c>
      <c r="BQ37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71" s="770">
        <f>WWWW[[#This Row],['#_of_affected_women_and_girls_receiving_a_sufficient_quantity_of_sanitary_pads]]</f>
        <v>0</v>
      </c>
      <c r="BS371" s="773">
        <f>IF(WWWW[[#This Row],['# People with access to soap]]&gt;WWWW[[#This Row],['# People with access to Sanity Pads]],WWWW[[#This Row],['# People with access to soap]],WWWW[[#This Row],['# People with access to Sanity Pads]])</f>
        <v>0</v>
      </c>
      <c r="BT371" s="772" t="str">
        <f>IF(OR(WWWW[[#This Row],['#of students in school]]="",WWWW[[#This Row],['#of students in school]]=0),"No","Yes")</f>
        <v>No</v>
      </c>
      <c r="BU371" s="480" t="str">
        <f>VLOOKUP(WWWW[[#This Row],[Village  Name]],SiteDB6[[Site Name]:[Location Type 1]],9,FALSE)</f>
        <v>Village</v>
      </c>
      <c r="BV371" s="480" t="str">
        <f>VLOOKUP(WWWW[[#This Row],[Village  Name]],SiteDB6[[Site Name]:[Type of Accommodation]],10,FALSE)</f>
        <v>Village</v>
      </c>
      <c r="BW371" s="480">
        <f>VLOOKUP(WWWW[[#This Row],[Village  Name]],SiteDB6[[Site Name]:[Ethnic or GCA/NGCA]],11,FALSE)</f>
        <v>0</v>
      </c>
      <c r="BX371" s="480">
        <f>VLOOKUP(WWWW[[#This Row],[Village  Name]],SiteDB6[[Site Name]:[Lat]],12,FALSE)</f>
        <v>0</v>
      </c>
      <c r="BY371" s="480">
        <f>VLOOKUP(WWWW[[#This Row],[Village  Name]],SiteDB6[[Site Name]:[Long]],13,FALSE)</f>
        <v>0</v>
      </c>
      <c r="BZ371" s="480">
        <f>VLOOKUP(WWWW[[#This Row],[Village  Name]],SiteDB6[[Site Name]:[Pcode]],3,FALSE)</f>
        <v>0</v>
      </c>
      <c r="CA371" s="480" t="str">
        <f t="shared" si="23"/>
        <v>Covered</v>
      </c>
      <c r="CB371" s="505"/>
    </row>
    <row r="372" spans="1:80">
      <c r="A372" s="774" t="s">
        <v>3199</v>
      </c>
      <c r="B372" s="774" t="s">
        <v>308</v>
      </c>
      <c r="C372" s="415"/>
      <c r="D372" s="415" t="s">
        <v>327</v>
      </c>
      <c r="E372" s="415" t="s">
        <v>3274</v>
      </c>
      <c r="F372" s="415" t="s">
        <v>3275</v>
      </c>
      <c r="G372" s="644" t="str">
        <f>VLOOKUP(WWWW[[#This Row],[Village  Name]],SiteDB6[[Site Name]:[Location Type]],8,FALSE)</f>
        <v>Village</v>
      </c>
      <c r="H372" s="415" t="s">
        <v>3276</v>
      </c>
      <c r="I372" s="773">
        <v>87</v>
      </c>
      <c r="J372" s="773">
        <v>418</v>
      </c>
      <c r="K372" s="418">
        <v>43300</v>
      </c>
      <c r="L372" s="55">
        <v>44377</v>
      </c>
      <c r="M372" s="773">
        <v>0</v>
      </c>
      <c r="N372" s="773">
        <v>0</v>
      </c>
      <c r="O372" s="773">
        <v>31</v>
      </c>
      <c r="P372" s="773">
        <v>0</v>
      </c>
      <c r="Q372" s="773">
        <v>0</v>
      </c>
      <c r="R372" s="773">
        <v>0</v>
      </c>
      <c r="S372" s="773">
        <v>0</v>
      </c>
      <c r="T372" s="773">
        <v>0</v>
      </c>
      <c r="U372" s="551"/>
      <c r="V372" s="773">
        <v>40</v>
      </c>
      <c r="W372" s="773" t="s">
        <v>130</v>
      </c>
      <c r="X372" s="773">
        <v>1</v>
      </c>
      <c r="Y372" s="773">
        <v>0</v>
      </c>
      <c r="Z372" s="773">
        <v>0</v>
      </c>
      <c r="AA372" s="773">
        <v>0</v>
      </c>
      <c r="AB372" s="773">
        <v>0</v>
      </c>
      <c r="AC372" s="551"/>
      <c r="AD372" s="773">
        <v>0</v>
      </c>
      <c r="AE372" s="773">
        <v>0</v>
      </c>
      <c r="AF372" s="773">
        <v>0</v>
      </c>
      <c r="AG372" s="773">
        <v>0</v>
      </c>
      <c r="AH372" s="773">
        <v>0</v>
      </c>
      <c r="AI372" s="773">
        <v>0</v>
      </c>
      <c r="AJ372" s="773">
        <v>0</v>
      </c>
      <c r="AK372" s="773">
        <v>0</v>
      </c>
      <c r="AL372" s="773">
        <v>0</v>
      </c>
      <c r="AM372" s="773">
        <v>0</v>
      </c>
      <c r="AN372" s="551"/>
      <c r="AO372" s="769">
        <v>0</v>
      </c>
      <c r="AP372" s="769">
        <v>0</v>
      </c>
      <c r="AQ372" s="773">
        <v>0</v>
      </c>
      <c r="AR372" s="773">
        <v>0</v>
      </c>
      <c r="AS372" s="773">
        <v>0</v>
      </c>
      <c r="AT372"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72" s="772">
        <f>WWWW[[#This Row],[%Equitable and continuous access to sufficient quantity of safe drinking water]]*WWWW[[#This Row],[Total PoP ]]</f>
        <v>418</v>
      </c>
      <c r="AV372"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72" s="772">
        <f>WWWW[[#This Row],[% Access to unimproved water points]]*WWWW[[#This Row],[Total PoP ]]</f>
        <v>0</v>
      </c>
      <c r="AX372"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72"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418</v>
      </c>
      <c r="AZ372" s="772">
        <f>WWWW[[#This Row],[HRP1]]/250</f>
        <v>1.6719999999999999</v>
      </c>
      <c r="BA372" s="476">
        <f>1-WWWW[[#This Row],[% Equitable and continuous access to sufficient quantity of domestic water]]</f>
        <v>0</v>
      </c>
      <c r="BB372" s="772">
        <f>WWWW[[#This Row],[%equitable and continuous access to sufficient quantity of safe drinking and domestic water''s GAP]]*WWWW[[#This Row],[Total PoP ]]</f>
        <v>0</v>
      </c>
      <c r="BC372" s="770">
        <f>IF(WWWW[[#This Row],[Total required water points]]-WWWW[[#This Row],['#Water points coverage]]&lt;0,0,WWWW[[#This Row],[Total required water points]]-WWWW[[#This Row],['#Water points coverage]])</f>
        <v>0.32800000000000007</v>
      </c>
      <c r="BD372" s="770">
        <f>ROUND(IF(WWWW[[#This Row],[Total PoP ]]&lt;250,1,WWWW[[#This Row],[Total PoP ]]/250),0)</f>
        <v>2</v>
      </c>
      <c r="BE37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0.57416267942583732</v>
      </c>
      <c r="BF372" s="772">
        <f>WWWW[[#This Row],[% people access to functioning Latrine]]*WWWW[[#This Row],[Total PoP ]]</f>
        <v>240</v>
      </c>
      <c r="BG372" s="770">
        <f>WWWW[[#This Row],['#_of_Functioning_latrines_in_school]]*50</f>
        <v>50</v>
      </c>
      <c r="BH372" s="770">
        <f>ROUND((WWWW[[#This Row],[Total PoP ]]/6),0)</f>
        <v>70</v>
      </c>
      <c r="BI372" s="770">
        <f>IF(WWWW[[#This Row],[Total required Latrines]]-(WWWW[[#This Row],['#_of_sanitary_fly-proof_HH_latrines]])&lt;0,0,WWWW[[#This Row],[Total required Latrines]]-(WWWW[[#This Row],['#_of_sanitary_fly-proof_HH_latrines]]))</f>
        <v>30</v>
      </c>
      <c r="BJ372" s="771">
        <f>1-WWWW[[#This Row],[% people access to functioning Latrine]]</f>
        <v>0.42583732057416268</v>
      </c>
      <c r="BK372"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72" s="772">
        <f>IF(WWWW[[#This Row],['#_of_functional_handwashing_facilities_at_HH_level]]*6&gt;WWWW[[#This Row],[Total PoP ]],WWWW[[#This Row],[Total PoP ]],WWWW[[#This Row],['#_of_functional_handwashing_facilities_at_HH_level]]*6)</f>
        <v>0</v>
      </c>
      <c r="BM372" s="770">
        <f>IF(WWWW[[#This Row],['# people reached by regular dedicated hygiene promotion]]&gt;WWWW[[#This Row],['# People received regular supply of hygiene items]],WWWW[[#This Row],['# people reached by regular dedicated hygiene promotion]],WWWW[[#This Row],['# People received regular supply of hygiene items]])</f>
        <v>0</v>
      </c>
      <c r="BN372" s="476">
        <f>IF(WWWW[[#This Row],[HRP3]]/WWWW[[#This Row],[Total PoP ]]&gt;100%,100%,WWWW[[#This Row],[HRP3]]/WWWW[[#This Row],[Total PoP ]])</f>
        <v>0</v>
      </c>
      <c r="BO372" s="771">
        <f>1-WWWW[[#This Row],[Hygiene Coverage%]]</f>
        <v>1</v>
      </c>
      <c r="BP372" s="769">
        <f>WWWW[[#This Row],['# people reached by regular dedicated hygiene promotion]]/WWWW[[#This Row],[Total PoP ]]</f>
        <v>0</v>
      </c>
      <c r="BQ37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72" s="770">
        <f>WWWW[[#This Row],['#_of_affected_women_and_girls_receiving_a_sufficient_quantity_of_sanitary_pads]]</f>
        <v>0</v>
      </c>
      <c r="BS372" s="773">
        <f>IF(WWWW[[#This Row],['# People with access to soap]]&gt;WWWW[[#This Row],['# People with access to Sanity Pads]],WWWW[[#This Row],['# People with access to soap]],WWWW[[#This Row],['# People with access to Sanity Pads]])</f>
        <v>0</v>
      </c>
      <c r="BT372" s="772" t="str">
        <f>IF(OR(WWWW[[#This Row],['#of students in school]]="",WWWW[[#This Row],['#of students in school]]=0),"No","Yes")</f>
        <v>No</v>
      </c>
      <c r="BU372" s="480" t="str">
        <f>VLOOKUP(WWWW[[#This Row],[Village  Name]],SiteDB6[[Site Name]:[Location Type 1]],9,FALSE)</f>
        <v>Village</v>
      </c>
      <c r="BV372" s="480" t="str">
        <f>VLOOKUP(WWWW[[#This Row],[Village  Name]],SiteDB6[[Site Name]:[Type of Accommodation]],10,FALSE)</f>
        <v>Village</v>
      </c>
      <c r="BW372" s="480">
        <f>VLOOKUP(WWWW[[#This Row],[Village  Name]],SiteDB6[[Site Name]:[Ethnic or GCA/NGCA]],11,FALSE)</f>
        <v>0</v>
      </c>
      <c r="BX372" s="480">
        <f>VLOOKUP(WWWW[[#This Row],[Village  Name]],SiteDB6[[Site Name]:[Lat]],12,FALSE)</f>
        <v>0</v>
      </c>
      <c r="BY372" s="480">
        <f>VLOOKUP(WWWW[[#This Row],[Village  Name]],SiteDB6[[Site Name]:[Long]],13,FALSE)</f>
        <v>0</v>
      </c>
      <c r="BZ372" s="480">
        <f>VLOOKUP(WWWW[[#This Row],[Village  Name]],SiteDB6[[Site Name]:[Pcode]],3,FALSE)</f>
        <v>0</v>
      </c>
      <c r="CA372" s="480" t="str">
        <f t="shared" si="23"/>
        <v>Covered</v>
      </c>
      <c r="CB372" s="505"/>
    </row>
    <row r="373" spans="1:80">
      <c r="A373" s="774" t="s">
        <v>3199</v>
      </c>
      <c r="B373" s="774" t="s">
        <v>308</v>
      </c>
      <c r="C373" s="415"/>
      <c r="D373" s="415" t="s">
        <v>327</v>
      </c>
      <c r="E373" s="415" t="s">
        <v>3274</v>
      </c>
      <c r="F373" s="415" t="s">
        <v>3275</v>
      </c>
      <c r="G373" s="644" t="str">
        <f>VLOOKUP(WWWW[[#This Row],[Village  Name]],SiteDB6[[Site Name]:[Location Type]],8,FALSE)</f>
        <v>Village</v>
      </c>
      <c r="H373" s="415" t="s">
        <v>3277</v>
      </c>
      <c r="I373" s="773">
        <v>95</v>
      </c>
      <c r="J373" s="773">
        <v>539</v>
      </c>
      <c r="K373" s="418">
        <v>43300</v>
      </c>
      <c r="L373" s="55">
        <v>44377</v>
      </c>
      <c r="M373" s="773">
        <v>0</v>
      </c>
      <c r="N373" s="773">
        <v>0</v>
      </c>
      <c r="O373" s="773">
        <v>42</v>
      </c>
      <c r="P373" s="773">
        <v>0</v>
      </c>
      <c r="Q373" s="773">
        <v>0</v>
      </c>
      <c r="R373" s="773">
        <v>0</v>
      </c>
      <c r="S373" s="773">
        <v>0</v>
      </c>
      <c r="T373" s="773">
        <v>0</v>
      </c>
      <c r="U373" s="551"/>
      <c r="V373" s="773">
        <v>79</v>
      </c>
      <c r="W373" s="773" t="s">
        <v>130</v>
      </c>
      <c r="X373" s="773">
        <v>1</v>
      </c>
      <c r="Y373" s="773">
        <v>0</v>
      </c>
      <c r="Z373" s="773">
        <v>0</v>
      </c>
      <c r="AA373" s="773">
        <v>0</v>
      </c>
      <c r="AB373" s="773">
        <v>0</v>
      </c>
      <c r="AC373" s="551"/>
      <c r="AD373" s="773">
        <v>0</v>
      </c>
      <c r="AE373" s="773">
        <v>0</v>
      </c>
      <c r="AF373" s="773">
        <v>0</v>
      </c>
      <c r="AG373" s="773">
        <v>0</v>
      </c>
      <c r="AH373" s="773">
        <v>0</v>
      </c>
      <c r="AI373" s="773">
        <v>0</v>
      </c>
      <c r="AJ373" s="773">
        <v>0</v>
      </c>
      <c r="AK373" s="773">
        <v>0</v>
      </c>
      <c r="AL373" s="773">
        <v>0</v>
      </c>
      <c r="AM373" s="773">
        <v>0</v>
      </c>
      <c r="AN373" s="551"/>
      <c r="AO373" s="769">
        <v>0</v>
      </c>
      <c r="AP373" s="769">
        <v>0</v>
      </c>
      <c r="AQ373" s="773">
        <v>0</v>
      </c>
      <c r="AR373" s="773">
        <v>0</v>
      </c>
      <c r="AS373" s="773">
        <v>0</v>
      </c>
      <c r="AT373"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73" s="772">
        <f>WWWW[[#This Row],[%Equitable and continuous access to sufficient quantity of safe drinking water]]*WWWW[[#This Row],[Total PoP ]]</f>
        <v>539</v>
      </c>
      <c r="AV373"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73" s="772">
        <f>WWWW[[#This Row],[% Access to unimproved water points]]*WWWW[[#This Row],[Total PoP ]]</f>
        <v>0</v>
      </c>
      <c r="AX373"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73"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539</v>
      </c>
      <c r="AZ373" s="772">
        <f>WWWW[[#This Row],[HRP1]]/250</f>
        <v>2.1560000000000001</v>
      </c>
      <c r="BA373" s="476">
        <f>1-WWWW[[#This Row],[% Equitable and continuous access to sufficient quantity of domestic water]]</f>
        <v>0</v>
      </c>
      <c r="BB373" s="772">
        <f>WWWW[[#This Row],[%equitable and continuous access to sufficient quantity of safe drinking and domestic water''s GAP]]*WWWW[[#This Row],[Total PoP ]]</f>
        <v>0</v>
      </c>
      <c r="BC373" s="770">
        <f>IF(WWWW[[#This Row],[Total required water points]]-WWWW[[#This Row],['#Water points coverage]]&lt;0,0,WWWW[[#This Row],[Total required water points]]-WWWW[[#This Row],['#Water points coverage]])</f>
        <v>0</v>
      </c>
      <c r="BD373" s="770">
        <f>ROUND(IF(WWWW[[#This Row],[Total PoP ]]&lt;250,1,WWWW[[#This Row],[Total PoP ]]/250),0)</f>
        <v>2</v>
      </c>
      <c r="BE37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0.87940630797773656</v>
      </c>
      <c r="BF373" s="772">
        <f>WWWW[[#This Row],[% people access to functioning Latrine]]*WWWW[[#This Row],[Total PoP ]]</f>
        <v>474</v>
      </c>
      <c r="BG373" s="770">
        <f>WWWW[[#This Row],['#_of_Functioning_latrines_in_school]]*50</f>
        <v>50</v>
      </c>
      <c r="BH373" s="770">
        <f>ROUND((WWWW[[#This Row],[Total PoP ]]/6),0)</f>
        <v>90</v>
      </c>
      <c r="BI373" s="770">
        <f>IF(WWWW[[#This Row],[Total required Latrines]]-(WWWW[[#This Row],['#_of_sanitary_fly-proof_HH_latrines]])&lt;0,0,WWWW[[#This Row],[Total required Latrines]]-(WWWW[[#This Row],['#_of_sanitary_fly-proof_HH_latrines]]))</f>
        <v>11</v>
      </c>
      <c r="BJ373" s="771">
        <f>1-WWWW[[#This Row],[% people access to functioning Latrine]]</f>
        <v>0.12059369202226344</v>
      </c>
      <c r="BK373"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73" s="772">
        <f>IF(WWWW[[#This Row],['#_of_functional_handwashing_facilities_at_HH_level]]*6&gt;WWWW[[#This Row],[Total PoP ]],WWWW[[#This Row],[Total PoP ]],WWWW[[#This Row],['#_of_functional_handwashing_facilities_at_HH_level]]*6)</f>
        <v>0</v>
      </c>
      <c r="BM373" s="770">
        <f>IF(WWWW[[#This Row],['# people reached by regular dedicated hygiene promotion]]&gt;WWWW[[#This Row],['# People received regular supply of hygiene items]],WWWW[[#This Row],['# people reached by regular dedicated hygiene promotion]],WWWW[[#This Row],['# People received regular supply of hygiene items]])</f>
        <v>0</v>
      </c>
      <c r="BN373" s="476">
        <f>IF(WWWW[[#This Row],[HRP3]]/WWWW[[#This Row],[Total PoP ]]&gt;100%,100%,WWWW[[#This Row],[HRP3]]/WWWW[[#This Row],[Total PoP ]])</f>
        <v>0</v>
      </c>
      <c r="BO373" s="771">
        <f>1-WWWW[[#This Row],[Hygiene Coverage%]]</f>
        <v>1</v>
      </c>
      <c r="BP373" s="769">
        <f>WWWW[[#This Row],['# people reached by regular dedicated hygiene promotion]]/WWWW[[#This Row],[Total PoP ]]</f>
        <v>0</v>
      </c>
      <c r="BQ37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73" s="770">
        <f>WWWW[[#This Row],['#_of_affected_women_and_girls_receiving_a_sufficient_quantity_of_sanitary_pads]]</f>
        <v>0</v>
      </c>
      <c r="BS373" s="773">
        <f>IF(WWWW[[#This Row],['# People with access to soap]]&gt;WWWW[[#This Row],['# People with access to Sanity Pads]],WWWW[[#This Row],['# People with access to soap]],WWWW[[#This Row],['# People with access to Sanity Pads]])</f>
        <v>0</v>
      </c>
      <c r="BT373" s="772" t="str">
        <f>IF(OR(WWWW[[#This Row],['#of students in school]]="",WWWW[[#This Row],['#of students in school]]=0),"No","Yes")</f>
        <v>No</v>
      </c>
      <c r="BU373" s="480" t="str">
        <f>VLOOKUP(WWWW[[#This Row],[Village  Name]],SiteDB6[[Site Name]:[Location Type 1]],9,FALSE)</f>
        <v>Village</v>
      </c>
      <c r="BV373" s="480" t="str">
        <f>VLOOKUP(WWWW[[#This Row],[Village  Name]],SiteDB6[[Site Name]:[Type of Accommodation]],10,FALSE)</f>
        <v>Village</v>
      </c>
      <c r="BW373" s="480">
        <f>VLOOKUP(WWWW[[#This Row],[Village  Name]],SiteDB6[[Site Name]:[Ethnic or GCA/NGCA]],11,FALSE)</f>
        <v>0</v>
      </c>
      <c r="BX373" s="480">
        <f>VLOOKUP(WWWW[[#This Row],[Village  Name]],SiteDB6[[Site Name]:[Lat]],12,FALSE)</f>
        <v>0</v>
      </c>
      <c r="BY373" s="480">
        <f>VLOOKUP(WWWW[[#This Row],[Village  Name]],SiteDB6[[Site Name]:[Long]],13,FALSE)</f>
        <v>0</v>
      </c>
      <c r="BZ373" s="480">
        <f>VLOOKUP(WWWW[[#This Row],[Village  Name]],SiteDB6[[Site Name]:[Pcode]],3,FALSE)</f>
        <v>0</v>
      </c>
      <c r="CA373" s="480" t="str">
        <f t="shared" si="23"/>
        <v>Covered</v>
      </c>
      <c r="CB373" s="505"/>
    </row>
    <row r="374" spans="1:80">
      <c r="A374" s="774" t="s">
        <v>3199</v>
      </c>
      <c r="B374" s="774" t="s">
        <v>308</v>
      </c>
      <c r="C374" s="415"/>
      <c r="D374" s="415" t="s">
        <v>327</v>
      </c>
      <c r="E374" s="415" t="s">
        <v>3274</v>
      </c>
      <c r="F374" s="415" t="s">
        <v>3275</v>
      </c>
      <c r="G374" s="644" t="str">
        <f>VLOOKUP(WWWW[[#This Row],[Village  Name]],SiteDB6[[Site Name]:[Location Type]],8,FALSE)</f>
        <v>Village</v>
      </c>
      <c r="H374" s="415" t="s">
        <v>3310</v>
      </c>
      <c r="I374" s="773">
        <v>63</v>
      </c>
      <c r="J374" s="773">
        <v>348</v>
      </c>
      <c r="K374" s="418">
        <v>43300</v>
      </c>
      <c r="L374" s="55">
        <v>44377</v>
      </c>
      <c r="M374" s="773">
        <v>0</v>
      </c>
      <c r="N374" s="773">
        <v>0</v>
      </c>
      <c r="O374" s="773">
        <v>34</v>
      </c>
      <c r="P374" s="773">
        <v>0</v>
      </c>
      <c r="Q374" s="773">
        <v>0</v>
      </c>
      <c r="R374" s="773">
        <v>0</v>
      </c>
      <c r="S374" s="773">
        <v>0</v>
      </c>
      <c r="T374" s="773">
        <v>0</v>
      </c>
      <c r="U374" s="551"/>
      <c r="V374" s="773">
        <v>33</v>
      </c>
      <c r="W374" s="773" t="s">
        <v>130</v>
      </c>
      <c r="X374" s="773">
        <v>1</v>
      </c>
      <c r="Y374" s="773">
        <v>0</v>
      </c>
      <c r="Z374" s="773">
        <v>0</v>
      </c>
      <c r="AA374" s="773">
        <v>0</v>
      </c>
      <c r="AB374" s="773">
        <v>0</v>
      </c>
      <c r="AC374" s="551"/>
      <c r="AD374" s="773">
        <v>0</v>
      </c>
      <c r="AE374" s="773">
        <v>0</v>
      </c>
      <c r="AF374" s="773">
        <v>0</v>
      </c>
      <c r="AG374" s="773">
        <v>0</v>
      </c>
      <c r="AH374" s="773">
        <v>0</v>
      </c>
      <c r="AI374" s="773">
        <v>0</v>
      </c>
      <c r="AJ374" s="773">
        <v>0</v>
      </c>
      <c r="AK374" s="773">
        <v>0</v>
      </c>
      <c r="AL374" s="773">
        <v>0</v>
      </c>
      <c r="AM374" s="773">
        <v>0</v>
      </c>
      <c r="AN374" s="551"/>
      <c r="AO374" s="769">
        <v>0</v>
      </c>
      <c r="AP374" s="769">
        <v>0</v>
      </c>
      <c r="AQ374" s="773">
        <v>0</v>
      </c>
      <c r="AR374" s="773">
        <v>0</v>
      </c>
      <c r="AS374" s="773">
        <v>0</v>
      </c>
      <c r="AT374"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74" s="772">
        <f>WWWW[[#This Row],[%Equitable and continuous access to sufficient quantity of safe drinking water]]*WWWW[[#This Row],[Total PoP ]]</f>
        <v>348</v>
      </c>
      <c r="AV374"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74" s="772">
        <f>WWWW[[#This Row],[% Access to unimproved water points]]*WWWW[[#This Row],[Total PoP ]]</f>
        <v>0</v>
      </c>
      <c r="AX374"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74"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348</v>
      </c>
      <c r="AZ374" s="772">
        <f>WWWW[[#This Row],[HRP1]]/250</f>
        <v>1.3919999999999999</v>
      </c>
      <c r="BA374" s="476">
        <f>1-WWWW[[#This Row],[% Equitable and continuous access to sufficient quantity of domestic water]]</f>
        <v>0</v>
      </c>
      <c r="BB374" s="772">
        <f>WWWW[[#This Row],[%equitable and continuous access to sufficient quantity of safe drinking and domestic water''s GAP]]*WWWW[[#This Row],[Total PoP ]]</f>
        <v>0</v>
      </c>
      <c r="BC374" s="770">
        <f>IF(WWWW[[#This Row],[Total required water points]]-WWWW[[#This Row],['#Water points coverage]]&lt;0,0,WWWW[[#This Row],[Total required water points]]-WWWW[[#This Row],['#Water points coverage]])</f>
        <v>0</v>
      </c>
      <c r="BD374" s="770">
        <f>ROUND(IF(WWWW[[#This Row],[Total PoP ]]&lt;250,1,WWWW[[#This Row],[Total PoP ]]/250),0)</f>
        <v>1</v>
      </c>
      <c r="BE37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0.56896551724137934</v>
      </c>
      <c r="BF374" s="772">
        <f>WWWW[[#This Row],[% people access to functioning Latrine]]*WWWW[[#This Row],[Total PoP ]]</f>
        <v>198</v>
      </c>
      <c r="BG374" s="770">
        <f>WWWW[[#This Row],['#_of_Functioning_latrines_in_school]]*50</f>
        <v>50</v>
      </c>
      <c r="BH374" s="770">
        <f>ROUND((WWWW[[#This Row],[Total PoP ]]/6),0)</f>
        <v>58</v>
      </c>
      <c r="BI374" s="770">
        <f>IF(WWWW[[#This Row],[Total required Latrines]]-(WWWW[[#This Row],['#_of_sanitary_fly-proof_HH_latrines]])&lt;0,0,WWWW[[#This Row],[Total required Latrines]]-(WWWW[[#This Row],['#_of_sanitary_fly-proof_HH_latrines]]))</f>
        <v>25</v>
      </c>
      <c r="BJ374" s="771">
        <f>1-WWWW[[#This Row],[% people access to functioning Latrine]]</f>
        <v>0.43103448275862066</v>
      </c>
      <c r="BK374"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74" s="772">
        <f>IF(WWWW[[#This Row],['#_of_functional_handwashing_facilities_at_HH_level]]*6&gt;WWWW[[#This Row],[Total PoP ]],WWWW[[#This Row],[Total PoP ]],WWWW[[#This Row],['#_of_functional_handwashing_facilities_at_HH_level]]*6)</f>
        <v>0</v>
      </c>
      <c r="BM374" s="770">
        <f>IF(WWWW[[#This Row],['# people reached by regular dedicated hygiene promotion]]&gt;WWWW[[#This Row],['# People received regular supply of hygiene items]],WWWW[[#This Row],['# people reached by regular dedicated hygiene promotion]],WWWW[[#This Row],['# People received regular supply of hygiene items]])</f>
        <v>0</v>
      </c>
      <c r="BN374" s="476">
        <f>IF(WWWW[[#This Row],[HRP3]]/WWWW[[#This Row],[Total PoP ]]&gt;100%,100%,WWWW[[#This Row],[HRP3]]/WWWW[[#This Row],[Total PoP ]])</f>
        <v>0</v>
      </c>
      <c r="BO374" s="771">
        <f>1-WWWW[[#This Row],[Hygiene Coverage%]]</f>
        <v>1</v>
      </c>
      <c r="BP374" s="769">
        <f>WWWW[[#This Row],['# people reached by regular dedicated hygiene promotion]]/WWWW[[#This Row],[Total PoP ]]</f>
        <v>0</v>
      </c>
      <c r="BQ37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74" s="770">
        <f>WWWW[[#This Row],['#_of_affected_women_and_girls_receiving_a_sufficient_quantity_of_sanitary_pads]]</f>
        <v>0</v>
      </c>
      <c r="BS374" s="773">
        <f>IF(WWWW[[#This Row],['# People with access to soap]]&gt;WWWW[[#This Row],['# People with access to Sanity Pads]],WWWW[[#This Row],['# People with access to soap]],WWWW[[#This Row],['# People with access to Sanity Pads]])</f>
        <v>0</v>
      </c>
      <c r="BT374" s="772" t="str">
        <f>IF(OR(WWWW[[#This Row],['#of students in school]]="",WWWW[[#This Row],['#of students in school]]=0),"No","Yes")</f>
        <v>No</v>
      </c>
      <c r="BU374" s="480" t="str">
        <f>VLOOKUP(WWWW[[#This Row],[Village  Name]],SiteDB6[[Site Name]:[Location Type 1]],9,FALSE)</f>
        <v>Village</v>
      </c>
      <c r="BV374" s="480" t="str">
        <f>VLOOKUP(WWWW[[#This Row],[Village  Name]],SiteDB6[[Site Name]:[Type of Accommodation]],10,FALSE)</f>
        <v>Village</v>
      </c>
      <c r="BW374" s="480">
        <f>VLOOKUP(WWWW[[#This Row],[Village  Name]],SiteDB6[[Site Name]:[Ethnic or GCA/NGCA]],11,FALSE)</f>
        <v>0</v>
      </c>
      <c r="BX374" s="480">
        <f>VLOOKUP(WWWW[[#This Row],[Village  Name]],SiteDB6[[Site Name]:[Lat]],12,FALSE)</f>
        <v>0</v>
      </c>
      <c r="BY374" s="480">
        <f>VLOOKUP(WWWW[[#This Row],[Village  Name]],SiteDB6[[Site Name]:[Long]],13,FALSE)</f>
        <v>0</v>
      </c>
      <c r="BZ374" s="480">
        <f>VLOOKUP(WWWW[[#This Row],[Village  Name]],SiteDB6[[Site Name]:[Pcode]],3,FALSE)</f>
        <v>0</v>
      </c>
      <c r="CA374" s="480" t="str">
        <f t="shared" si="23"/>
        <v>Covered</v>
      </c>
      <c r="CB374" s="505"/>
    </row>
    <row r="375" spans="1:80">
      <c r="A375" s="774" t="s">
        <v>3199</v>
      </c>
      <c r="B375" s="774" t="s">
        <v>308</v>
      </c>
      <c r="C375" s="415"/>
      <c r="D375" s="415" t="s">
        <v>327</v>
      </c>
      <c r="E375" s="415" t="s">
        <v>3274</v>
      </c>
      <c r="F375" s="415" t="s">
        <v>3275</v>
      </c>
      <c r="G375" s="644" t="str">
        <f>VLOOKUP(WWWW[[#This Row],[Village  Name]],SiteDB6[[Site Name]:[Location Type]],8,FALSE)</f>
        <v>Village</v>
      </c>
      <c r="H375" s="415" t="s">
        <v>3278</v>
      </c>
      <c r="I375" s="773">
        <v>53</v>
      </c>
      <c r="J375" s="773">
        <v>211</v>
      </c>
      <c r="K375" s="418">
        <v>43300</v>
      </c>
      <c r="L375" s="55">
        <v>44377</v>
      </c>
      <c r="M375" s="773">
        <v>0</v>
      </c>
      <c r="N375" s="773">
        <v>0</v>
      </c>
      <c r="O375" s="773">
        <v>36</v>
      </c>
      <c r="P375" s="773">
        <v>0</v>
      </c>
      <c r="Q375" s="773">
        <v>0</v>
      </c>
      <c r="R375" s="773">
        <v>0</v>
      </c>
      <c r="S375" s="773">
        <v>0</v>
      </c>
      <c r="T375" s="773">
        <v>0</v>
      </c>
      <c r="U375" s="551"/>
      <c r="V375" s="773">
        <v>30</v>
      </c>
      <c r="W375" s="773" t="s">
        <v>130</v>
      </c>
      <c r="X375" s="773">
        <v>0</v>
      </c>
      <c r="Y375" s="773">
        <v>0</v>
      </c>
      <c r="Z375" s="773">
        <v>0</v>
      </c>
      <c r="AA375" s="773">
        <v>0</v>
      </c>
      <c r="AB375" s="773">
        <v>0</v>
      </c>
      <c r="AC375" s="551"/>
      <c r="AD375" s="773">
        <v>0</v>
      </c>
      <c r="AE375" s="773">
        <v>0</v>
      </c>
      <c r="AF375" s="773">
        <v>0</v>
      </c>
      <c r="AG375" s="773">
        <v>0</v>
      </c>
      <c r="AH375" s="773">
        <v>0</v>
      </c>
      <c r="AI375" s="773">
        <v>0</v>
      </c>
      <c r="AJ375" s="773">
        <v>0</v>
      </c>
      <c r="AK375" s="773">
        <v>0</v>
      </c>
      <c r="AL375" s="773">
        <v>0</v>
      </c>
      <c r="AM375" s="773">
        <v>0</v>
      </c>
      <c r="AN375" s="551"/>
      <c r="AO375" s="769">
        <v>0</v>
      </c>
      <c r="AP375" s="769">
        <v>0</v>
      </c>
      <c r="AQ375" s="773">
        <v>0</v>
      </c>
      <c r="AR375" s="773">
        <v>0</v>
      </c>
      <c r="AS375" s="773">
        <v>0</v>
      </c>
      <c r="AT375"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75" s="772">
        <f>WWWW[[#This Row],[%Equitable and continuous access to sufficient quantity of safe drinking water]]*WWWW[[#This Row],[Total PoP ]]</f>
        <v>211</v>
      </c>
      <c r="AV375"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75" s="772">
        <f>WWWW[[#This Row],[% Access to unimproved water points]]*WWWW[[#This Row],[Total PoP ]]</f>
        <v>0</v>
      </c>
      <c r="AX375"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75"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211</v>
      </c>
      <c r="AZ375" s="772">
        <f>WWWW[[#This Row],[HRP1]]/250</f>
        <v>0.84399999999999997</v>
      </c>
      <c r="BA375" s="476">
        <f>1-WWWW[[#This Row],[% Equitable and continuous access to sufficient quantity of domestic water]]</f>
        <v>0</v>
      </c>
      <c r="BB375" s="772">
        <f>WWWW[[#This Row],[%equitable and continuous access to sufficient quantity of safe drinking and domestic water''s GAP]]*WWWW[[#This Row],[Total PoP ]]</f>
        <v>0</v>
      </c>
      <c r="BC375" s="770">
        <f>IF(WWWW[[#This Row],[Total required water points]]-WWWW[[#This Row],['#Water points coverage]]&lt;0,0,WWWW[[#This Row],[Total required water points]]-WWWW[[#This Row],['#Water points coverage]])</f>
        <v>0.15600000000000003</v>
      </c>
      <c r="BD375" s="770">
        <f>ROUND(IF(WWWW[[#This Row],[Total PoP ]]&lt;250,1,WWWW[[#This Row],[Total PoP ]]/250),0)</f>
        <v>1</v>
      </c>
      <c r="BE37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0.85308056872037918</v>
      </c>
      <c r="BF375" s="772">
        <f>WWWW[[#This Row],[% people access to functioning Latrine]]*WWWW[[#This Row],[Total PoP ]]</f>
        <v>180</v>
      </c>
      <c r="BG375" s="770">
        <f>WWWW[[#This Row],['#_of_Functioning_latrines_in_school]]*50</f>
        <v>0</v>
      </c>
      <c r="BH375" s="770">
        <f>ROUND((WWWW[[#This Row],[Total PoP ]]/6),0)</f>
        <v>35</v>
      </c>
      <c r="BI375" s="770">
        <f>IF(WWWW[[#This Row],[Total required Latrines]]-(WWWW[[#This Row],['#_of_sanitary_fly-proof_HH_latrines]])&lt;0,0,WWWW[[#This Row],[Total required Latrines]]-(WWWW[[#This Row],['#_of_sanitary_fly-proof_HH_latrines]]))</f>
        <v>5</v>
      </c>
      <c r="BJ375" s="771">
        <f>1-WWWW[[#This Row],[% people access to functioning Latrine]]</f>
        <v>0.14691943127962082</v>
      </c>
      <c r="BK375"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75" s="772">
        <f>IF(WWWW[[#This Row],['#_of_functional_handwashing_facilities_at_HH_level]]*6&gt;WWWW[[#This Row],[Total PoP ]],WWWW[[#This Row],[Total PoP ]],WWWW[[#This Row],['#_of_functional_handwashing_facilities_at_HH_level]]*6)</f>
        <v>0</v>
      </c>
      <c r="BM375" s="770">
        <f>IF(WWWW[[#This Row],['# people reached by regular dedicated hygiene promotion]]&gt;WWWW[[#This Row],['# People received regular supply of hygiene items]],WWWW[[#This Row],['# people reached by regular dedicated hygiene promotion]],WWWW[[#This Row],['# People received regular supply of hygiene items]])</f>
        <v>0</v>
      </c>
      <c r="BN375" s="476">
        <f>IF(WWWW[[#This Row],[HRP3]]/WWWW[[#This Row],[Total PoP ]]&gt;100%,100%,WWWW[[#This Row],[HRP3]]/WWWW[[#This Row],[Total PoP ]])</f>
        <v>0</v>
      </c>
      <c r="BO375" s="771">
        <f>1-WWWW[[#This Row],[Hygiene Coverage%]]</f>
        <v>1</v>
      </c>
      <c r="BP375" s="769">
        <f>WWWW[[#This Row],['# people reached by regular dedicated hygiene promotion]]/WWWW[[#This Row],[Total PoP ]]</f>
        <v>0</v>
      </c>
      <c r="BQ37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75" s="770">
        <f>WWWW[[#This Row],['#_of_affected_women_and_girls_receiving_a_sufficient_quantity_of_sanitary_pads]]</f>
        <v>0</v>
      </c>
      <c r="BS375" s="773">
        <f>IF(WWWW[[#This Row],['# People with access to soap]]&gt;WWWW[[#This Row],['# People with access to Sanity Pads]],WWWW[[#This Row],['# People with access to soap]],WWWW[[#This Row],['# People with access to Sanity Pads]])</f>
        <v>0</v>
      </c>
      <c r="BT375" s="772" t="str">
        <f>IF(OR(WWWW[[#This Row],['#of students in school]]="",WWWW[[#This Row],['#of students in school]]=0),"No","Yes")</f>
        <v>No</v>
      </c>
      <c r="BU375" s="480" t="str">
        <f>VLOOKUP(WWWW[[#This Row],[Village  Name]],SiteDB6[[Site Name]:[Location Type 1]],9,FALSE)</f>
        <v>Village</v>
      </c>
      <c r="BV375" s="480" t="str">
        <f>VLOOKUP(WWWW[[#This Row],[Village  Name]],SiteDB6[[Site Name]:[Type of Accommodation]],10,FALSE)</f>
        <v>Village</v>
      </c>
      <c r="BW375" s="480">
        <f>VLOOKUP(WWWW[[#This Row],[Village  Name]],SiteDB6[[Site Name]:[Ethnic or GCA/NGCA]],11,FALSE)</f>
        <v>0</v>
      </c>
      <c r="BX375" s="480">
        <f>VLOOKUP(WWWW[[#This Row],[Village  Name]],SiteDB6[[Site Name]:[Lat]],12,FALSE)</f>
        <v>0</v>
      </c>
      <c r="BY375" s="480">
        <f>VLOOKUP(WWWW[[#This Row],[Village  Name]],SiteDB6[[Site Name]:[Long]],13,FALSE)</f>
        <v>0</v>
      </c>
      <c r="BZ375" s="480">
        <f>VLOOKUP(WWWW[[#This Row],[Village  Name]],SiteDB6[[Site Name]:[Pcode]],3,FALSE)</f>
        <v>0</v>
      </c>
      <c r="CA375" s="480" t="str">
        <f t="shared" si="23"/>
        <v>Covered</v>
      </c>
      <c r="CB375" s="505"/>
    </row>
    <row r="376" spans="1:80">
      <c r="A376" s="774" t="s">
        <v>3199</v>
      </c>
      <c r="B376" s="774" t="s">
        <v>308</v>
      </c>
      <c r="C376" s="415"/>
      <c r="D376" s="415" t="s">
        <v>327</v>
      </c>
      <c r="E376" s="415" t="s">
        <v>3274</v>
      </c>
      <c r="F376" s="415" t="s">
        <v>3275</v>
      </c>
      <c r="G376" s="644" t="str">
        <f>VLOOKUP(WWWW[[#This Row],[Village  Name]],SiteDB6[[Site Name]:[Location Type]],8,FALSE)</f>
        <v>Village</v>
      </c>
      <c r="H376" s="415" t="s">
        <v>3279</v>
      </c>
      <c r="I376" s="773">
        <v>49</v>
      </c>
      <c r="J376" s="773">
        <v>224</v>
      </c>
      <c r="K376" s="418">
        <v>43300</v>
      </c>
      <c r="L376" s="55">
        <v>44377</v>
      </c>
      <c r="M376" s="773">
        <v>0</v>
      </c>
      <c r="N376" s="773">
        <v>0</v>
      </c>
      <c r="O376" s="773">
        <v>7</v>
      </c>
      <c r="P376" s="773">
        <v>0</v>
      </c>
      <c r="Q376" s="773">
        <v>0</v>
      </c>
      <c r="R376" s="773">
        <v>0</v>
      </c>
      <c r="S376" s="773">
        <v>0</v>
      </c>
      <c r="T376" s="773">
        <v>0</v>
      </c>
      <c r="U376" s="551"/>
      <c r="V376" s="773">
        <v>31</v>
      </c>
      <c r="W376" s="773" t="s">
        <v>130</v>
      </c>
      <c r="X376" s="773">
        <v>0</v>
      </c>
      <c r="Y376" s="773">
        <v>0</v>
      </c>
      <c r="Z376" s="773">
        <v>0</v>
      </c>
      <c r="AA376" s="773">
        <v>0</v>
      </c>
      <c r="AB376" s="773">
        <v>0</v>
      </c>
      <c r="AC376" s="551"/>
      <c r="AD376" s="773">
        <v>0</v>
      </c>
      <c r="AE376" s="773">
        <v>0</v>
      </c>
      <c r="AF376" s="773">
        <v>0</v>
      </c>
      <c r="AG376" s="773">
        <v>0</v>
      </c>
      <c r="AH376" s="773">
        <v>0</v>
      </c>
      <c r="AI376" s="773">
        <v>0</v>
      </c>
      <c r="AJ376" s="773">
        <v>0</v>
      </c>
      <c r="AK376" s="773">
        <v>0</v>
      </c>
      <c r="AL376" s="773">
        <v>0</v>
      </c>
      <c r="AM376" s="773">
        <v>0</v>
      </c>
      <c r="AN376" s="551"/>
      <c r="AO376" s="769">
        <v>0</v>
      </c>
      <c r="AP376" s="769">
        <v>0</v>
      </c>
      <c r="AQ376" s="773">
        <v>0</v>
      </c>
      <c r="AR376" s="773">
        <v>0</v>
      </c>
      <c r="AS376" s="773">
        <v>0</v>
      </c>
      <c r="AT376"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76" s="772">
        <f>WWWW[[#This Row],[%Equitable and continuous access to sufficient quantity of safe drinking water]]*WWWW[[#This Row],[Total PoP ]]</f>
        <v>224</v>
      </c>
      <c r="AV376"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76" s="772">
        <f>WWWW[[#This Row],[% Access to unimproved water points]]*WWWW[[#This Row],[Total PoP ]]</f>
        <v>0</v>
      </c>
      <c r="AX376"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76"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224</v>
      </c>
      <c r="AZ376" s="772">
        <f>WWWW[[#This Row],[HRP1]]/250</f>
        <v>0.89600000000000002</v>
      </c>
      <c r="BA376" s="476">
        <f>1-WWWW[[#This Row],[% Equitable and continuous access to sufficient quantity of domestic water]]</f>
        <v>0</v>
      </c>
      <c r="BB376" s="772">
        <f>WWWW[[#This Row],[%equitable and continuous access to sufficient quantity of safe drinking and domestic water''s GAP]]*WWWW[[#This Row],[Total PoP ]]</f>
        <v>0</v>
      </c>
      <c r="BC376" s="770">
        <f>IF(WWWW[[#This Row],[Total required water points]]-WWWW[[#This Row],['#Water points coverage]]&lt;0,0,WWWW[[#This Row],[Total required water points]]-WWWW[[#This Row],['#Water points coverage]])</f>
        <v>0.10399999999999998</v>
      </c>
      <c r="BD376" s="770">
        <f>ROUND(IF(WWWW[[#This Row],[Total PoP ]]&lt;250,1,WWWW[[#This Row],[Total PoP ]]/250),0)</f>
        <v>1</v>
      </c>
      <c r="BE37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0.8303571428571429</v>
      </c>
      <c r="BF376" s="772">
        <f>WWWW[[#This Row],[% people access to functioning Latrine]]*WWWW[[#This Row],[Total PoP ]]</f>
        <v>186</v>
      </c>
      <c r="BG376" s="770">
        <f>WWWW[[#This Row],['#_of_Functioning_latrines_in_school]]*50</f>
        <v>0</v>
      </c>
      <c r="BH376" s="770">
        <f>ROUND((WWWW[[#This Row],[Total PoP ]]/6),0)</f>
        <v>37</v>
      </c>
      <c r="BI376" s="770">
        <f>IF(WWWW[[#This Row],[Total required Latrines]]-(WWWW[[#This Row],['#_of_sanitary_fly-proof_HH_latrines]])&lt;0,0,WWWW[[#This Row],[Total required Latrines]]-(WWWW[[#This Row],['#_of_sanitary_fly-proof_HH_latrines]]))</f>
        <v>6</v>
      </c>
      <c r="BJ376" s="771">
        <f>1-WWWW[[#This Row],[% people access to functioning Latrine]]</f>
        <v>0.1696428571428571</v>
      </c>
      <c r="BK376"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76" s="772">
        <f>IF(WWWW[[#This Row],['#_of_functional_handwashing_facilities_at_HH_level]]*6&gt;WWWW[[#This Row],[Total PoP ]],WWWW[[#This Row],[Total PoP ]],WWWW[[#This Row],['#_of_functional_handwashing_facilities_at_HH_level]]*6)</f>
        <v>0</v>
      </c>
      <c r="BM376" s="770">
        <f>IF(WWWW[[#This Row],['# people reached by regular dedicated hygiene promotion]]&gt;WWWW[[#This Row],['# People received regular supply of hygiene items]],WWWW[[#This Row],['# people reached by regular dedicated hygiene promotion]],WWWW[[#This Row],['# People received regular supply of hygiene items]])</f>
        <v>0</v>
      </c>
      <c r="BN376" s="476">
        <f>IF(WWWW[[#This Row],[HRP3]]/WWWW[[#This Row],[Total PoP ]]&gt;100%,100%,WWWW[[#This Row],[HRP3]]/WWWW[[#This Row],[Total PoP ]])</f>
        <v>0</v>
      </c>
      <c r="BO376" s="771">
        <f>1-WWWW[[#This Row],[Hygiene Coverage%]]</f>
        <v>1</v>
      </c>
      <c r="BP376" s="769">
        <f>WWWW[[#This Row],['# people reached by regular dedicated hygiene promotion]]/WWWW[[#This Row],[Total PoP ]]</f>
        <v>0</v>
      </c>
      <c r="BQ37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76" s="770">
        <f>WWWW[[#This Row],['#_of_affected_women_and_girls_receiving_a_sufficient_quantity_of_sanitary_pads]]</f>
        <v>0</v>
      </c>
      <c r="BS376" s="773">
        <f>IF(WWWW[[#This Row],['# People with access to soap]]&gt;WWWW[[#This Row],['# People with access to Sanity Pads]],WWWW[[#This Row],['# People with access to soap]],WWWW[[#This Row],['# People with access to Sanity Pads]])</f>
        <v>0</v>
      </c>
      <c r="BT376" s="772" t="str">
        <f>IF(OR(WWWW[[#This Row],['#of students in school]]="",WWWW[[#This Row],['#of students in school]]=0),"No","Yes")</f>
        <v>No</v>
      </c>
      <c r="BU376" s="480" t="str">
        <f>VLOOKUP(WWWW[[#This Row],[Village  Name]],SiteDB6[[Site Name]:[Location Type 1]],9,FALSE)</f>
        <v>Village</v>
      </c>
      <c r="BV376" s="480" t="str">
        <f>VLOOKUP(WWWW[[#This Row],[Village  Name]],SiteDB6[[Site Name]:[Type of Accommodation]],10,FALSE)</f>
        <v>Village</v>
      </c>
      <c r="BW376" s="480">
        <f>VLOOKUP(WWWW[[#This Row],[Village  Name]],SiteDB6[[Site Name]:[Ethnic or GCA/NGCA]],11,FALSE)</f>
        <v>0</v>
      </c>
      <c r="BX376" s="480">
        <f>VLOOKUP(WWWW[[#This Row],[Village  Name]],SiteDB6[[Site Name]:[Lat]],12,FALSE)</f>
        <v>0</v>
      </c>
      <c r="BY376" s="480">
        <f>VLOOKUP(WWWW[[#This Row],[Village  Name]],SiteDB6[[Site Name]:[Long]],13,FALSE)</f>
        <v>0</v>
      </c>
      <c r="BZ376" s="480">
        <f>VLOOKUP(WWWW[[#This Row],[Village  Name]],SiteDB6[[Site Name]:[Pcode]],3,FALSE)</f>
        <v>0</v>
      </c>
      <c r="CA376" s="480" t="str">
        <f t="shared" si="23"/>
        <v>Covered</v>
      </c>
      <c r="CB376" s="505"/>
    </row>
    <row r="377" spans="1:80">
      <c r="A377" s="774" t="s">
        <v>3199</v>
      </c>
      <c r="B377" s="774" t="s">
        <v>308</v>
      </c>
      <c r="C377" s="415"/>
      <c r="D377" s="415" t="s">
        <v>327</v>
      </c>
      <c r="E377" s="415" t="s">
        <v>3274</v>
      </c>
      <c r="F377" s="415" t="s">
        <v>3275</v>
      </c>
      <c r="G377" s="644" t="str">
        <f>VLOOKUP(WWWW[[#This Row],[Village  Name]],SiteDB6[[Site Name]:[Location Type]],8,FALSE)</f>
        <v>Village</v>
      </c>
      <c r="H377" s="415" t="s">
        <v>3280</v>
      </c>
      <c r="I377" s="773">
        <v>49</v>
      </c>
      <c r="J377" s="773">
        <v>221</v>
      </c>
      <c r="K377" s="418">
        <v>43300</v>
      </c>
      <c r="L377" s="55">
        <v>44377</v>
      </c>
      <c r="M377" s="773">
        <v>0</v>
      </c>
      <c r="N377" s="773">
        <v>0</v>
      </c>
      <c r="O377" s="773">
        <v>16</v>
      </c>
      <c r="P377" s="773">
        <v>0</v>
      </c>
      <c r="Q377" s="773">
        <v>0</v>
      </c>
      <c r="R377" s="773">
        <v>0</v>
      </c>
      <c r="S377" s="773">
        <v>0</v>
      </c>
      <c r="T377" s="773">
        <v>0</v>
      </c>
      <c r="U377" s="551"/>
      <c r="V377" s="773">
        <v>17</v>
      </c>
      <c r="W377" s="773" t="s">
        <v>130</v>
      </c>
      <c r="X377" s="773">
        <v>0</v>
      </c>
      <c r="Y377" s="773">
        <v>0</v>
      </c>
      <c r="Z377" s="773">
        <v>0</v>
      </c>
      <c r="AA377" s="773">
        <v>0</v>
      </c>
      <c r="AB377" s="773">
        <v>0</v>
      </c>
      <c r="AC377" s="551"/>
      <c r="AD377" s="773">
        <v>0</v>
      </c>
      <c r="AE377" s="773">
        <v>0</v>
      </c>
      <c r="AF377" s="773">
        <v>0</v>
      </c>
      <c r="AG377" s="773">
        <v>0</v>
      </c>
      <c r="AH377" s="773">
        <v>0</v>
      </c>
      <c r="AI377" s="773">
        <v>0</v>
      </c>
      <c r="AJ377" s="773">
        <v>0</v>
      </c>
      <c r="AK377" s="773">
        <v>0</v>
      </c>
      <c r="AL377" s="773">
        <v>0</v>
      </c>
      <c r="AM377" s="773">
        <v>0</v>
      </c>
      <c r="AN377" s="551"/>
      <c r="AO377" s="769">
        <v>0</v>
      </c>
      <c r="AP377" s="769">
        <v>0</v>
      </c>
      <c r="AQ377" s="773">
        <v>0</v>
      </c>
      <c r="AR377" s="773">
        <v>0</v>
      </c>
      <c r="AS377" s="773">
        <v>0</v>
      </c>
      <c r="AT377"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77" s="772">
        <f>WWWW[[#This Row],[%Equitable and continuous access to sufficient quantity of safe drinking water]]*WWWW[[#This Row],[Total PoP ]]</f>
        <v>221</v>
      </c>
      <c r="AV377"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77" s="772">
        <f>WWWW[[#This Row],[% Access to unimproved water points]]*WWWW[[#This Row],[Total PoP ]]</f>
        <v>0</v>
      </c>
      <c r="AX377"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77"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221</v>
      </c>
      <c r="AZ377" s="772">
        <f>WWWW[[#This Row],[HRP1]]/250</f>
        <v>0.88400000000000001</v>
      </c>
      <c r="BA377" s="476">
        <f>1-WWWW[[#This Row],[% Equitable and continuous access to sufficient quantity of domestic water]]</f>
        <v>0</v>
      </c>
      <c r="BB377" s="772">
        <f>WWWW[[#This Row],[%equitable and continuous access to sufficient quantity of safe drinking and domestic water''s GAP]]*WWWW[[#This Row],[Total PoP ]]</f>
        <v>0</v>
      </c>
      <c r="BC377" s="770">
        <f>IF(WWWW[[#This Row],[Total required water points]]-WWWW[[#This Row],['#Water points coverage]]&lt;0,0,WWWW[[#This Row],[Total required water points]]-WWWW[[#This Row],['#Water points coverage]])</f>
        <v>0.11599999999999999</v>
      </c>
      <c r="BD377" s="770">
        <f>ROUND(IF(WWWW[[#This Row],[Total PoP ]]&lt;250,1,WWWW[[#This Row],[Total PoP ]]/250),0)</f>
        <v>1</v>
      </c>
      <c r="BE37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0.46153846153846156</v>
      </c>
      <c r="BF377" s="772">
        <f>WWWW[[#This Row],[% people access to functioning Latrine]]*WWWW[[#This Row],[Total PoP ]]</f>
        <v>102</v>
      </c>
      <c r="BG377" s="770">
        <f>WWWW[[#This Row],['#_of_Functioning_latrines_in_school]]*50</f>
        <v>0</v>
      </c>
      <c r="BH377" s="770">
        <f>ROUND((WWWW[[#This Row],[Total PoP ]]/6),0)</f>
        <v>37</v>
      </c>
      <c r="BI377" s="770">
        <f>IF(WWWW[[#This Row],[Total required Latrines]]-(WWWW[[#This Row],['#_of_sanitary_fly-proof_HH_latrines]])&lt;0,0,WWWW[[#This Row],[Total required Latrines]]-(WWWW[[#This Row],['#_of_sanitary_fly-proof_HH_latrines]]))</f>
        <v>20</v>
      </c>
      <c r="BJ377" s="771">
        <f>1-WWWW[[#This Row],[% people access to functioning Latrine]]</f>
        <v>0.53846153846153844</v>
      </c>
      <c r="BK377"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77" s="772">
        <f>IF(WWWW[[#This Row],['#_of_functional_handwashing_facilities_at_HH_level]]*6&gt;WWWW[[#This Row],[Total PoP ]],WWWW[[#This Row],[Total PoP ]],WWWW[[#This Row],['#_of_functional_handwashing_facilities_at_HH_level]]*6)</f>
        <v>0</v>
      </c>
      <c r="BM377" s="770">
        <f>IF(WWWW[[#This Row],['# people reached by regular dedicated hygiene promotion]]&gt;WWWW[[#This Row],['# People received regular supply of hygiene items]],WWWW[[#This Row],['# people reached by regular dedicated hygiene promotion]],WWWW[[#This Row],['# People received regular supply of hygiene items]])</f>
        <v>0</v>
      </c>
      <c r="BN377" s="476">
        <f>IF(WWWW[[#This Row],[HRP3]]/WWWW[[#This Row],[Total PoP ]]&gt;100%,100%,WWWW[[#This Row],[HRP3]]/WWWW[[#This Row],[Total PoP ]])</f>
        <v>0</v>
      </c>
      <c r="BO377" s="771">
        <f>1-WWWW[[#This Row],[Hygiene Coverage%]]</f>
        <v>1</v>
      </c>
      <c r="BP377" s="769">
        <f>WWWW[[#This Row],['# people reached by regular dedicated hygiene promotion]]/WWWW[[#This Row],[Total PoP ]]</f>
        <v>0</v>
      </c>
      <c r="BQ37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77" s="770">
        <f>WWWW[[#This Row],['#_of_affected_women_and_girls_receiving_a_sufficient_quantity_of_sanitary_pads]]</f>
        <v>0</v>
      </c>
      <c r="BS377" s="773">
        <f>IF(WWWW[[#This Row],['# People with access to soap]]&gt;WWWW[[#This Row],['# People with access to Sanity Pads]],WWWW[[#This Row],['# People with access to soap]],WWWW[[#This Row],['# People with access to Sanity Pads]])</f>
        <v>0</v>
      </c>
      <c r="BT377" s="772" t="str">
        <f>IF(OR(WWWW[[#This Row],['#of students in school]]="",WWWW[[#This Row],['#of students in school]]=0),"No","Yes")</f>
        <v>No</v>
      </c>
      <c r="BU377" s="480" t="str">
        <f>VLOOKUP(WWWW[[#This Row],[Village  Name]],SiteDB6[[Site Name]:[Location Type 1]],9,FALSE)</f>
        <v>Village</v>
      </c>
      <c r="BV377" s="480" t="str">
        <f>VLOOKUP(WWWW[[#This Row],[Village  Name]],SiteDB6[[Site Name]:[Type of Accommodation]],10,FALSE)</f>
        <v>Village</v>
      </c>
      <c r="BW377" s="480">
        <f>VLOOKUP(WWWW[[#This Row],[Village  Name]],SiteDB6[[Site Name]:[Ethnic or GCA/NGCA]],11,FALSE)</f>
        <v>0</v>
      </c>
      <c r="BX377" s="480">
        <f>VLOOKUP(WWWW[[#This Row],[Village  Name]],SiteDB6[[Site Name]:[Lat]],12,FALSE)</f>
        <v>0</v>
      </c>
      <c r="BY377" s="480">
        <f>VLOOKUP(WWWW[[#This Row],[Village  Name]],SiteDB6[[Site Name]:[Long]],13,FALSE)</f>
        <v>0</v>
      </c>
      <c r="BZ377" s="480">
        <f>VLOOKUP(WWWW[[#This Row],[Village  Name]],SiteDB6[[Site Name]:[Pcode]],3,FALSE)</f>
        <v>0</v>
      </c>
      <c r="CA377" s="480" t="str">
        <f t="shared" si="23"/>
        <v>Covered</v>
      </c>
      <c r="CB377" s="505"/>
    </row>
    <row r="378" spans="1:80">
      <c r="A378" s="774" t="s">
        <v>3199</v>
      </c>
      <c r="B378" s="774" t="s">
        <v>308</v>
      </c>
      <c r="C378" s="415"/>
      <c r="D378" s="415" t="s">
        <v>327</v>
      </c>
      <c r="E378" s="415" t="s">
        <v>3274</v>
      </c>
      <c r="F378" s="415" t="s">
        <v>3275</v>
      </c>
      <c r="G378" s="644" t="str">
        <f>VLOOKUP(WWWW[[#This Row],[Village  Name]],SiteDB6[[Site Name]:[Location Type]],8,FALSE)</f>
        <v>Village</v>
      </c>
      <c r="H378" s="415" t="s">
        <v>3281</v>
      </c>
      <c r="I378" s="773">
        <v>65</v>
      </c>
      <c r="J378" s="773">
        <v>449</v>
      </c>
      <c r="K378" s="418">
        <v>43300</v>
      </c>
      <c r="L378" s="55">
        <v>44377</v>
      </c>
      <c r="M378" s="773">
        <v>0</v>
      </c>
      <c r="N378" s="773">
        <v>0</v>
      </c>
      <c r="O378" s="773"/>
      <c r="P378" s="773">
        <v>0</v>
      </c>
      <c r="Q378" s="773">
        <v>0</v>
      </c>
      <c r="R378" s="773">
        <v>0</v>
      </c>
      <c r="S378" s="773">
        <v>0</v>
      </c>
      <c r="T378" s="773">
        <v>0</v>
      </c>
      <c r="U378" s="551"/>
      <c r="V378" s="773">
        <v>35</v>
      </c>
      <c r="W378" s="773" t="s">
        <v>130</v>
      </c>
      <c r="X378" s="773">
        <v>1</v>
      </c>
      <c r="Y378" s="773">
        <v>0</v>
      </c>
      <c r="Z378" s="773">
        <v>0</v>
      </c>
      <c r="AA378" s="773">
        <v>0</v>
      </c>
      <c r="AB378" s="773">
        <v>0</v>
      </c>
      <c r="AC378" s="551"/>
      <c r="AD378" s="773">
        <v>0</v>
      </c>
      <c r="AE378" s="773">
        <v>0</v>
      </c>
      <c r="AF378" s="773">
        <v>0</v>
      </c>
      <c r="AG378" s="773">
        <v>0</v>
      </c>
      <c r="AH378" s="773">
        <v>0</v>
      </c>
      <c r="AI378" s="773">
        <v>0</v>
      </c>
      <c r="AJ378" s="773">
        <v>0</v>
      </c>
      <c r="AK378" s="773">
        <v>0</v>
      </c>
      <c r="AL378" s="773">
        <v>0</v>
      </c>
      <c r="AM378" s="773">
        <v>0</v>
      </c>
      <c r="AN378" s="551"/>
      <c r="AO378" s="769">
        <v>0</v>
      </c>
      <c r="AP378" s="769">
        <v>0</v>
      </c>
      <c r="AQ378" s="773">
        <v>0</v>
      </c>
      <c r="AR378" s="773">
        <v>0</v>
      </c>
      <c r="AS378" s="773">
        <v>0</v>
      </c>
      <c r="AT378"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78" s="772">
        <f>WWWW[[#This Row],[%Equitable and continuous access to sufficient quantity of safe drinking water]]*WWWW[[#This Row],[Total PoP ]]</f>
        <v>0</v>
      </c>
      <c r="AV378"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78" s="772">
        <f>WWWW[[#This Row],[% Access to unimproved water points]]*WWWW[[#This Row],[Total PoP ]]</f>
        <v>0</v>
      </c>
      <c r="AX378"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78"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78" s="772">
        <f>WWWW[[#This Row],[HRP1]]/250</f>
        <v>0</v>
      </c>
      <c r="BA378" s="476">
        <f>1-WWWW[[#This Row],[% Equitable and continuous access to sufficient quantity of domestic water]]</f>
        <v>1</v>
      </c>
      <c r="BB378" s="772">
        <f>WWWW[[#This Row],[%equitable and continuous access to sufficient quantity of safe drinking and domestic water''s GAP]]*WWWW[[#This Row],[Total PoP ]]</f>
        <v>449</v>
      </c>
      <c r="BC378" s="770">
        <f>IF(WWWW[[#This Row],[Total required water points]]-WWWW[[#This Row],['#Water points coverage]]&lt;0,0,WWWW[[#This Row],[Total required water points]]-WWWW[[#This Row],['#Water points coverage]])</f>
        <v>2</v>
      </c>
      <c r="BD378" s="770">
        <f>ROUND(IF(WWWW[[#This Row],[Total PoP ]]&lt;250,1,WWWW[[#This Row],[Total PoP ]]/250),0)</f>
        <v>2</v>
      </c>
      <c r="BE37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0.46770601336302897</v>
      </c>
      <c r="BF378" s="772">
        <f>WWWW[[#This Row],[% people access to functioning Latrine]]*WWWW[[#This Row],[Total PoP ]]</f>
        <v>210</v>
      </c>
      <c r="BG378" s="770">
        <f>WWWW[[#This Row],['#_of_Functioning_latrines_in_school]]*50</f>
        <v>50</v>
      </c>
      <c r="BH378" s="770">
        <f>ROUND((WWWW[[#This Row],[Total PoP ]]/6),0)</f>
        <v>75</v>
      </c>
      <c r="BI378" s="770">
        <f>IF(WWWW[[#This Row],[Total required Latrines]]-(WWWW[[#This Row],['#_of_sanitary_fly-proof_HH_latrines]])&lt;0,0,WWWW[[#This Row],[Total required Latrines]]-(WWWW[[#This Row],['#_of_sanitary_fly-proof_HH_latrines]]))</f>
        <v>40</v>
      </c>
      <c r="BJ378" s="771">
        <f>1-WWWW[[#This Row],[% people access to functioning Latrine]]</f>
        <v>0.53229398663697103</v>
      </c>
      <c r="BK378"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78" s="772">
        <f>IF(WWWW[[#This Row],['#_of_functional_handwashing_facilities_at_HH_level]]*6&gt;WWWW[[#This Row],[Total PoP ]],WWWW[[#This Row],[Total PoP ]],WWWW[[#This Row],['#_of_functional_handwashing_facilities_at_HH_level]]*6)</f>
        <v>0</v>
      </c>
      <c r="BM378" s="770">
        <f>IF(WWWW[[#This Row],['# people reached by regular dedicated hygiene promotion]]&gt;WWWW[[#This Row],['# People received regular supply of hygiene items]],WWWW[[#This Row],['# people reached by regular dedicated hygiene promotion]],WWWW[[#This Row],['# People received regular supply of hygiene items]])</f>
        <v>0</v>
      </c>
      <c r="BN378" s="476">
        <f>IF(WWWW[[#This Row],[HRP3]]/WWWW[[#This Row],[Total PoP ]]&gt;100%,100%,WWWW[[#This Row],[HRP3]]/WWWW[[#This Row],[Total PoP ]])</f>
        <v>0</v>
      </c>
      <c r="BO378" s="771">
        <f>1-WWWW[[#This Row],[Hygiene Coverage%]]</f>
        <v>1</v>
      </c>
      <c r="BP378" s="769">
        <f>WWWW[[#This Row],['# people reached by regular dedicated hygiene promotion]]/WWWW[[#This Row],[Total PoP ]]</f>
        <v>0</v>
      </c>
      <c r="BQ37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78" s="770">
        <f>WWWW[[#This Row],['#_of_affected_women_and_girls_receiving_a_sufficient_quantity_of_sanitary_pads]]</f>
        <v>0</v>
      </c>
      <c r="BS378" s="773">
        <f>IF(WWWW[[#This Row],['# People with access to soap]]&gt;WWWW[[#This Row],['# People with access to Sanity Pads]],WWWW[[#This Row],['# People with access to soap]],WWWW[[#This Row],['# People with access to Sanity Pads]])</f>
        <v>0</v>
      </c>
      <c r="BT378" s="772" t="str">
        <f>IF(OR(WWWW[[#This Row],['#of students in school]]="",WWWW[[#This Row],['#of students in school]]=0),"No","Yes")</f>
        <v>No</v>
      </c>
      <c r="BU378" s="480" t="str">
        <f>VLOOKUP(WWWW[[#This Row],[Village  Name]],SiteDB6[[Site Name]:[Location Type 1]],9,FALSE)</f>
        <v>Village</v>
      </c>
      <c r="BV378" s="480" t="str">
        <f>VLOOKUP(WWWW[[#This Row],[Village  Name]],SiteDB6[[Site Name]:[Type of Accommodation]],10,FALSE)</f>
        <v>Village</v>
      </c>
      <c r="BW378" s="480">
        <f>VLOOKUP(WWWW[[#This Row],[Village  Name]],SiteDB6[[Site Name]:[Ethnic or GCA/NGCA]],11,FALSE)</f>
        <v>0</v>
      </c>
      <c r="BX378" s="480">
        <f>VLOOKUP(WWWW[[#This Row],[Village  Name]],SiteDB6[[Site Name]:[Lat]],12,FALSE)</f>
        <v>0</v>
      </c>
      <c r="BY378" s="480">
        <f>VLOOKUP(WWWW[[#This Row],[Village  Name]],SiteDB6[[Site Name]:[Long]],13,FALSE)</f>
        <v>0</v>
      </c>
      <c r="BZ378" s="480">
        <f>VLOOKUP(WWWW[[#This Row],[Village  Name]],SiteDB6[[Site Name]:[Pcode]],3,FALSE)</f>
        <v>0</v>
      </c>
      <c r="CA378" s="480" t="str">
        <f t="shared" si="23"/>
        <v>Covered</v>
      </c>
      <c r="CB378" s="505"/>
    </row>
    <row r="379" spans="1:80">
      <c r="A379" s="774" t="s">
        <v>3199</v>
      </c>
      <c r="B379" s="774" t="s">
        <v>308</v>
      </c>
      <c r="C379" s="415"/>
      <c r="D379" s="415" t="s">
        <v>327</v>
      </c>
      <c r="E379" s="415" t="s">
        <v>3274</v>
      </c>
      <c r="F379" s="415" t="s">
        <v>3275</v>
      </c>
      <c r="G379" s="644" t="str">
        <f>VLOOKUP(WWWW[[#This Row],[Village  Name]],SiteDB6[[Site Name]:[Location Type]],8,FALSE)</f>
        <v>Village</v>
      </c>
      <c r="H379" s="415" t="s">
        <v>3282</v>
      </c>
      <c r="I379" s="773">
        <v>80</v>
      </c>
      <c r="J379" s="773">
        <v>555</v>
      </c>
      <c r="K379" s="418">
        <v>43300</v>
      </c>
      <c r="L379" s="55">
        <v>44377</v>
      </c>
      <c r="M379" s="773">
        <v>0</v>
      </c>
      <c r="N379" s="773">
        <v>0</v>
      </c>
      <c r="O379" s="773">
        <v>6</v>
      </c>
      <c r="P379" s="773">
        <v>0</v>
      </c>
      <c r="Q379" s="773">
        <v>0</v>
      </c>
      <c r="R379" s="773">
        <v>0</v>
      </c>
      <c r="S379" s="773">
        <v>0</v>
      </c>
      <c r="T379" s="773">
        <v>1</v>
      </c>
      <c r="U379" s="551"/>
      <c r="V379" s="773">
        <v>43</v>
      </c>
      <c r="W379" s="773" t="s">
        <v>130</v>
      </c>
      <c r="X379" s="773">
        <v>1</v>
      </c>
      <c r="Y379" s="773">
        <v>0</v>
      </c>
      <c r="Z379" s="773">
        <v>0</v>
      </c>
      <c r="AA379" s="773">
        <v>0</v>
      </c>
      <c r="AB379" s="773">
        <v>0</v>
      </c>
      <c r="AC379" s="551"/>
      <c r="AD379" s="773">
        <v>0</v>
      </c>
      <c r="AE379" s="773">
        <v>0</v>
      </c>
      <c r="AF379" s="773">
        <v>0</v>
      </c>
      <c r="AG379" s="773">
        <v>0</v>
      </c>
      <c r="AH379" s="773">
        <v>0</v>
      </c>
      <c r="AI379" s="773">
        <v>0</v>
      </c>
      <c r="AJ379" s="773">
        <v>0</v>
      </c>
      <c r="AK379" s="773">
        <v>0</v>
      </c>
      <c r="AL379" s="773">
        <v>0</v>
      </c>
      <c r="AM379" s="773">
        <v>0</v>
      </c>
      <c r="AN379" s="551"/>
      <c r="AO379" s="769">
        <v>0</v>
      </c>
      <c r="AP379" s="769">
        <v>0</v>
      </c>
      <c r="AQ379" s="773">
        <v>0</v>
      </c>
      <c r="AR379" s="773">
        <v>0</v>
      </c>
      <c r="AS379" s="773">
        <v>0</v>
      </c>
      <c r="AT379"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79" s="772">
        <f>WWWW[[#This Row],[%Equitable and continuous access to sufficient quantity of safe drinking water]]*WWWW[[#This Row],[Total PoP ]]</f>
        <v>555</v>
      </c>
      <c r="AV379"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79" s="772">
        <f>WWWW[[#This Row],[% Access to unimproved water points]]*WWWW[[#This Row],[Total PoP ]]</f>
        <v>0</v>
      </c>
      <c r="AX379"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79"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555</v>
      </c>
      <c r="AZ379" s="772">
        <f>WWWW[[#This Row],[HRP1]]/250</f>
        <v>2.2200000000000002</v>
      </c>
      <c r="BA379" s="476">
        <f>1-WWWW[[#This Row],[% Equitable and continuous access to sufficient quantity of domestic water]]</f>
        <v>0</v>
      </c>
      <c r="BB379" s="772">
        <f>WWWW[[#This Row],[%equitable and continuous access to sufficient quantity of safe drinking and domestic water''s GAP]]*WWWW[[#This Row],[Total PoP ]]</f>
        <v>0</v>
      </c>
      <c r="BC379" s="770">
        <f>IF(WWWW[[#This Row],[Total required water points]]-WWWW[[#This Row],['#Water points coverage]]&lt;0,0,WWWW[[#This Row],[Total required water points]]-WWWW[[#This Row],['#Water points coverage]])</f>
        <v>0</v>
      </c>
      <c r="BD379" s="770">
        <f>ROUND(IF(WWWW[[#This Row],[Total PoP ]]&lt;250,1,WWWW[[#This Row],[Total PoP ]]/250),0)</f>
        <v>2</v>
      </c>
      <c r="BE37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0.46486486486486489</v>
      </c>
      <c r="BF379" s="772">
        <f>WWWW[[#This Row],[% people access to functioning Latrine]]*WWWW[[#This Row],[Total PoP ]]</f>
        <v>258</v>
      </c>
      <c r="BG379" s="770">
        <f>WWWW[[#This Row],['#_of_Functioning_latrines_in_school]]*50</f>
        <v>50</v>
      </c>
      <c r="BH379" s="770">
        <f>ROUND((WWWW[[#This Row],[Total PoP ]]/6),0)</f>
        <v>93</v>
      </c>
      <c r="BI379" s="770">
        <f>IF(WWWW[[#This Row],[Total required Latrines]]-(WWWW[[#This Row],['#_of_sanitary_fly-proof_HH_latrines]])&lt;0,0,WWWW[[#This Row],[Total required Latrines]]-(WWWW[[#This Row],['#_of_sanitary_fly-proof_HH_latrines]]))</f>
        <v>50</v>
      </c>
      <c r="BJ379" s="771">
        <f>1-WWWW[[#This Row],[% people access to functioning Latrine]]</f>
        <v>0.53513513513513511</v>
      </c>
      <c r="BK379"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79" s="772">
        <f>IF(WWWW[[#This Row],['#_of_functional_handwashing_facilities_at_HH_level]]*6&gt;WWWW[[#This Row],[Total PoP ]],WWWW[[#This Row],[Total PoP ]],WWWW[[#This Row],['#_of_functional_handwashing_facilities_at_HH_level]]*6)</f>
        <v>0</v>
      </c>
      <c r="BM379" s="770">
        <f>IF(WWWW[[#This Row],['# people reached by regular dedicated hygiene promotion]]&gt;WWWW[[#This Row],['# People received regular supply of hygiene items]],WWWW[[#This Row],['# people reached by regular dedicated hygiene promotion]],WWWW[[#This Row],['# People received regular supply of hygiene items]])</f>
        <v>0</v>
      </c>
      <c r="BN379" s="476">
        <f>IF(WWWW[[#This Row],[HRP3]]/WWWW[[#This Row],[Total PoP ]]&gt;100%,100%,WWWW[[#This Row],[HRP3]]/WWWW[[#This Row],[Total PoP ]])</f>
        <v>0</v>
      </c>
      <c r="BO379" s="771">
        <f>1-WWWW[[#This Row],[Hygiene Coverage%]]</f>
        <v>1</v>
      </c>
      <c r="BP379" s="769">
        <f>WWWW[[#This Row],['# people reached by regular dedicated hygiene promotion]]/WWWW[[#This Row],[Total PoP ]]</f>
        <v>0</v>
      </c>
      <c r="BQ37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79" s="770">
        <f>WWWW[[#This Row],['#_of_affected_women_and_girls_receiving_a_sufficient_quantity_of_sanitary_pads]]</f>
        <v>0</v>
      </c>
      <c r="BS379" s="773">
        <f>IF(WWWW[[#This Row],['# People with access to soap]]&gt;WWWW[[#This Row],['# People with access to Sanity Pads]],WWWW[[#This Row],['# People with access to soap]],WWWW[[#This Row],['# People with access to Sanity Pads]])</f>
        <v>0</v>
      </c>
      <c r="BT379" s="772" t="str">
        <f>IF(OR(WWWW[[#This Row],['#of students in school]]="",WWWW[[#This Row],['#of students in school]]=0),"No","Yes")</f>
        <v>No</v>
      </c>
      <c r="BU379" s="480" t="str">
        <f>VLOOKUP(WWWW[[#This Row],[Village  Name]],SiteDB6[[Site Name]:[Location Type 1]],9,FALSE)</f>
        <v>Village</v>
      </c>
      <c r="BV379" s="480" t="str">
        <f>VLOOKUP(WWWW[[#This Row],[Village  Name]],SiteDB6[[Site Name]:[Type of Accommodation]],10,FALSE)</f>
        <v>Village</v>
      </c>
      <c r="BW379" s="480">
        <f>VLOOKUP(WWWW[[#This Row],[Village  Name]],SiteDB6[[Site Name]:[Ethnic or GCA/NGCA]],11,FALSE)</f>
        <v>0</v>
      </c>
      <c r="BX379" s="480">
        <f>VLOOKUP(WWWW[[#This Row],[Village  Name]],SiteDB6[[Site Name]:[Lat]],12,FALSE)</f>
        <v>0</v>
      </c>
      <c r="BY379" s="480">
        <f>VLOOKUP(WWWW[[#This Row],[Village  Name]],SiteDB6[[Site Name]:[Long]],13,FALSE)</f>
        <v>0</v>
      </c>
      <c r="BZ379" s="480">
        <f>VLOOKUP(WWWW[[#This Row],[Village  Name]],SiteDB6[[Site Name]:[Pcode]],3,FALSE)</f>
        <v>0</v>
      </c>
      <c r="CA379" s="480" t="str">
        <f t="shared" si="23"/>
        <v>Covered</v>
      </c>
      <c r="CB379" s="505"/>
    </row>
    <row r="380" spans="1:80">
      <c r="A380" s="774" t="s">
        <v>3199</v>
      </c>
      <c r="B380" s="774" t="s">
        <v>308</v>
      </c>
      <c r="C380" s="415"/>
      <c r="D380" s="415" t="s">
        <v>327</v>
      </c>
      <c r="E380" s="415" t="s">
        <v>3274</v>
      </c>
      <c r="F380" s="415" t="s">
        <v>3275</v>
      </c>
      <c r="G380" s="644" t="str">
        <f>VLOOKUP(WWWW[[#This Row],[Village  Name]],SiteDB6[[Site Name]:[Location Type]],8,FALSE)</f>
        <v>Village</v>
      </c>
      <c r="H380" s="415" t="s">
        <v>3283</v>
      </c>
      <c r="I380" s="773">
        <v>66</v>
      </c>
      <c r="J380" s="773">
        <v>390</v>
      </c>
      <c r="K380" s="418">
        <v>43300</v>
      </c>
      <c r="L380" s="55">
        <v>44377</v>
      </c>
      <c r="M380" s="773">
        <v>0</v>
      </c>
      <c r="N380" s="773">
        <v>0</v>
      </c>
      <c r="O380" s="773">
        <v>1</v>
      </c>
      <c r="P380" s="773">
        <v>0</v>
      </c>
      <c r="Q380" s="773">
        <v>0</v>
      </c>
      <c r="R380" s="773">
        <v>0</v>
      </c>
      <c r="S380" s="773">
        <v>0</v>
      </c>
      <c r="T380" s="773">
        <v>0</v>
      </c>
      <c r="U380" s="551"/>
      <c r="V380" s="773">
        <v>42</v>
      </c>
      <c r="W380" s="773" t="s">
        <v>130</v>
      </c>
      <c r="X380" s="773">
        <v>1</v>
      </c>
      <c r="Y380" s="773">
        <v>0</v>
      </c>
      <c r="Z380" s="773">
        <v>0</v>
      </c>
      <c r="AA380" s="773">
        <v>0</v>
      </c>
      <c r="AB380" s="773">
        <v>0</v>
      </c>
      <c r="AC380" s="551"/>
      <c r="AD380" s="773">
        <v>0</v>
      </c>
      <c r="AE380" s="773">
        <v>0</v>
      </c>
      <c r="AF380" s="773">
        <v>0</v>
      </c>
      <c r="AG380" s="773">
        <v>0</v>
      </c>
      <c r="AH380" s="773">
        <v>0</v>
      </c>
      <c r="AI380" s="773">
        <v>0</v>
      </c>
      <c r="AJ380" s="773">
        <v>0</v>
      </c>
      <c r="AK380" s="773">
        <v>0</v>
      </c>
      <c r="AL380" s="773">
        <v>0</v>
      </c>
      <c r="AM380" s="773">
        <v>0</v>
      </c>
      <c r="AN380" s="551"/>
      <c r="AO380" s="769">
        <v>0</v>
      </c>
      <c r="AP380" s="769">
        <v>0</v>
      </c>
      <c r="AQ380" s="773">
        <v>0</v>
      </c>
      <c r="AR380" s="773">
        <v>0</v>
      </c>
      <c r="AS380" s="773">
        <v>0</v>
      </c>
      <c r="AT380"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80" s="772">
        <f>WWWW[[#This Row],[%Equitable and continuous access to sufficient quantity of safe drinking water]]*WWWW[[#This Row],[Total PoP ]]</f>
        <v>390</v>
      </c>
      <c r="AV380"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80" s="772">
        <f>WWWW[[#This Row],[% Access to unimproved water points]]*WWWW[[#This Row],[Total PoP ]]</f>
        <v>0</v>
      </c>
      <c r="AX380"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80"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390</v>
      </c>
      <c r="AZ380" s="772">
        <f>WWWW[[#This Row],[HRP1]]/250</f>
        <v>1.56</v>
      </c>
      <c r="BA380" s="476">
        <f>1-WWWW[[#This Row],[% Equitable and continuous access to sufficient quantity of domestic water]]</f>
        <v>0</v>
      </c>
      <c r="BB380" s="772">
        <f>WWWW[[#This Row],[%equitable and continuous access to sufficient quantity of safe drinking and domestic water''s GAP]]*WWWW[[#This Row],[Total PoP ]]</f>
        <v>0</v>
      </c>
      <c r="BC380" s="770">
        <f>IF(WWWW[[#This Row],[Total required water points]]-WWWW[[#This Row],['#Water points coverage]]&lt;0,0,WWWW[[#This Row],[Total required water points]]-WWWW[[#This Row],['#Water points coverage]])</f>
        <v>0.43999999999999995</v>
      </c>
      <c r="BD380" s="770">
        <f>ROUND(IF(WWWW[[#This Row],[Total PoP ]]&lt;250,1,WWWW[[#This Row],[Total PoP ]]/250),0)</f>
        <v>2</v>
      </c>
      <c r="BE38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0.64615384615384619</v>
      </c>
      <c r="BF380" s="772">
        <f>WWWW[[#This Row],[% people access to functioning Latrine]]*WWWW[[#This Row],[Total PoP ]]</f>
        <v>252</v>
      </c>
      <c r="BG380" s="770">
        <f>WWWW[[#This Row],['#_of_Functioning_latrines_in_school]]*50</f>
        <v>50</v>
      </c>
      <c r="BH380" s="770">
        <f>ROUND((WWWW[[#This Row],[Total PoP ]]/6),0)</f>
        <v>65</v>
      </c>
      <c r="BI380" s="770">
        <f>IF(WWWW[[#This Row],[Total required Latrines]]-(WWWW[[#This Row],['#_of_sanitary_fly-proof_HH_latrines]])&lt;0,0,WWWW[[#This Row],[Total required Latrines]]-(WWWW[[#This Row],['#_of_sanitary_fly-proof_HH_latrines]]))</f>
        <v>23</v>
      </c>
      <c r="BJ380" s="771">
        <f>1-WWWW[[#This Row],[% people access to functioning Latrine]]</f>
        <v>0.35384615384615381</v>
      </c>
      <c r="BK380"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80" s="772">
        <f>IF(WWWW[[#This Row],['#_of_functional_handwashing_facilities_at_HH_level]]*6&gt;WWWW[[#This Row],[Total PoP ]],WWWW[[#This Row],[Total PoP ]],WWWW[[#This Row],['#_of_functional_handwashing_facilities_at_HH_level]]*6)</f>
        <v>0</v>
      </c>
      <c r="BM380" s="770">
        <f>IF(WWWW[[#This Row],['# people reached by regular dedicated hygiene promotion]]&gt;WWWW[[#This Row],['# People received regular supply of hygiene items]],WWWW[[#This Row],['# people reached by regular dedicated hygiene promotion]],WWWW[[#This Row],['# People received regular supply of hygiene items]])</f>
        <v>0</v>
      </c>
      <c r="BN380" s="476">
        <f>IF(WWWW[[#This Row],[HRP3]]/WWWW[[#This Row],[Total PoP ]]&gt;100%,100%,WWWW[[#This Row],[HRP3]]/WWWW[[#This Row],[Total PoP ]])</f>
        <v>0</v>
      </c>
      <c r="BO380" s="771">
        <f>1-WWWW[[#This Row],[Hygiene Coverage%]]</f>
        <v>1</v>
      </c>
      <c r="BP380" s="769">
        <f>WWWW[[#This Row],['# people reached by regular dedicated hygiene promotion]]/WWWW[[#This Row],[Total PoP ]]</f>
        <v>0</v>
      </c>
      <c r="BQ38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80" s="770">
        <f>WWWW[[#This Row],['#_of_affected_women_and_girls_receiving_a_sufficient_quantity_of_sanitary_pads]]</f>
        <v>0</v>
      </c>
      <c r="BS380" s="773">
        <f>IF(WWWW[[#This Row],['# People with access to soap]]&gt;WWWW[[#This Row],['# People with access to Sanity Pads]],WWWW[[#This Row],['# People with access to soap]],WWWW[[#This Row],['# People with access to Sanity Pads]])</f>
        <v>0</v>
      </c>
      <c r="BT380" s="772" t="str">
        <f>IF(OR(WWWW[[#This Row],['#of students in school]]="",WWWW[[#This Row],['#of students in school]]=0),"No","Yes")</f>
        <v>No</v>
      </c>
      <c r="BU380" s="480" t="str">
        <f>VLOOKUP(WWWW[[#This Row],[Village  Name]],SiteDB6[[Site Name]:[Location Type 1]],9,FALSE)</f>
        <v>Village</v>
      </c>
      <c r="BV380" s="480" t="str">
        <f>VLOOKUP(WWWW[[#This Row],[Village  Name]],SiteDB6[[Site Name]:[Type of Accommodation]],10,FALSE)</f>
        <v>Village</v>
      </c>
      <c r="BW380" s="480">
        <f>VLOOKUP(WWWW[[#This Row],[Village  Name]],SiteDB6[[Site Name]:[Ethnic or GCA/NGCA]],11,FALSE)</f>
        <v>0</v>
      </c>
      <c r="BX380" s="480">
        <f>VLOOKUP(WWWW[[#This Row],[Village  Name]],SiteDB6[[Site Name]:[Lat]],12,FALSE)</f>
        <v>0</v>
      </c>
      <c r="BY380" s="480">
        <f>VLOOKUP(WWWW[[#This Row],[Village  Name]],SiteDB6[[Site Name]:[Long]],13,FALSE)</f>
        <v>0</v>
      </c>
      <c r="BZ380" s="480">
        <f>VLOOKUP(WWWW[[#This Row],[Village  Name]],SiteDB6[[Site Name]:[Pcode]],3,FALSE)</f>
        <v>0</v>
      </c>
      <c r="CA380" s="480" t="str">
        <f t="shared" si="23"/>
        <v>Covered</v>
      </c>
      <c r="CB380" s="505"/>
    </row>
    <row r="381" spans="1:80">
      <c r="A381" s="774" t="s">
        <v>3199</v>
      </c>
      <c r="B381" s="774" t="s">
        <v>308</v>
      </c>
      <c r="C381" s="415"/>
      <c r="D381" s="415" t="s">
        <v>327</v>
      </c>
      <c r="E381" s="415" t="s">
        <v>3274</v>
      </c>
      <c r="F381" s="415" t="s">
        <v>3275</v>
      </c>
      <c r="G381" s="644" t="str">
        <f>VLOOKUP(WWWW[[#This Row],[Village  Name]],SiteDB6[[Site Name]:[Location Type]],8,FALSE)</f>
        <v>Village</v>
      </c>
      <c r="H381" s="415" t="s">
        <v>3284</v>
      </c>
      <c r="I381" s="773">
        <v>84</v>
      </c>
      <c r="J381" s="773">
        <v>475</v>
      </c>
      <c r="K381" s="418">
        <v>43300</v>
      </c>
      <c r="L381" s="55">
        <v>44377</v>
      </c>
      <c r="M381" s="773">
        <v>0</v>
      </c>
      <c r="N381" s="773">
        <v>0</v>
      </c>
      <c r="O381" s="773">
        <v>4</v>
      </c>
      <c r="P381" s="773">
        <v>1</v>
      </c>
      <c r="Q381" s="773">
        <v>0</v>
      </c>
      <c r="R381" s="773">
        <v>0</v>
      </c>
      <c r="S381" s="773">
        <v>0</v>
      </c>
      <c r="T381" s="773">
        <v>1</v>
      </c>
      <c r="U381" s="551"/>
      <c r="V381" s="773">
        <v>46</v>
      </c>
      <c r="W381" s="773" t="s">
        <v>130</v>
      </c>
      <c r="X381" s="773">
        <v>2</v>
      </c>
      <c r="Y381" s="773">
        <v>0</v>
      </c>
      <c r="Z381" s="773">
        <v>0</v>
      </c>
      <c r="AA381" s="773">
        <v>0</v>
      </c>
      <c r="AB381" s="773">
        <v>0</v>
      </c>
      <c r="AC381" s="551"/>
      <c r="AD381" s="773">
        <v>0</v>
      </c>
      <c r="AE381" s="773">
        <v>0</v>
      </c>
      <c r="AF381" s="773">
        <v>0</v>
      </c>
      <c r="AG381" s="773">
        <v>0</v>
      </c>
      <c r="AH381" s="773">
        <v>0</v>
      </c>
      <c r="AI381" s="773">
        <v>0</v>
      </c>
      <c r="AJ381" s="773">
        <v>0</v>
      </c>
      <c r="AK381" s="773">
        <v>0</v>
      </c>
      <c r="AL381" s="773">
        <v>0</v>
      </c>
      <c r="AM381" s="773">
        <v>0</v>
      </c>
      <c r="AN381" s="551"/>
      <c r="AO381" s="769">
        <v>0</v>
      </c>
      <c r="AP381" s="769">
        <v>0</v>
      </c>
      <c r="AQ381" s="773">
        <v>0</v>
      </c>
      <c r="AR381" s="773">
        <v>0</v>
      </c>
      <c r="AS381" s="773">
        <v>0</v>
      </c>
      <c r="AT381"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81" s="772">
        <f>WWWW[[#This Row],[%Equitable and continuous access to sufficient quantity of safe drinking water]]*WWWW[[#This Row],[Total PoP ]]</f>
        <v>475</v>
      </c>
      <c r="AV381"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81" s="772">
        <f>WWWW[[#This Row],[% Access to unimproved water points]]*WWWW[[#This Row],[Total PoP ]]</f>
        <v>0</v>
      </c>
      <c r="AX381"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81"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475</v>
      </c>
      <c r="AZ381" s="772">
        <f>WWWW[[#This Row],[HRP1]]/250</f>
        <v>1.9</v>
      </c>
      <c r="BA381" s="476">
        <f>1-WWWW[[#This Row],[% Equitable and continuous access to sufficient quantity of domestic water]]</f>
        <v>0</v>
      </c>
      <c r="BB381" s="772">
        <f>WWWW[[#This Row],[%equitable and continuous access to sufficient quantity of safe drinking and domestic water''s GAP]]*WWWW[[#This Row],[Total PoP ]]</f>
        <v>0</v>
      </c>
      <c r="BC381" s="770">
        <f>IF(WWWW[[#This Row],[Total required water points]]-WWWW[[#This Row],['#Water points coverage]]&lt;0,0,WWWW[[#This Row],[Total required water points]]-WWWW[[#This Row],['#Water points coverage]])</f>
        <v>0.10000000000000009</v>
      </c>
      <c r="BD381" s="770">
        <f>ROUND(IF(WWWW[[#This Row],[Total PoP ]]&lt;250,1,WWWW[[#This Row],[Total PoP ]]/250),0)</f>
        <v>2</v>
      </c>
      <c r="BE38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0.58105263157894738</v>
      </c>
      <c r="BF381" s="772">
        <f>WWWW[[#This Row],[% people access to functioning Latrine]]*WWWW[[#This Row],[Total PoP ]]</f>
        <v>276</v>
      </c>
      <c r="BG381" s="770">
        <f>WWWW[[#This Row],['#_of_Functioning_latrines_in_school]]*50</f>
        <v>100</v>
      </c>
      <c r="BH381" s="770">
        <f>ROUND((WWWW[[#This Row],[Total PoP ]]/6),0)</f>
        <v>79</v>
      </c>
      <c r="BI381" s="770">
        <f>IF(WWWW[[#This Row],[Total required Latrines]]-(WWWW[[#This Row],['#_of_sanitary_fly-proof_HH_latrines]])&lt;0,0,WWWW[[#This Row],[Total required Latrines]]-(WWWW[[#This Row],['#_of_sanitary_fly-proof_HH_latrines]]))</f>
        <v>33</v>
      </c>
      <c r="BJ381" s="771">
        <f>1-WWWW[[#This Row],[% people access to functioning Latrine]]</f>
        <v>0.41894736842105262</v>
      </c>
      <c r="BK381"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81" s="772">
        <f>IF(WWWW[[#This Row],['#_of_functional_handwashing_facilities_at_HH_level]]*6&gt;WWWW[[#This Row],[Total PoP ]],WWWW[[#This Row],[Total PoP ]],WWWW[[#This Row],['#_of_functional_handwashing_facilities_at_HH_level]]*6)</f>
        <v>0</v>
      </c>
      <c r="BM381" s="770">
        <f>IF(WWWW[[#This Row],['# people reached by regular dedicated hygiene promotion]]&gt;WWWW[[#This Row],['# People received regular supply of hygiene items]],WWWW[[#This Row],['# people reached by regular dedicated hygiene promotion]],WWWW[[#This Row],['# People received regular supply of hygiene items]])</f>
        <v>0</v>
      </c>
      <c r="BN381" s="476">
        <f>IF(WWWW[[#This Row],[HRP3]]/WWWW[[#This Row],[Total PoP ]]&gt;100%,100%,WWWW[[#This Row],[HRP3]]/WWWW[[#This Row],[Total PoP ]])</f>
        <v>0</v>
      </c>
      <c r="BO381" s="771">
        <f>1-WWWW[[#This Row],[Hygiene Coverage%]]</f>
        <v>1</v>
      </c>
      <c r="BP381" s="769">
        <f>WWWW[[#This Row],['# people reached by regular dedicated hygiene promotion]]/WWWW[[#This Row],[Total PoP ]]</f>
        <v>0</v>
      </c>
      <c r="BQ38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81" s="770">
        <f>WWWW[[#This Row],['#_of_affected_women_and_girls_receiving_a_sufficient_quantity_of_sanitary_pads]]</f>
        <v>0</v>
      </c>
      <c r="BS381" s="773">
        <f>IF(WWWW[[#This Row],['# People with access to soap]]&gt;WWWW[[#This Row],['# People with access to Sanity Pads]],WWWW[[#This Row],['# People with access to soap]],WWWW[[#This Row],['# People with access to Sanity Pads]])</f>
        <v>0</v>
      </c>
      <c r="BT381" s="772" t="str">
        <f>IF(OR(WWWW[[#This Row],['#of students in school]]="",WWWW[[#This Row],['#of students in school]]=0),"No","Yes")</f>
        <v>No</v>
      </c>
      <c r="BU381" s="480" t="str">
        <f>VLOOKUP(WWWW[[#This Row],[Village  Name]],SiteDB6[[Site Name]:[Location Type 1]],9,FALSE)</f>
        <v>Village</v>
      </c>
      <c r="BV381" s="480" t="str">
        <f>VLOOKUP(WWWW[[#This Row],[Village  Name]],SiteDB6[[Site Name]:[Type of Accommodation]],10,FALSE)</f>
        <v>Village</v>
      </c>
      <c r="BW381" s="480">
        <f>VLOOKUP(WWWW[[#This Row],[Village  Name]],SiteDB6[[Site Name]:[Ethnic or GCA/NGCA]],11,FALSE)</f>
        <v>0</v>
      </c>
      <c r="BX381" s="480">
        <f>VLOOKUP(WWWW[[#This Row],[Village  Name]],SiteDB6[[Site Name]:[Lat]],12,FALSE)</f>
        <v>0</v>
      </c>
      <c r="BY381" s="480">
        <f>VLOOKUP(WWWW[[#This Row],[Village  Name]],SiteDB6[[Site Name]:[Long]],13,FALSE)</f>
        <v>0</v>
      </c>
      <c r="BZ381" s="480">
        <f>VLOOKUP(WWWW[[#This Row],[Village  Name]],SiteDB6[[Site Name]:[Pcode]],3,FALSE)</f>
        <v>0</v>
      </c>
      <c r="CA381" s="480" t="str">
        <f t="shared" si="23"/>
        <v>Covered</v>
      </c>
      <c r="CB381" s="505"/>
    </row>
    <row r="382" spans="1:80">
      <c r="A382" s="774" t="s">
        <v>3199</v>
      </c>
      <c r="B382" s="774" t="s">
        <v>308</v>
      </c>
      <c r="C382" s="415"/>
      <c r="D382" s="415" t="s">
        <v>327</v>
      </c>
      <c r="E382" s="415" t="s">
        <v>3274</v>
      </c>
      <c r="F382" s="415" t="s">
        <v>3275</v>
      </c>
      <c r="G382" s="644" t="str">
        <f>VLOOKUP(WWWW[[#This Row],[Village  Name]],SiteDB6[[Site Name]:[Location Type]],8,FALSE)</f>
        <v>Village</v>
      </c>
      <c r="H382" s="415" t="s">
        <v>3285</v>
      </c>
      <c r="I382" s="773">
        <v>29</v>
      </c>
      <c r="J382" s="773">
        <v>179</v>
      </c>
      <c r="K382" s="418">
        <v>43300</v>
      </c>
      <c r="L382" s="55">
        <v>44377</v>
      </c>
      <c r="M382" s="773">
        <v>0</v>
      </c>
      <c r="N382" s="773">
        <v>0</v>
      </c>
      <c r="O382" s="773">
        <v>9</v>
      </c>
      <c r="P382" s="773">
        <v>0</v>
      </c>
      <c r="Q382" s="773">
        <v>0</v>
      </c>
      <c r="R382" s="773">
        <v>0</v>
      </c>
      <c r="S382" s="773">
        <v>0</v>
      </c>
      <c r="T382" s="773">
        <v>0</v>
      </c>
      <c r="U382" s="551"/>
      <c r="V382" s="773">
        <v>13</v>
      </c>
      <c r="W382" s="773" t="s">
        <v>130</v>
      </c>
      <c r="X382" s="773">
        <v>0</v>
      </c>
      <c r="Y382" s="773">
        <v>0</v>
      </c>
      <c r="Z382" s="773">
        <v>0</v>
      </c>
      <c r="AA382" s="773">
        <v>0</v>
      </c>
      <c r="AB382" s="773">
        <v>0</v>
      </c>
      <c r="AC382" s="551"/>
      <c r="AD382" s="773">
        <v>0</v>
      </c>
      <c r="AE382" s="773">
        <v>0</v>
      </c>
      <c r="AF382" s="773">
        <v>0</v>
      </c>
      <c r="AG382" s="773">
        <v>0</v>
      </c>
      <c r="AH382" s="773">
        <v>0</v>
      </c>
      <c r="AI382" s="773">
        <v>0</v>
      </c>
      <c r="AJ382" s="773">
        <v>0</v>
      </c>
      <c r="AK382" s="773">
        <v>0</v>
      </c>
      <c r="AL382" s="773">
        <v>0</v>
      </c>
      <c r="AM382" s="773">
        <v>0</v>
      </c>
      <c r="AN382" s="551"/>
      <c r="AO382" s="769">
        <v>0</v>
      </c>
      <c r="AP382" s="769">
        <v>0</v>
      </c>
      <c r="AQ382" s="773">
        <v>0</v>
      </c>
      <c r="AR382" s="773">
        <v>0</v>
      </c>
      <c r="AS382" s="773">
        <v>0</v>
      </c>
      <c r="AT382"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82" s="772">
        <f>WWWW[[#This Row],[%Equitable and continuous access to sufficient quantity of safe drinking water]]*WWWW[[#This Row],[Total PoP ]]</f>
        <v>179</v>
      </c>
      <c r="AV382"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82" s="772">
        <f>WWWW[[#This Row],[% Access to unimproved water points]]*WWWW[[#This Row],[Total PoP ]]</f>
        <v>0</v>
      </c>
      <c r="AX382"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82"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179</v>
      </c>
      <c r="AZ382" s="772">
        <f>WWWW[[#This Row],[HRP1]]/250</f>
        <v>0.71599999999999997</v>
      </c>
      <c r="BA382" s="476">
        <f>1-WWWW[[#This Row],[% Equitable and continuous access to sufficient quantity of domestic water]]</f>
        <v>0</v>
      </c>
      <c r="BB382" s="772">
        <f>WWWW[[#This Row],[%equitable and continuous access to sufficient quantity of safe drinking and domestic water''s GAP]]*WWWW[[#This Row],[Total PoP ]]</f>
        <v>0</v>
      </c>
      <c r="BC382" s="770">
        <f>IF(WWWW[[#This Row],[Total required water points]]-WWWW[[#This Row],['#Water points coverage]]&lt;0,0,WWWW[[#This Row],[Total required water points]]-WWWW[[#This Row],['#Water points coverage]])</f>
        <v>0.28400000000000003</v>
      </c>
      <c r="BD382" s="770">
        <f>ROUND(IF(WWWW[[#This Row],[Total PoP ]]&lt;250,1,WWWW[[#This Row],[Total PoP ]]/250),0)</f>
        <v>1</v>
      </c>
      <c r="BE38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0.43575418994413406</v>
      </c>
      <c r="BF382" s="772">
        <f>WWWW[[#This Row],[% people access to functioning Latrine]]*WWWW[[#This Row],[Total PoP ]]</f>
        <v>78</v>
      </c>
      <c r="BG382" s="770">
        <f>WWWW[[#This Row],['#_of_Functioning_latrines_in_school]]*50</f>
        <v>0</v>
      </c>
      <c r="BH382" s="770">
        <f>ROUND((WWWW[[#This Row],[Total PoP ]]/6),0)</f>
        <v>30</v>
      </c>
      <c r="BI382" s="770">
        <f>IF(WWWW[[#This Row],[Total required Latrines]]-(WWWW[[#This Row],['#_of_sanitary_fly-proof_HH_latrines]])&lt;0,0,WWWW[[#This Row],[Total required Latrines]]-(WWWW[[#This Row],['#_of_sanitary_fly-proof_HH_latrines]]))</f>
        <v>17</v>
      </c>
      <c r="BJ382" s="771">
        <f>1-WWWW[[#This Row],[% people access to functioning Latrine]]</f>
        <v>0.56424581005586594</v>
      </c>
      <c r="BK382"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82" s="772">
        <f>IF(WWWW[[#This Row],['#_of_functional_handwashing_facilities_at_HH_level]]*6&gt;WWWW[[#This Row],[Total PoP ]],WWWW[[#This Row],[Total PoP ]],WWWW[[#This Row],['#_of_functional_handwashing_facilities_at_HH_level]]*6)</f>
        <v>0</v>
      </c>
      <c r="BM382" s="770">
        <f>IF(WWWW[[#This Row],['# people reached by regular dedicated hygiene promotion]]&gt;WWWW[[#This Row],['# People received regular supply of hygiene items]],WWWW[[#This Row],['# people reached by regular dedicated hygiene promotion]],WWWW[[#This Row],['# People received regular supply of hygiene items]])</f>
        <v>0</v>
      </c>
      <c r="BN382" s="476">
        <f>IF(WWWW[[#This Row],[HRP3]]/WWWW[[#This Row],[Total PoP ]]&gt;100%,100%,WWWW[[#This Row],[HRP3]]/WWWW[[#This Row],[Total PoP ]])</f>
        <v>0</v>
      </c>
      <c r="BO382" s="771">
        <f>1-WWWW[[#This Row],[Hygiene Coverage%]]</f>
        <v>1</v>
      </c>
      <c r="BP382" s="769">
        <f>WWWW[[#This Row],['# people reached by regular dedicated hygiene promotion]]/WWWW[[#This Row],[Total PoP ]]</f>
        <v>0</v>
      </c>
      <c r="BQ38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82" s="770">
        <f>WWWW[[#This Row],['#_of_affected_women_and_girls_receiving_a_sufficient_quantity_of_sanitary_pads]]</f>
        <v>0</v>
      </c>
      <c r="BS382" s="773">
        <f>IF(WWWW[[#This Row],['# People with access to soap]]&gt;WWWW[[#This Row],['# People with access to Sanity Pads]],WWWW[[#This Row],['# People with access to soap]],WWWW[[#This Row],['# People with access to Sanity Pads]])</f>
        <v>0</v>
      </c>
      <c r="BT382" s="772" t="str">
        <f>IF(OR(WWWW[[#This Row],['#of students in school]]="",WWWW[[#This Row],['#of students in school]]=0),"No","Yes")</f>
        <v>No</v>
      </c>
      <c r="BU382" s="480" t="str">
        <f>VLOOKUP(WWWW[[#This Row],[Village  Name]],SiteDB6[[Site Name]:[Location Type 1]],9,FALSE)</f>
        <v>Village</v>
      </c>
      <c r="BV382" s="480" t="str">
        <f>VLOOKUP(WWWW[[#This Row],[Village  Name]],SiteDB6[[Site Name]:[Type of Accommodation]],10,FALSE)</f>
        <v>Village</v>
      </c>
      <c r="BW382" s="480">
        <f>VLOOKUP(WWWW[[#This Row],[Village  Name]],SiteDB6[[Site Name]:[Ethnic or GCA/NGCA]],11,FALSE)</f>
        <v>0</v>
      </c>
      <c r="BX382" s="480">
        <f>VLOOKUP(WWWW[[#This Row],[Village  Name]],SiteDB6[[Site Name]:[Lat]],12,FALSE)</f>
        <v>0</v>
      </c>
      <c r="BY382" s="480">
        <f>VLOOKUP(WWWW[[#This Row],[Village  Name]],SiteDB6[[Site Name]:[Long]],13,FALSE)</f>
        <v>0</v>
      </c>
      <c r="BZ382" s="480">
        <f>VLOOKUP(WWWW[[#This Row],[Village  Name]],SiteDB6[[Site Name]:[Pcode]],3,FALSE)</f>
        <v>0</v>
      </c>
      <c r="CA382" s="480" t="str">
        <f t="shared" si="23"/>
        <v>Covered</v>
      </c>
      <c r="CB382" s="505"/>
    </row>
    <row r="383" spans="1:80">
      <c r="A383" s="774" t="s">
        <v>3199</v>
      </c>
      <c r="B383" s="774" t="s">
        <v>308</v>
      </c>
      <c r="C383" s="415"/>
      <c r="D383" s="415" t="s">
        <v>327</v>
      </c>
      <c r="E383" s="415" t="s">
        <v>3274</v>
      </c>
      <c r="F383" s="415" t="s">
        <v>3275</v>
      </c>
      <c r="G383" s="644" t="str">
        <f>VLOOKUP(WWWW[[#This Row],[Village  Name]],SiteDB6[[Site Name]:[Location Type]],8,FALSE)</f>
        <v>Village</v>
      </c>
      <c r="H383" s="415" t="s">
        <v>3286</v>
      </c>
      <c r="I383" s="773">
        <v>57</v>
      </c>
      <c r="J383" s="773">
        <v>399</v>
      </c>
      <c r="K383" s="418">
        <v>43300</v>
      </c>
      <c r="L383" s="55">
        <v>44377</v>
      </c>
      <c r="M383" s="773">
        <v>0</v>
      </c>
      <c r="N383" s="773">
        <v>0</v>
      </c>
      <c r="O383" s="773">
        <v>31</v>
      </c>
      <c r="P383" s="773">
        <v>0</v>
      </c>
      <c r="Q383" s="773">
        <v>0</v>
      </c>
      <c r="R383" s="773">
        <v>0</v>
      </c>
      <c r="S383" s="773">
        <v>0</v>
      </c>
      <c r="T383" s="773">
        <v>0</v>
      </c>
      <c r="U383" s="551"/>
      <c r="V383" s="773">
        <v>35</v>
      </c>
      <c r="W383" s="773" t="s">
        <v>130</v>
      </c>
      <c r="X383" s="773">
        <v>1</v>
      </c>
      <c r="Y383" s="773">
        <v>0</v>
      </c>
      <c r="Z383" s="773">
        <v>0</v>
      </c>
      <c r="AA383" s="773">
        <v>0</v>
      </c>
      <c r="AB383" s="773">
        <v>0</v>
      </c>
      <c r="AC383" s="551"/>
      <c r="AD383" s="773">
        <v>0</v>
      </c>
      <c r="AE383" s="773">
        <v>0</v>
      </c>
      <c r="AF383" s="773">
        <v>0</v>
      </c>
      <c r="AG383" s="773">
        <v>0</v>
      </c>
      <c r="AH383" s="773">
        <v>0</v>
      </c>
      <c r="AI383" s="773">
        <v>0</v>
      </c>
      <c r="AJ383" s="773">
        <v>0</v>
      </c>
      <c r="AK383" s="773">
        <v>0</v>
      </c>
      <c r="AL383" s="773">
        <v>0</v>
      </c>
      <c r="AM383" s="773">
        <v>0</v>
      </c>
      <c r="AN383" s="551"/>
      <c r="AO383" s="769">
        <v>0</v>
      </c>
      <c r="AP383" s="769">
        <v>0</v>
      </c>
      <c r="AQ383" s="773">
        <v>0</v>
      </c>
      <c r="AR383" s="773">
        <v>0</v>
      </c>
      <c r="AS383" s="773">
        <v>0</v>
      </c>
      <c r="AT383"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83" s="772">
        <f>WWWW[[#This Row],[%Equitable and continuous access to sufficient quantity of safe drinking water]]*WWWW[[#This Row],[Total PoP ]]</f>
        <v>399</v>
      </c>
      <c r="AV383"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83" s="772">
        <f>WWWW[[#This Row],[% Access to unimproved water points]]*WWWW[[#This Row],[Total PoP ]]</f>
        <v>0</v>
      </c>
      <c r="AX383"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83"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399</v>
      </c>
      <c r="AZ383" s="772">
        <f>WWWW[[#This Row],[HRP1]]/250</f>
        <v>1.5960000000000001</v>
      </c>
      <c r="BA383" s="476">
        <f>1-WWWW[[#This Row],[% Equitable and continuous access to sufficient quantity of domestic water]]</f>
        <v>0</v>
      </c>
      <c r="BB383" s="772">
        <f>WWWW[[#This Row],[%equitable and continuous access to sufficient quantity of safe drinking and domestic water''s GAP]]*WWWW[[#This Row],[Total PoP ]]</f>
        <v>0</v>
      </c>
      <c r="BC383" s="770">
        <f>IF(WWWW[[#This Row],[Total required water points]]-WWWW[[#This Row],['#Water points coverage]]&lt;0,0,WWWW[[#This Row],[Total required water points]]-WWWW[[#This Row],['#Water points coverage]])</f>
        <v>0.40399999999999991</v>
      </c>
      <c r="BD383" s="770">
        <f>ROUND(IF(WWWW[[#This Row],[Total PoP ]]&lt;250,1,WWWW[[#This Row],[Total PoP ]]/250),0)</f>
        <v>2</v>
      </c>
      <c r="BE38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0.52631578947368418</v>
      </c>
      <c r="BF383" s="772">
        <f>WWWW[[#This Row],[% people access to functioning Latrine]]*WWWW[[#This Row],[Total PoP ]]</f>
        <v>210</v>
      </c>
      <c r="BG383" s="770">
        <f>WWWW[[#This Row],['#_of_Functioning_latrines_in_school]]*50</f>
        <v>50</v>
      </c>
      <c r="BH383" s="770">
        <f>ROUND((WWWW[[#This Row],[Total PoP ]]/6),0)</f>
        <v>67</v>
      </c>
      <c r="BI383" s="770">
        <f>IF(WWWW[[#This Row],[Total required Latrines]]-(WWWW[[#This Row],['#_of_sanitary_fly-proof_HH_latrines]])&lt;0,0,WWWW[[#This Row],[Total required Latrines]]-(WWWW[[#This Row],['#_of_sanitary_fly-proof_HH_latrines]]))</f>
        <v>32</v>
      </c>
      <c r="BJ383" s="771">
        <f>1-WWWW[[#This Row],[% people access to functioning Latrine]]</f>
        <v>0.47368421052631582</v>
      </c>
      <c r="BK383"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83" s="772">
        <f>IF(WWWW[[#This Row],['#_of_functional_handwashing_facilities_at_HH_level]]*6&gt;WWWW[[#This Row],[Total PoP ]],WWWW[[#This Row],[Total PoP ]],WWWW[[#This Row],['#_of_functional_handwashing_facilities_at_HH_level]]*6)</f>
        <v>0</v>
      </c>
      <c r="BM383" s="770">
        <f>IF(WWWW[[#This Row],['# people reached by regular dedicated hygiene promotion]]&gt;WWWW[[#This Row],['# People received regular supply of hygiene items]],WWWW[[#This Row],['# people reached by regular dedicated hygiene promotion]],WWWW[[#This Row],['# People received regular supply of hygiene items]])</f>
        <v>0</v>
      </c>
      <c r="BN383" s="476">
        <f>IF(WWWW[[#This Row],[HRP3]]/WWWW[[#This Row],[Total PoP ]]&gt;100%,100%,WWWW[[#This Row],[HRP3]]/WWWW[[#This Row],[Total PoP ]])</f>
        <v>0</v>
      </c>
      <c r="BO383" s="771">
        <f>1-WWWW[[#This Row],[Hygiene Coverage%]]</f>
        <v>1</v>
      </c>
      <c r="BP383" s="769">
        <f>WWWW[[#This Row],['# people reached by regular dedicated hygiene promotion]]/WWWW[[#This Row],[Total PoP ]]</f>
        <v>0</v>
      </c>
      <c r="BQ38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83" s="770">
        <f>WWWW[[#This Row],['#_of_affected_women_and_girls_receiving_a_sufficient_quantity_of_sanitary_pads]]</f>
        <v>0</v>
      </c>
      <c r="BS383" s="773">
        <f>IF(WWWW[[#This Row],['# People with access to soap]]&gt;WWWW[[#This Row],['# People with access to Sanity Pads]],WWWW[[#This Row],['# People with access to soap]],WWWW[[#This Row],['# People with access to Sanity Pads]])</f>
        <v>0</v>
      </c>
      <c r="BT383" s="772" t="str">
        <f>IF(OR(WWWW[[#This Row],['#of students in school]]="",WWWW[[#This Row],['#of students in school]]=0),"No","Yes")</f>
        <v>No</v>
      </c>
      <c r="BU383" s="480" t="str">
        <f>VLOOKUP(WWWW[[#This Row],[Village  Name]],SiteDB6[[Site Name]:[Location Type 1]],9,FALSE)</f>
        <v>Village</v>
      </c>
      <c r="BV383" s="480" t="str">
        <f>VLOOKUP(WWWW[[#This Row],[Village  Name]],SiteDB6[[Site Name]:[Type of Accommodation]],10,FALSE)</f>
        <v>Village</v>
      </c>
      <c r="BW383" s="480">
        <f>VLOOKUP(WWWW[[#This Row],[Village  Name]],SiteDB6[[Site Name]:[Ethnic or GCA/NGCA]],11,FALSE)</f>
        <v>0</v>
      </c>
      <c r="BX383" s="480">
        <f>VLOOKUP(WWWW[[#This Row],[Village  Name]],SiteDB6[[Site Name]:[Lat]],12,FALSE)</f>
        <v>0</v>
      </c>
      <c r="BY383" s="480">
        <f>VLOOKUP(WWWW[[#This Row],[Village  Name]],SiteDB6[[Site Name]:[Long]],13,FALSE)</f>
        <v>0</v>
      </c>
      <c r="BZ383" s="480">
        <f>VLOOKUP(WWWW[[#This Row],[Village  Name]],SiteDB6[[Site Name]:[Pcode]],3,FALSE)</f>
        <v>0</v>
      </c>
      <c r="CA383" s="480" t="str">
        <f t="shared" si="23"/>
        <v>Covered</v>
      </c>
      <c r="CB383" s="505"/>
    </row>
    <row r="384" spans="1:80">
      <c r="A384" s="774" t="s">
        <v>3199</v>
      </c>
      <c r="B384" s="774" t="s">
        <v>308</v>
      </c>
      <c r="C384" s="415"/>
      <c r="D384" s="415" t="s">
        <v>327</v>
      </c>
      <c r="E384" s="415" t="s">
        <v>3274</v>
      </c>
      <c r="F384" s="415" t="s">
        <v>3275</v>
      </c>
      <c r="G384" s="644" t="str">
        <f>VLOOKUP(WWWW[[#This Row],[Village  Name]],SiteDB6[[Site Name]:[Location Type]],8,FALSE)</f>
        <v>Village</v>
      </c>
      <c r="H384" s="415" t="s">
        <v>3287</v>
      </c>
      <c r="I384" s="773">
        <v>75</v>
      </c>
      <c r="J384" s="773">
        <v>426</v>
      </c>
      <c r="K384" s="418">
        <v>43300</v>
      </c>
      <c r="L384" s="55">
        <v>44377</v>
      </c>
      <c r="M384" s="773">
        <v>0</v>
      </c>
      <c r="N384" s="773">
        <v>0</v>
      </c>
      <c r="O384" s="773">
        <v>15</v>
      </c>
      <c r="P384" s="773">
        <v>0</v>
      </c>
      <c r="Q384" s="773">
        <v>0</v>
      </c>
      <c r="R384" s="773">
        <v>0</v>
      </c>
      <c r="S384" s="773">
        <v>0</v>
      </c>
      <c r="T384" s="773">
        <v>1</v>
      </c>
      <c r="U384" s="551"/>
      <c r="V384" s="773">
        <v>44</v>
      </c>
      <c r="W384" s="773" t="s">
        <v>130</v>
      </c>
      <c r="X384" s="773">
        <v>1</v>
      </c>
      <c r="Y384" s="773">
        <v>0</v>
      </c>
      <c r="Z384" s="773">
        <v>0</v>
      </c>
      <c r="AA384" s="773">
        <v>0</v>
      </c>
      <c r="AB384" s="773">
        <v>0</v>
      </c>
      <c r="AC384" s="551"/>
      <c r="AD384" s="773">
        <v>0</v>
      </c>
      <c r="AE384" s="773">
        <v>0</v>
      </c>
      <c r="AF384" s="773">
        <v>0</v>
      </c>
      <c r="AG384" s="773">
        <v>0</v>
      </c>
      <c r="AH384" s="773">
        <v>0</v>
      </c>
      <c r="AI384" s="773">
        <v>0</v>
      </c>
      <c r="AJ384" s="773">
        <v>0</v>
      </c>
      <c r="AK384" s="773">
        <v>0</v>
      </c>
      <c r="AL384" s="773">
        <v>0</v>
      </c>
      <c r="AM384" s="773">
        <v>0</v>
      </c>
      <c r="AN384" s="551"/>
      <c r="AO384" s="769">
        <v>0</v>
      </c>
      <c r="AP384" s="769">
        <v>0</v>
      </c>
      <c r="AQ384" s="773">
        <v>0</v>
      </c>
      <c r="AR384" s="773">
        <v>0</v>
      </c>
      <c r="AS384" s="773">
        <v>0</v>
      </c>
      <c r="AT384"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84" s="772">
        <f>WWWW[[#This Row],[%Equitable and continuous access to sufficient quantity of safe drinking water]]*WWWW[[#This Row],[Total PoP ]]</f>
        <v>426</v>
      </c>
      <c r="AV384"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84" s="772">
        <f>WWWW[[#This Row],[% Access to unimproved water points]]*WWWW[[#This Row],[Total PoP ]]</f>
        <v>0</v>
      </c>
      <c r="AX384"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84"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426</v>
      </c>
      <c r="AZ384" s="772">
        <f>WWWW[[#This Row],[HRP1]]/250</f>
        <v>1.704</v>
      </c>
      <c r="BA384" s="476">
        <f>1-WWWW[[#This Row],[% Equitable and continuous access to sufficient quantity of domestic water]]</f>
        <v>0</v>
      </c>
      <c r="BB384" s="772">
        <f>WWWW[[#This Row],[%equitable and continuous access to sufficient quantity of safe drinking and domestic water''s GAP]]*WWWW[[#This Row],[Total PoP ]]</f>
        <v>0</v>
      </c>
      <c r="BC384" s="770">
        <f>IF(WWWW[[#This Row],[Total required water points]]-WWWW[[#This Row],['#Water points coverage]]&lt;0,0,WWWW[[#This Row],[Total required water points]]-WWWW[[#This Row],['#Water points coverage]])</f>
        <v>0.29600000000000004</v>
      </c>
      <c r="BD384" s="770">
        <f>ROUND(IF(WWWW[[#This Row],[Total PoP ]]&lt;250,1,WWWW[[#This Row],[Total PoP ]]/250),0)</f>
        <v>2</v>
      </c>
      <c r="BE38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0.61971830985915488</v>
      </c>
      <c r="BF384" s="772">
        <f>WWWW[[#This Row],[% people access to functioning Latrine]]*WWWW[[#This Row],[Total PoP ]]</f>
        <v>264</v>
      </c>
      <c r="BG384" s="770">
        <f>WWWW[[#This Row],['#_of_Functioning_latrines_in_school]]*50</f>
        <v>50</v>
      </c>
      <c r="BH384" s="770">
        <f>ROUND((WWWW[[#This Row],[Total PoP ]]/6),0)</f>
        <v>71</v>
      </c>
      <c r="BI384" s="770">
        <f>IF(WWWW[[#This Row],[Total required Latrines]]-(WWWW[[#This Row],['#_of_sanitary_fly-proof_HH_latrines]])&lt;0,0,WWWW[[#This Row],[Total required Latrines]]-(WWWW[[#This Row],['#_of_sanitary_fly-proof_HH_latrines]]))</f>
        <v>27</v>
      </c>
      <c r="BJ384" s="771">
        <f>1-WWWW[[#This Row],[% people access to functioning Latrine]]</f>
        <v>0.38028169014084512</v>
      </c>
      <c r="BK384"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84" s="772">
        <f>IF(WWWW[[#This Row],['#_of_functional_handwashing_facilities_at_HH_level]]*6&gt;WWWW[[#This Row],[Total PoP ]],WWWW[[#This Row],[Total PoP ]],WWWW[[#This Row],['#_of_functional_handwashing_facilities_at_HH_level]]*6)</f>
        <v>0</v>
      </c>
      <c r="BM384" s="770">
        <f>IF(WWWW[[#This Row],['# people reached by regular dedicated hygiene promotion]]&gt;WWWW[[#This Row],['# People received regular supply of hygiene items]],WWWW[[#This Row],['# people reached by regular dedicated hygiene promotion]],WWWW[[#This Row],['# People received regular supply of hygiene items]])</f>
        <v>0</v>
      </c>
      <c r="BN384" s="476">
        <f>IF(WWWW[[#This Row],[HRP3]]/WWWW[[#This Row],[Total PoP ]]&gt;100%,100%,WWWW[[#This Row],[HRP3]]/WWWW[[#This Row],[Total PoP ]])</f>
        <v>0</v>
      </c>
      <c r="BO384" s="771">
        <f>1-WWWW[[#This Row],[Hygiene Coverage%]]</f>
        <v>1</v>
      </c>
      <c r="BP384" s="769">
        <f>WWWW[[#This Row],['# people reached by regular dedicated hygiene promotion]]/WWWW[[#This Row],[Total PoP ]]</f>
        <v>0</v>
      </c>
      <c r="BQ38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84" s="770">
        <f>WWWW[[#This Row],['#_of_affected_women_and_girls_receiving_a_sufficient_quantity_of_sanitary_pads]]</f>
        <v>0</v>
      </c>
      <c r="BS384" s="773">
        <f>IF(WWWW[[#This Row],['# People with access to soap]]&gt;WWWW[[#This Row],['# People with access to Sanity Pads]],WWWW[[#This Row],['# People with access to soap]],WWWW[[#This Row],['# People with access to Sanity Pads]])</f>
        <v>0</v>
      </c>
      <c r="BT384" s="772" t="str">
        <f>IF(OR(WWWW[[#This Row],['#of students in school]]="",WWWW[[#This Row],['#of students in school]]=0),"No","Yes")</f>
        <v>No</v>
      </c>
      <c r="BU384" s="480" t="str">
        <f>VLOOKUP(WWWW[[#This Row],[Village  Name]],SiteDB6[[Site Name]:[Location Type 1]],9,FALSE)</f>
        <v>Village</v>
      </c>
      <c r="BV384" s="480" t="str">
        <f>VLOOKUP(WWWW[[#This Row],[Village  Name]],SiteDB6[[Site Name]:[Type of Accommodation]],10,FALSE)</f>
        <v>Village</v>
      </c>
      <c r="BW384" s="480">
        <f>VLOOKUP(WWWW[[#This Row],[Village  Name]],SiteDB6[[Site Name]:[Ethnic or GCA/NGCA]],11,FALSE)</f>
        <v>0</v>
      </c>
      <c r="BX384" s="480">
        <f>VLOOKUP(WWWW[[#This Row],[Village  Name]],SiteDB6[[Site Name]:[Lat]],12,FALSE)</f>
        <v>0</v>
      </c>
      <c r="BY384" s="480">
        <f>VLOOKUP(WWWW[[#This Row],[Village  Name]],SiteDB6[[Site Name]:[Long]],13,FALSE)</f>
        <v>0</v>
      </c>
      <c r="BZ384" s="480">
        <f>VLOOKUP(WWWW[[#This Row],[Village  Name]],SiteDB6[[Site Name]:[Pcode]],3,FALSE)</f>
        <v>0</v>
      </c>
      <c r="CA384" s="480" t="str">
        <f t="shared" si="23"/>
        <v>Covered</v>
      </c>
      <c r="CB384" s="505"/>
    </row>
    <row r="385" spans="1:80">
      <c r="A385" s="774" t="s">
        <v>3199</v>
      </c>
      <c r="B385" s="774" t="s">
        <v>308</v>
      </c>
      <c r="C385" s="415"/>
      <c r="D385" s="415" t="s">
        <v>327</v>
      </c>
      <c r="E385" s="415" t="s">
        <v>3274</v>
      </c>
      <c r="F385" s="415" t="s">
        <v>3275</v>
      </c>
      <c r="G385" s="644" t="str">
        <f>VLOOKUP(WWWW[[#This Row],[Village  Name]],SiteDB6[[Site Name]:[Location Type]],8,FALSE)</f>
        <v>Village</v>
      </c>
      <c r="H385" s="415" t="s">
        <v>3288</v>
      </c>
      <c r="I385" s="773">
        <v>74</v>
      </c>
      <c r="J385" s="773">
        <v>321</v>
      </c>
      <c r="K385" s="418">
        <v>43300</v>
      </c>
      <c r="L385" s="55">
        <v>44377</v>
      </c>
      <c r="M385" s="773">
        <v>0</v>
      </c>
      <c r="N385" s="773">
        <v>0</v>
      </c>
      <c r="O385" s="773">
        <v>41</v>
      </c>
      <c r="P385" s="773">
        <v>0</v>
      </c>
      <c r="Q385" s="773">
        <v>0</v>
      </c>
      <c r="R385" s="773">
        <v>0</v>
      </c>
      <c r="S385" s="773">
        <v>0</v>
      </c>
      <c r="T385" s="773">
        <v>0</v>
      </c>
      <c r="U385" s="551"/>
      <c r="V385" s="773">
        <v>30</v>
      </c>
      <c r="W385" s="773" t="s">
        <v>130</v>
      </c>
      <c r="X385" s="773">
        <v>0</v>
      </c>
      <c r="Y385" s="773">
        <v>0</v>
      </c>
      <c r="Z385" s="773">
        <v>0</v>
      </c>
      <c r="AA385" s="773">
        <v>0</v>
      </c>
      <c r="AB385" s="773">
        <v>0</v>
      </c>
      <c r="AC385" s="551"/>
      <c r="AD385" s="773">
        <v>0</v>
      </c>
      <c r="AE385" s="773">
        <v>0</v>
      </c>
      <c r="AF385" s="773">
        <v>0</v>
      </c>
      <c r="AG385" s="773">
        <v>0</v>
      </c>
      <c r="AH385" s="773">
        <v>0</v>
      </c>
      <c r="AI385" s="773">
        <v>0</v>
      </c>
      <c r="AJ385" s="773">
        <v>0</v>
      </c>
      <c r="AK385" s="773">
        <v>0</v>
      </c>
      <c r="AL385" s="773">
        <v>0</v>
      </c>
      <c r="AM385" s="773">
        <v>0</v>
      </c>
      <c r="AN385" s="551"/>
      <c r="AO385" s="769">
        <v>0</v>
      </c>
      <c r="AP385" s="769">
        <v>0</v>
      </c>
      <c r="AQ385" s="773">
        <v>0</v>
      </c>
      <c r="AR385" s="773">
        <v>0</v>
      </c>
      <c r="AS385" s="773">
        <v>0</v>
      </c>
      <c r="AT385"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85" s="772">
        <f>WWWW[[#This Row],[%Equitable and continuous access to sufficient quantity of safe drinking water]]*WWWW[[#This Row],[Total PoP ]]</f>
        <v>321</v>
      </c>
      <c r="AV385"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85" s="772">
        <f>WWWW[[#This Row],[% Access to unimproved water points]]*WWWW[[#This Row],[Total PoP ]]</f>
        <v>0</v>
      </c>
      <c r="AX385"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85"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321</v>
      </c>
      <c r="AZ385" s="772">
        <f>WWWW[[#This Row],[HRP1]]/250</f>
        <v>1.284</v>
      </c>
      <c r="BA385" s="476">
        <f>1-WWWW[[#This Row],[% Equitable and continuous access to sufficient quantity of domestic water]]</f>
        <v>0</v>
      </c>
      <c r="BB385" s="772">
        <f>WWWW[[#This Row],[%equitable and continuous access to sufficient quantity of safe drinking and domestic water''s GAP]]*WWWW[[#This Row],[Total PoP ]]</f>
        <v>0</v>
      </c>
      <c r="BC385" s="770">
        <f>IF(WWWW[[#This Row],[Total required water points]]-WWWW[[#This Row],['#Water points coverage]]&lt;0,0,WWWW[[#This Row],[Total required water points]]-WWWW[[#This Row],['#Water points coverage]])</f>
        <v>0</v>
      </c>
      <c r="BD385" s="770">
        <f>ROUND(IF(WWWW[[#This Row],[Total PoP ]]&lt;250,1,WWWW[[#This Row],[Total PoP ]]/250),0)</f>
        <v>1</v>
      </c>
      <c r="BE38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0.56074766355140182</v>
      </c>
      <c r="BF385" s="772">
        <f>WWWW[[#This Row],[% people access to functioning Latrine]]*WWWW[[#This Row],[Total PoP ]]</f>
        <v>179.99999999999997</v>
      </c>
      <c r="BG385" s="770">
        <f>WWWW[[#This Row],['#_of_Functioning_latrines_in_school]]*50</f>
        <v>0</v>
      </c>
      <c r="BH385" s="770">
        <f>ROUND((WWWW[[#This Row],[Total PoP ]]/6),0)</f>
        <v>54</v>
      </c>
      <c r="BI385" s="770">
        <f>IF(WWWW[[#This Row],[Total required Latrines]]-(WWWW[[#This Row],['#_of_sanitary_fly-proof_HH_latrines]])&lt;0,0,WWWW[[#This Row],[Total required Latrines]]-(WWWW[[#This Row],['#_of_sanitary_fly-proof_HH_latrines]]))</f>
        <v>24</v>
      </c>
      <c r="BJ385" s="771">
        <f>1-WWWW[[#This Row],[% people access to functioning Latrine]]</f>
        <v>0.43925233644859818</v>
      </c>
      <c r="BK385"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85" s="772">
        <f>IF(WWWW[[#This Row],['#_of_functional_handwashing_facilities_at_HH_level]]*6&gt;WWWW[[#This Row],[Total PoP ]],WWWW[[#This Row],[Total PoP ]],WWWW[[#This Row],['#_of_functional_handwashing_facilities_at_HH_level]]*6)</f>
        <v>0</v>
      </c>
      <c r="BM385" s="770">
        <f>IF(WWWW[[#This Row],['# people reached by regular dedicated hygiene promotion]]&gt;WWWW[[#This Row],['# People received regular supply of hygiene items]],WWWW[[#This Row],['# people reached by regular dedicated hygiene promotion]],WWWW[[#This Row],['# People received regular supply of hygiene items]])</f>
        <v>0</v>
      </c>
      <c r="BN385" s="476">
        <f>IF(WWWW[[#This Row],[HRP3]]/WWWW[[#This Row],[Total PoP ]]&gt;100%,100%,WWWW[[#This Row],[HRP3]]/WWWW[[#This Row],[Total PoP ]])</f>
        <v>0</v>
      </c>
      <c r="BO385" s="771">
        <f>1-WWWW[[#This Row],[Hygiene Coverage%]]</f>
        <v>1</v>
      </c>
      <c r="BP385" s="769">
        <f>WWWW[[#This Row],['# people reached by regular dedicated hygiene promotion]]/WWWW[[#This Row],[Total PoP ]]</f>
        <v>0</v>
      </c>
      <c r="BQ38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85" s="770">
        <f>WWWW[[#This Row],['#_of_affected_women_and_girls_receiving_a_sufficient_quantity_of_sanitary_pads]]</f>
        <v>0</v>
      </c>
      <c r="BS385" s="773">
        <f>IF(WWWW[[#This Row],['# People with access to soap]]&gt;WWWW[[#This Row],['# People with access to Sanity Pads]],WWWW[[#This Row],['# People with access to soap]],WWWW[[#This Row],['# People with access to Sanity Pads]])</f>
        <v>0</v>
      </c>
      <c r="BT385" s="772" t="str">
        <f>IF(OR(WWWW[[#This Row],['#of students in school]]="",WWWW[[#This Row],['#of students in school]]=0),"No","Yes")</f>
        <v>No</v>
      </c>
      <c r="BU385" s="480" t="str">
        <f>VLOOKUP(WWWW[[#This Row],[Village  Name]],SiteDB6[[Site Name]:[Location Type 1]],9,FALSE)</f>
        <v>Village</v>
      </c>
      <c r="BV385" s="480" t="str">
        <f>VLOOKUP(WWWW[[#This Row],[Village  Name]],SiteDB6[[Site Name]:[Type of Accommodation]],10,FALSE)</f>
        <v>Village</v>
      </c>
      <c r="BW385" s="480">
        <f>VLOOKUP(WWWW[[#This Row],[Village  Name]],SiteDB6[[Site Name]:[Ethnic or GCA/NGCA]],11,FALSE)</f>
        <v>0</v>
      </c>
      <c r="BX385" s="480">
        <f>VLOOKUP(WWWW[[#This Row],[Village  Name]],SiteDB6[[Site Name]:[Lat]],12,FALSE)</f>
        <v>0</v>
      </c>
      <c r="BY385" s="480">
        <f>VLOOKUP(WWWW[[#This Row],[Village  Name]],SiteDB6[[Site Name]:[Long]],13,FALSE)</f>
        <v>0</v>
      </c>
      <c r="BZ385" s="480">
        <f>VLOOKUP(WWWW[[#This Row],[Village  Name]],SiteDB6[[Site Name]:[Pcode]],3,FALSE)</f>
        <v>0</v>
      </c>
      <c r="CA385" s="480" t="str">
        <f t="shared" si="23"/>
        <v>Covered</v>
      </c>
      <c r="CB385" s="505"/>
    </row>
    <row r="386" spans="1:80">
      <c r="A386" s="774" t="s">
        <v>3199</v>
      </c>
      <c r="B386" s="774" t="s">
        <v>308</v>
      </c>
      <c r="C386" s="415"/>
      <c r="D386" s="415" t="s">
        <v>327</v>
      </c>
      <c r="E386" s="415" t="s">
        <v>3274</v>
      </c>
      <c r="F386" s="415" t="s">
        <v>3275</v>
      </c>
      <c r="G386" s="644" t="str">
        <f>VLOOKUP(WWWW[[#This Row],[Village  Name]],SiteDB6[[Site Name]:[Location Type]],8,FALSE)</f>
        <v>Village</v>
      </c>
      <c r="H386" s="415" t="s">
        <v>3289</v>
      </c>
      <c r="I386" s="773">
        <v>50</v>
      </c>
      <c r="J386" s="773">
        <v>284</v>
      </c>
      <c r="K386" s="418">
        <v>43300</v>
      </c>
      <c r="L386" s="55">
        <v>44377</v>
      </c>
      <c r="M386" s="773">
        <v>0</v>
      </c>
      <c r="N386" s="773">
        <v>0</v>
      </c>
      <c r="O386" s="773">
        <v>6</v>
      </c>
      <c r="P386" s="773">
        <v>0</v>
      </c>
      <c r="Q386" s="773">
        <v>0</v>
      </c>
      <c r="R386" s="773">
        <v>0</v>
      </c>
      <c r="S386" s="773">
        <v>0</v>
      </c>
      <c r="T386" s="773">
        <v>0</v>
      </c>
      <c r="U386" s="551"/>
      <c r="V386" s="773">
        <v>35</v>
      </c>
      <c r="W386" s="773" t="s">
        <v>130</v>
      </c>
      <c r="X386" s="773">
        <v>0</v>
      </c>
      <c r="Y386" s="773">
        <v>0</v>
      </c>
      <c r="Z386" s="773">
        <v>0</v>
      </c>
      <c r="AA386" s="773">
        <v>0</v>
      </c>
      <c r="AB386" s="773">
        <v>0</v>
      </c>
      <c r="AC386" s="551"/>
      <c r="AD386" s="773">
        <v>0</v>
      </c>
      <c r="AE386" s="773">
        <v>0</v>
      </c>
      <c r="AF386" s="773">
        <v>0</v>
      </c>
      <c r="AG386" s="773">
        <v>0</v>
      </c>
      <c r="AH386" s="773">
        <v>0</v>
      </c>
      <c r="AI386" s="773">
        <v>0</v>
      </c>
      <c r="AJ386" s="773">
        <v>0</v>
      </c>
      <c r="AK386" s="773">
        <v>0</v>
      </c>
      <c r="AL386" s="773">
        <v>0</v>
      </c>
      <c r="AM386" s="773">
        <v>0</v>
      </c>
      <c r="AN386" s="551"/>
      <c r="AO386" s="769">
        <v>0</v>
      </c>
      <c r="AP386" s="769">
        <v>0</v>
      </c>
      <c r="AQ386" s="773">
        <v>0</v>
      </c>
      <c r="AR386" s="773">
        <v>0</v>
      </c>
      <c r="AS386" s="773">
        <v>0</v>
      </c>
      <c r="AT386"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86" s="772">
        <f>WWWW[[#This Row],[%Equitable and continuous access to sufficient quantity of safe drinking water]]*WWWW[[#This Row],[Total PoP ]]</f>
        <v>284</v>
      </c>
      <c r="AV386"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86" s="772">
        <f>WWWW[[#This Row],[% Access to unimproved water points]]*WWWW[[#This Row],[Total PoP ]]</f>
        <v>0</v>
      </c>
      <c r="AX386"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86"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284</v>
      </c>
      <c r="AZ386" s="772">
        <f>WWWW[[#This Row],[HRP1]]/250</f>
        <v>1.1359999999999999</v>
      </c>
      <c r="BA386" s="476">
        <f>1-WWWW[[#This Row],[% Equitable and continuous access to sufficient quantity of domestic water]]</f>
        <v>0</v>
      </c>
      <c r="BB386" s="772">
        <f>WWWW[[#This Row],[%equitable and continuous access to sufficient quantity of safe drinking and domestic water''s GAP]]*WWWW[[#This Row],[Total PoP ]]</f>
        <v>0</v>
      </c>
      <c r="BC386" s="770">
        <f>IF(WWWW[[#This Row],[Total required water points]]-WWWW[[#This Row],['#Water points coverage]]&lt;0,0,WWWW[[#This Row],[Total required water points]]-WWWW[[#This Row],['#Water points coverage]])</f>
        <v>0</v>
      </c>
      <c r="BD386" s="770">
        <f>ROUND(IF(WWWW[[#This Row],[Total PoP ]]&lt;250,1,WWWW[[#This Row],[Total PoP ]]/250),0)</f>
        <v>1</v>
      </c>
      <c r="BE38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0.73943661971830987</v>
      </c>
      <c r="BF386" s="772">
        <f>WWWW[[#This Row],[% people access to functioning Latrine]]*WWWW[[#This Row],[Total PoP ]]</f>
        <v>210</v>
      </c>
      <c r="BG386" s="770">
        <f>WWWW[[#This Row],['#_of_Functioning_latrines_in_school]]*50</f>
        <v>0</v>
      </c>
      <c r="BH386" s="770">
        <f>ROUND((WWWW[[#This Row],[Total PoP ]]/6),0)</f>
        <v>47</v>
      </c>
      <c r="BI386" s="770">
        <f>IF(WWWW[[#This Row],[Total required Latrines]]-(WWWW[[#This Row],['#_of_sanitary_fly-proof_HH_latrines]])&lt;0,0,WWWW[[#This Row],[Total required Latrines]]-(WWWW[[#This Row],['#_of_sanitary_fly-proof_HH_latrines]]))</f>
        <v>12</v>
      </c>
      <c r="BJ386" s="771">
        <f>1-WWWW[[#This Row],[% people access to functioning Latrine]]</f>
        <v>0.26056338028169013</v>
      </c>
      <c r="BK386"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86" s="772">
        <f>IF(WWWW[[#This Row],['#_of_functional_handwashing_facilities_at_HH_level]]*6&gt;WWWW[[#This Row],[Total PoP ]],WWWW[[#This Row],[Total PoP ]],WWWW[[#This Row],['#_of_functional_handwashing_facilities_at_HH_level]]*6)</f>
        <v>0</v>
      </c>
      <c r="BM386" s="770">
        <f>IF(WWWW[[#This Row],['# people reached by regular dedicated hygiene promotion]]&gt;WWWW[[#This Row],['# People received regular supply of hygiene items]],WWWW[[#This Row],['# people reached by regular dedicated hygiene promotion]],WWWW[[#This Row],['# People received regular supply of hygiene items]])</f>
        <v>0</v>
      </c>
      <c r="BN386" s="476">
        <f>IF(WWWW[[#This Row],[HRP3]]/WWWW[[#This Row],[Total PoP ]]&gt;100%,100%,WWWW[[#This Row],[HRP3]]/WWWW[[#This Row],[Total PoP ]])</f>
        <v>0</v>
      </c>
      <c r="BO386" s="771">
        <f>1-WWWW[[#This Row],[Hygiene Coverage%]]</f>
        <v>1</v>
      </c>
      <c r="BP386" s="769">
        <f>WWWW[[#This Row],['# people reached by regular dedicated hygiene promotion]]/WWWW[[#This Row],[Total PoP ]]</f>
        <v>0</v>
      </c>
      <c r="BQ38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86" s="770">
        <f>WWWW[[#This Row],['#_of_affected_women_and_girls_receiving_a_sufficient_quantity_of_sanitary_pads]]</f>
        <v>0</v>
      </c>
      <c r="BS386" s="773">
        <f>IF(WWWW[[#This Row],['# People with access to soap]]&gt;WWWW[[#This Row],['# People with access to Sanity Pads]],WWWW[[#This Row],['# People with access to soap]],WWWW[[#This Row],['# People with access to Sanity Pads]])</f>
        <v>0</v>
      </c>
      <c r="BT386" s="772" t="str">
        <f>IF(OR(WWWW[[#This Row],['#of students in school]]="",WWWW[[#This Row],['#of students in school]]=0),"No","Yes")</f>
        <v>No</v>
      </c>
      <c r="BU386" s="480" t="str">
        <f>VLOOKUP(WWWW[[#This Row],[Village  Name]],SiteDB6[[Site Name]:[Location Type 1]],9,FALSE)</f>
        <v>Village</v>
      </c>
      <c r="BV386" s="480" t="str">
        <f>VLOOKUP(WWWW[[#This Row],[Village  Name]],SiteDB6[[Site Name]:[Type of Accommodation]],10,FALSE)</f>
        <v>Village</v>
      </c>
      <c r="BW386" s="480">
        <f>VLOOKUP(WWWW[[#This Row],[Village  Name]],SiteDB6[[Site Name]:[Ethnic or GCA/NGCA]],11,FALSE)</f>
        <v>0</v>
      </c>
      <c r="BX386" s="480">
        <f>VLOOKUP(WWWW[[#This Row],[Village  Name]],SiteDB6[[Site Name]:[Lat]],12,FALSE)</f>
        <v>0</v>
      </c>
      <c r="BY386" s="480">
        <f>VLOOKUP(WWWW[[#This Row],[Village  Name]],SiteDB6[[Site Name]:[Long]],13,FALSE)</f>
        <v>0</v>
      </c>
      <c r="BZ386" s="480">
        <f>VLOOKUP(WWWW[[#This Row],[Village  Name]],SiteDB6[[Site Name]:[Pcode]],3,FALSE)</f>
        <v>0</v>
      </c>
      <c r="CA386" s="480" t="str">
        <f t="shared" si="23"/>
        <v>Covered</v>
      </c>
      <c r="CB386" s="505"/>
    </row>
    <row r="387" spans="1:80">
      <c r="A387" s="774" t="s">
        <v>3199</v>
      </c>
      <c r="B387" s="774" t="s">
        <v>308</v>
      </c>
      <c r="C387" s="415"/>
      <c r="D387" s="415" t="s">
        <v>327</v>
      </c>
      <c r="E387" s="415" t="s">
        <v>3274</v>
      </c>
      <c r="F387" s="415" t="s">
        <v>3275</v>
      </c>
      <c r="G387" s="644" t="str">
        <f>VLOOKUP(WWWW[[#This Row],[Village  Name]],SiteDB6[[Site Name]:[Location Type]],8,FALSE)</f>
        <v>Village</v>
      </c>
      <c r="H387" s="415" t="s">
        <v>3290</v>
      </c>
      <c r="I387" s="773">
        <v>154</v>
      </c>
      <c r="J387" s="773">
        <v>977</v>
      </c>
      <c r="K387" s="418">
        <v>43300</v>
      </c>
      <c r="L387" s="55">
        <v>44377</v>
      </c>
      <c r="M387" s="773">
        <v>0</v>
      </c>
      <c r="N387" s="773">
        <v>0</v>
      </c>
      <c r="O387" s="773">
        <v>6</v>
      </c>
      <c r="P387" s="773">
        <v>0</v>
      </c>
      <c r="Q387" s="773">
        <v>0</v>
      </c>
      <c r="R387" s="773">
        <v>12000</v>
      </c>
      <c r="S387" s="773">
        <v>0</v>
      </c>
      <c r="T387" s="773">
        <v>1</v>
      </c>
      <c r="U387" s="551"/>
      <c r="V387" s="773">
        <v>85</v>
      </c>
      <c r="W387" s="773" t="s">
        <v>130</v>
      </c>
      <c r="X387" s="773">
        <v>2</v>
      </c>
      <c r="Y387" s="773">
        <v>0</v>
      </c>
      <c r="Z387" s="773">
        <v>0</v>
      </c>
      <c r="AA387" s="773">
        <v>0</v>
      </c>
      <c r="AB387" s="773">
        <v>0</v>
      </c>
      <c r="AC387" s="551"/>
      <c r="AD387" s="773">
        <v>0</v>
      </c>
      <c r="AE387" s="773">
        <v>0</v>
      </c>
      <c r="AF387" s="773">
        <v>0</v>
      </c>
      <c r="AG387" s="773">
        <v>0</v>
      </c>
      <c r="AH387" s="773">
        <v>0</v>
      </c>
      <c r="AI387" s="773">
        <v>0</v>
      </c>
      <c r="AJ387" s="773">
        <v>0</v>
      </c>
      <c r="AK387" s="773">
        <v>0</v>
      </c>
      <c r="AL387" s="773">
        <v>0</v>
      </c>
      <c r="AM387" s="773">
        <v>0</v>
      </c>
      <c r="AN387" s="551"/>
      <c r="AO387" s="769">
        <v>0</v>
      </c>
      <c r="AP387" s="769">
        <v>0</v>
      </c>
      <c r="AQ387" s="773">
        <v>0</v>
      </c>
      <c r="AR387" s="773">
        <v>0</v>
      </c>
      <c r="AS387" s="773">
        <v>0</v>
      </c>
      <c r="AT387"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87" s="772">
        <f>WWWW[[#This Row],[%Equitable and continuous access to sufficient quantity of safe drinking water]]*WWWW[[#This Row],[Total PoP ]]</f>
        <v>977</v>
      </c>
      <c r="AV387"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87" s="772">
        <f>WWWW[[#This Row],[% Access to unimproved water points]]*WWWW[[#This Row],[Total PoP ]]</f>
        <v>0</v>
      </c>
      <c r="AX387"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87"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977</v>
      </c>
      <c r="AZ387" s="772">
        <f>WWWW[[#This Row],[HRP1]]/250</f>
        <v>3.9079999999999999</v>
      </c>
      <c r="BA387" s="476">
        <f>1-WWWW[[#This Row],[% Equitable and continuous access to sufficient quantity of domestic water]]</f>
        <v>0</v>
      </c>
      <c r="BB387" s="772">
        <f>WWWW[[#This Row],[%equitable and continuous access to sufficient quantity of safe drinking and domestic water''s GAP]]*WWWW[[#This Row],[Total PoP ]]</f>
        <v>0</v>
      </c>
      <c r="BC387" s="770">
        <f>IF(WWWW[[#This Row],[Total required water points]]-WWWW[[#This Row],['#Water points coverage]]&lt;0,0,WWWW[[#This Row],[Total required water points]]-WWWW[[#This Row],['#Water points coverage]])</f>
        <v>9.2000000000000082E-2</v>
      </c>
      <c r="BD387" s="770">
        <f>ROUND(IF(WWWW[[#This Row],[Total PoP ]]&lt;250,1,WWWW[[#This Row],[Total PoP ]]/250),0)</f>
        <v>4</v>
      </c>
      <c r="BE38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0.52200614124872058</v>
      </c>
      <c r="BF387" s="772">
        <f>WWWW[[#This Row],[% people access to functioning Latrine]]*WWWW[[#This Row],[Total PoP ]]</f>
        <v>510</v>
      </c>
      <c r="BG387" s="770">
        <f>WWWW[[#This Row],['#_of_Functioning_latrines_in_school]]*50</f>
        <v>100</v>
      </c>
      <c r="BH387" s="770">
        <f>ROUND((WWWW[[#This Row],[Total PoP ]]/6),0)</f>
        <v>163</v>
      </c>
      <c r="BI387" s="770">
        <f>IF(WWWW[[#This Row],[Total required Latrines]]-(WWWW[[#This Row],['#_of_sanitary_fly-proof_HH_latrines]])&lt;0,0,WWWW[[#This Row],[Total required Latrines]]-(WWWW[[#This Row],['#_of_sanitary_fly-proof_HH_latrines]]))</f>
        <v>78</v>
      </c>
      <c r="BJ387" s="771">
        <f>1-WWWW[[#This Row],[% people access to functioning Latrine]]</f>
        <v>0.47799385875127942</v>
      </c>
      <c r="BK387"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87" s="772">
        <f>IF(WWWW[[#This Row],['#_of_functional_handwashing_facilities_at_HH_level]]*6&gt;WWWW[[#This Row],[Total PoP ]],WWWW[[#This Row],[Total PoP ]],WWWW[[#This Row],['#_of_functional_handwashing_facilities_at_HH_level]]*6)</f>
        <v>0</v>
      </c>
      <c r="BM387" s="770">
        <f>IF(WWWW[[#This Row],['# people reached by regular dedicated hygiene promotion]]&gt;WWWW[[#This Row],['# People received regular supply of hygiene items]],WWWW[[#This Row],['# people reached by regular dedicated hygiene promotion]],WWWW[[#This Row],['# People received regular supply of hygiene items]])</f>
        <v>0</v>
      </c>
      <c r="BN387" s="476">
        <f>IF(WWWW[[#This Row],[HRP3]]/WWWW[[#This Row],[Total PoP ]]&gt;100%,100%,WWWW[[#This Row],[HRP3]]/WWWW[[#This Row],[Total PoP ]])</f>
        <v>0</v>
      </c>
      <c r="BO387" s="771">
        <f>1-WWWW[[#This Row],[Hygiene Coverage%]]</f>
        <v>1</v>
      </c>
      <c r="BP387" s="769">
        <f>WWWW[[#This Row],['# people reached by regular dedicated hygiene promotion]]/WWWW[[#This Row],[Total PoP ]]</f>
        <v>0</v>
      </c>
      <c r="BQ38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87" s="770">
        <f>WWWW[[#This Row],['#_of_affected_women_and_girls_receiving_a_sufficient_quantity_of_sanitary_pads]]</f>
        <v>0</v>
      </c>
      <c r="BS387" s="773">
        <f>IF(WWWW[[#This Row],['# People with access to soap]]&gt;WWWW[[#This Row],['# People with access to Sanity Pads]],WWWW[[#This Row],['# People with access to soap]],WWWW[[#This Row],['# People with access to Sanity Pads]])</f>
        <v>0</v>
      </c>
      <c r="BT387" s="772" t="str">
        <f>IF(OR(WWWW[[#This Row],['#of students in school]]="",WWWW[[#This Row],['#of students in school]]=0),"No","Yes")</f>
        <v>No</v>
      </c>
      <c r="BU387" s="480" t="str">
        <f>VLOOKUP(WWWW[[#This Row],[Village  Name]],SiteDB6[[Site Name]:[Location Type 1]],9,FALSE)</f>
        <v>Village</v>
      </c>
      <c r="BV387" s="480" t="str">
        <f>VLOOKUP(WWWW[[#This Row],[Village  Name]],SiteDB6[[Site Name]:[Type of Accommodation]],10,FALSE)</f>
        <v>Village</v>
      </c>
      <c r="BW387" s="480">
        <f>VLOOKUP(WWWW[[#This Row],[Village  Name]],SiteDB6[[Site Name]:[Ethnic or GCA/NGCA]],11,FALSE)</f>
        <v>0</v>
      </c>
      <c r="BX387" s="480">
        <f>VLOOKUP(WWWW[[#This Row],[Village  Name]],SiteDB6[[Site Name]:[Lat]],12,FALSE)</f>
        <v>0</v>
      </c>
      <c r="BY387" s="480">
        <f>VLOOKUP(WWWW[[#This Row],[Village  Name]],SiteDB6[[Site Name]:[Long]],13,FALSE)</f>
        <v>0</v>
      </c>
      <c r="BZ387" s="480">
        <f>VLOOKUP(WWWW[[#This Row],[Village  Name]],SiteDB6[[Site Name]:[Pcode]],3,FALSE)</f>
        <v>0</v>
      </c>
      <c r="CA387" s="480" t="str">
        <f t="shared" si="23"/>
        <v>Covered</v>
      </c>
      <c r="CB387" s="505"/>
    </row>
    <row r="388" spans="1:80">
      <c r="A388" s="774" t="s">
        <v>3199</v>
      </c>
      <c r="B388" s="774" t="s">
        <v>308</v>
      </c>
      <c r="C388" s="415"/>
      <c r="D388" s="415" t="s">
        <v>327</v>
      </c>
      <c r="E388" s="415" t="s">
        <v>3274</v>
      </c>
      <c r="F388" s="415" t="s">
        <v>3275</v>
      </c>
      <c r="G388" s="644" t="str">
        <f>VLOOKUP(WWWW[[#This Row],[Village  Name]],SiteDB6[[Site Name]:[Location Type]],8,FALSE)</f>
        <v>Village</v>
      </c>
      <c r="H388" s="415" t="s">
        <v>3291</v>
      </c>
      <c r="I388" s="773">
        <v>44</v>
      </c>
      <c r="J388" s="773">
        <v>248</v>
      </c>
      <c r="K388" s="418">
        <v>43300</v>
      </c>
      <c r="L388" s="55">
        <v>44377</v>
      </c>
      <c r="M388" s="773">
        <v>0</v>
      </c>
      <c r="N388" s="773">
        <v>0</v>
      </c>
      <c r="O388" s="773">
        <v>11</v>
      </c>
      <c r="P388" s="773">
        <v>0</v>
      </c>
      <c r="Q388" s="773">
        <v>0</v>
      </c>
      <c r="R388" s="773">
        <v>0</v>
      </c>
      <c r="S388" s="773">
        <v>0</v>
      </c>
      <c r="T388" s="773">
        <v>0</v>
      </c>
      <c r="U388" s="551"/>
      <c r="V388" s="773">
        <v>14</v>
      </c>
      <c r="W388" s="773" t="s">
        <v>130</v>
      </c>
      <c r="X388" s="773">
        <v>0</v>
      </c>
      <c r="Y388" s="773">
        <v>0</v>
      </c>
      <c r="Z388" s="773">
        <v>0</v>
      </c>
      <c r="AA388" s="773">
        <v>0</v>
      </c>
      <c r="AB388" s="773">
        <v>0</v>
      </c>
      <c r="AC388" s="551"/>
      <c r="AD388" s="773">
        <v>0</v>
      </c>
      <c r="AE388" s="773">
        <v>0</v>
      </c>
      <c r="AF388" s="773">
        <v>0</v>
      </c>
      <c r="AG388" s="773">
        <v>0</v>
      </c>
      <c r="AH388" s="773">
        <v>0</v>
      </c>
      <c r="AI388" s="773">
        <v>0</v>
      </c>
      <c r="AJ388" s="773">
        <v>0</v>
      </c>
      <c r="AK388" s="773">
        <v>0</v>
      </c>
      <c r="AL388" s="773">
        <v>0</v>
      </c>
      <c r="AM388" s="773">
        <v>0</v>
      </c>
      <c r="AN388" s="551"/>
      <c r="AO388" s="769">
        <v>0</v>
      </c>
      <c r="AP388" s="769">
        <v>0</v>
      </c>
      <c r="AQ388" s="773">
        <v>0</v>
      </c>
      <c r="AR388" s="773">
        <v>0</v>
      </c>
      <c r="AS388" s="773">
        <v>0</v>
      </c>
      <c r="AT388"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88" s="772">
        <f>WWWW[[#This Row],[%Equitable and continuous access to sufficient quantity of safe drinking water]]*WWWW[[#This Row],[Total PoP ]]</f>
        <v>248</v>
      </c>
      <c r="AV388"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88" s="772">
        <f>WWWW[[#This Row],[% Access to unimproved water points]]*WWWW[[#This Row],[Total PoP ]]</f>
        <v>0</v>
      </c>
      <c r="AX388"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88"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248</v>
      </c>
      <c r="AZ388" s="772">
        <f>WWWW[[#This Row],[HRP1]]/250</f>
        <v>0.99199999999999999</v>
      </c>
      <c r="BA388" s="476">
        <f>1-WWWW[[#This Row],[% Equitable and continuous access to sufficient quantity of domestic water]]</f>
        <v>0</v>
      </c>
      <c r="BB388" s="772">
        <f>WWWW[[#This Row],[%equitable and continuous access to sufficient quantity of safe drinking and domestic water''s GAP]]*WWWW[[#This Row],[Total PoP ]]</f>
        <v>0</v>
      </c>
      <c r="BC388" s="770">
        <f>IF(WWWW[[#This Row],[Total required water points]]-WWWW[[#This Row],['#Water points coverage]]&lt;0,0,WWWW[[#This Row],[Total required water points]]-WWWW[[#This Row],['#Water points coverage]])</f>
        <v>8.0000000000000071E-3</v>
      </c>
      <c r="BD388" s="770">
        <f>ROUND(IF(WWWW[[#This Row],[Total PoP ]]&lt;250,1,WWWW[[#This Row],[Total PoP ]]/250),0)</f>
        <v>1</v>
      </c>
      <c r="BE38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0.33870967741935482</v>
      </c>
      <c r="BF388" s="772">
        <f>WWWW[[#This Row],[% people access to functioning Latrine]]*WWWW[[#This Row],[Total PoP ]]</f>
        <v>84</v>
      </c>
      <c r="BG388" s="770">
        <f>WWWW[[#This Row],['#_of_Functioning_latrines_in_school]]*50</f>
        <v>0</v>
      </c>
      <c r="BH388" s="770">
        <f>ROUND((WWWW[[#This Row],[Total PoP ]]/6),0)</f>
        <v>41</v>
      </c>
      <c r="BI388" s="770">
        <f>IF(WWWW[[#This Row],[Total required Latrines]]-(WWWW[[#This Row],['#_of_sanitary_fly-proof_HH_latrines]])&lt;0,0,WWWW[[#This Row],[Total required Latrines]]-(WWWW[[#This Row],['#_of_sanitary_fly-proof_HH_latrines]]))</f>
        <v>27</v>
      </c>
      <c r="BJ388" s="771">
        <f>1-WWWW[[#This Row],[% people access to functioning Latrine]]</f>
        <v>0.66129032258064524</v>
      </c>
      <c r="BK388"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388" s="772">
        <f>IF(WWWW[[#This Row],['#_of_functional_handwashing_facilities_at_HH_level]]*6&gt;WWWW[[#This Row],[Total PoP ]],WWWW[[#This Row],[Total PoP ]],WWWW[[#This Row],['#_of_functional_handwashing_facilities_at_HH_level]]*6)</f>
        <v>0</v>
      </c>
      <c r="BM388" s="770">
        <f>IF(WWWW[[#This Row],['# people reached by regular dedicated hygiene promotion]]&gt;WWWW[[#This Row],['# People received regular supply of hygiene items]],WWWW[[#This Row],['# people reached by regular dedicated hygiene promotion]],WWWW[[#This Row],['# People received regular supply of hygiene items]])</f>
        <v>0</v>
      </c>
      <c r="BN388" s="476">
        <f>IF(WWWW[[#This Row],[HRP3]]/WWWW[[#This Row],[Total PoP ]]&gt;100%,100%,WWWW[[#This Row],[HRP3]]/WWWW[[#This Row],[Total PoP ]])</f>
        <v>0</v>
      </c>
      <c r="BO388" s="771">
        <f>1-WWWW[[#This Row],[Hygiene Coverage%]]</f>
        <v>1</v>
      </c>
      <c r="BP388" s="769">
        <f>WWWW[[#This Row],['# people reached by regular dedicated hygiene promotion]]/WWWW[[#This Row],[Total PoP ]]</f>
        <v>0</v>
      </c>
      <c r="BQ38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88" s="770">
        <f>WWWW[[#This Row],['#_of_affected_women_and_girls_receiving_a_sufficient_quantity_of_sanitary_pads]]</f>
        <v>0</v>
      </c>
      <c r="BS388" s="773">
        <f>IF(WWWW[[#This Row],['# People with access to soap]]&gt;WWWW[[#This Row],['# People with access to Sanity Pads]],WWWW[[#This Row],['# People with access to soap]],WWWW[[#This Row],['# People with access to Sanity Pads]])</f>
        <v>0</v>
      </c>
      <c r="BT388" s="772" t="str">
        <f>IF(OR(WWWW[[#This Row],['#of students in school]]="",WWWW[[#This Row],['#of students in school]]=0),"No","Yes")</f>
        <v>No</v>
      </c>
      <c r="BU388" s="480" t="str">
        <f>VLOOKUP(WWWW[[#This Row],[Village  Name]],SiteDB6[[Site Name]:[Location Type 1]],9,FALSE)</f>
        <v>Village</v>
      </c>
      <c r="BV388" s="480" t="str">
        <f>VLOOKUP(WWWW[[#This Row],[Village  Name]],SiteDB6[[Site Name]:[Type of Accommodation]],10,FALSE)</f>
        <v>Village</v>
      </c>
      <c r="BW388" s="480">
        <f>VLOOKUP(WWWW[[#This Row],[Village  Name]],SiteDB6[[Site Name]:[Ethnic or GCA/NGCA]],11,FALSE)</f>
        <v>0</v>
      </c>
      <c r="BX388" s="480">
        <f>VLOOKUP(WWWW[[#This Row],[Village  Name]],SiteDB6[[Site Name]:[Lat]],12,FALSE)</f>
        <v>0</v>
      </c>
      <c r="BY388" s="480">
        <f>VLOOKUP(WWWW[[#This Row],[Village  Name]],SiteDB6[[Site Name]:[Long]],13,FALSE)</f>
        <v>0</v>
      </c>
      <c r="BZ388" s="480">
        <f>VLOOKUP(WWWW[[#This Row],[Village  Name]],SiteDB6[[Site Name]:[Pcode]],3,FALSE)</f>
        <v>0</v>
      </c>
      <c r="CA388" s="480" t="str">
        <f t="shared" si="23"/>
        <v>Covered</v>
      </c>
      <c r="CB388" s="505"/>
    </row>
    <row r="389" spans="1:80">
      <c r="A389" s="774" t="s">
        <v>3199</v>
      </c>
      <c r="B389" s="774" t="s">
        <v>2812</v>
      </c>
      <c r="C389" s="703" t="s">
        <v>2812</v>
      </c>
      <c r="D389" s="415" t="s">
        <v>3176</v>
      </c>
      <c r="E389" s="415" t="s">
        <v>36</v>
      </c>
      <c r="F389" s="415" t="s">
        <v>132</v>
      </c>
      <c r="G389" s="705" t="str">
        <f>VLOOKUP(WWWW[[#This Row],[Village  Name]],SiteDB6[[Site Name]:[Location Type]],8,FALSE)</f>
        <v>Village</v>
      </c>
      <c r="H389" s="415" t="s">
        <v>3177</v>
      </c>
      <c r="I389" s="773">
        <v>43</v>
      </c>
      <c r="J389" s="773">
        <v>185</v>
      </c>
      <c r="K389" s="418">
        <v>43081</v>
      </c>
      <c r="L389" s="55">
        <v>44104</v>
      </c>
      <c r="M389" s="773"/>
      <c r="N389" s="773"/>
      <c r="O389" s="773">
        <v>1</v>
      </c>
      <c r="P389" s="773"/>
      <c r="Q389" s="773"/>
      <c r="R389" s="773"/>
      <c r="S389" s="773"/>
      <c r="T389" s="773"/>
      <c r="U389" s="551"/>
      <c r="V389" s="773">
        <v>33</v>
      </c>
      <c r="W389" s="773"/>
      <c r="X389" s="773">
        <v>2</v>
      </c>
      <c r="Y389" s="773"/>
      <c r="Z389" s="773"/>
      <c r="AA389" s="773"/>
      <c r="AB389" s="773"/>
      <c r="AC389" s="551"/>
      <c r="AD389" s="773">
        <v>11</v>
      </c>
      <c r="AE389" s="773">
        <v>18</v>
      </c>
      <c r="AF389" s="773"/>
      <c r="AG389" s="773"/>
      <c r="AH389" s="773"/>
      <c r="AI389" s="773"/>
      <c r="AJ389" s="773"/>
      <c r="AK389" s="773"/>
      <c r="AL389" s="773"/>
      <c r="AM389" s="773"/>
      <c r="AN389" s="551"/>
      <c r="AO389" s="769"/>
      <c r="AP389" s="769"/>
      <c r="AQ389" s="773"/>
      <c r="AR389" s="773"/>
      <c r="AS389" s="773"/>
      <c r="AT389"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89" s="772">
        <f>WWWW[[#This Row],[%Equitable and continuous access to sufficient quantity of safe drinking water]]*WWWW[[#This Row],[Total PoP ]]</f>
        <v>185</v>
      </c>
      <c r="AV389"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89" s="772">
        <f>WWWW[[#This Row],[% Access to unimproved water points]]*WWWW[[#This Row],[Total PoP ]]</f>
        <v>0</v>
      </c>
      <c r="AX389"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89"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185</v>
      </c>
      <c r="AZ389" s="772">
        <f>WWWW[[#This Row],[HRP1]]/250</f>
        <v>0.74</v>
      </c>
      <c r="BA389" s="476">
        <f>1-WWWW[[#This Row],[% Equitable and continuous access to sufficient quantity of domestic water]]</f>
        <v>0</v>
      </c>
      <c r="BB389" s="772">
        <f>WWWW[[#This Row],[%equitable and continuous access to sufficient quantity of safe drinking and domestic water''s GAP]]*WWWW[[#This Row],[Total PoP ]]</f>
        <v>0</v>
      </c>
      <c r="BC389" s="770">
        <f>IF(WWWW[[#This Row],[Total required water points]]-WWWW[[#This Row],['#Water points coverage]]&lt;0,0,WWWW[[#This Row],[Total required water points]]-WWWW[[#This Row],['#Water points coverage]])</f>
        <v>0.26</v>
      </c>
      <c r="BD389" s="770">
        <f>ROUND(IF(WWWW[[#This Row],[Total PoP ]]&lt;250,1,WWWW[[#This Row],[Total PoP ]]/250),0)</f>
        <v>1</v>
      </c>
      <c r="BE38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389" s="772">
        <f>WWWW[[#This Row],[% people access to functioning Latrine]]*WWWW[[#This Row],[Total PoP ]]</f>
        <v>185</v>
      </c>
      <c r="BG389" s="770">
        <f>WWWW[[#This Row],['#_of_Functioning_latrines_in_school]]*50</f>
        <v>100</v>
      </c>
      <c r="BH389" s="770">
        <f>ROUND((WWWW[[#This Row],[Total PoP ]]/6),0)</f>
        <v>31</v>
      </c>
      <c r="BI389" s="770">
        <f>IF(WWWW[[#This Row],[Total required Latrines]]-(WWWW[[#This Row],['#_of_sanitary_fly-proof_HH_latrines]])&lt;0,0,WWWW[[#This Row],[Total required Latrines]]-(WWWW[[#This Row],['#_of_sanitary_fly-proof_HH_latrines]]))</f>
        <v>0</v>
      </c>
      <c r="BJ389" s="771">
        <f>1-WWWW[[#This Row],[% people access to functioning Latrine]]</f>
        <v>0</v>
      </c>
      <c r="BK389"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29</v>
      </c>
      <c r="BL389" s="772">
        <f>IF(WWWW[[#This Row],['#_of_functional_handwashing_facilities_at_HH_level]]*6&gt;WWWW[[#This Row],[Total PoP ]],WWWW[[#This Row],[Total PoP ]],WWWW[[#This Row],['#_of_functional_handwashing_facilities_at_HH_level]]*6)</f>
        <v>0</v>
      </c>
      <c r="BM389" s="770">
        <f>IF(WWWW[[#This Row],['# people reached by regular dedicated hygiene promotion]]&gt;WWWW[[#This Row],['# People received regular supply of hygiene items]],WWWW[[#This Row],['# people reached by regular dedicated hygiene promotion]],WWWW[[#This Row],['# People received regular supply of hygiene items]])</f>
        <v>29</v>
      </c>
      <c r="BN389" s="476">
        <f>IF(WWWW[[#This Row],[HRP3]]/WWWW[[#This Row],[Total PoP ]]&gt;100%,100%,WWWW[[#This Row],[HRP3]]/WWWW[[#This Row],[Total PoP ]])</f>
        <v>0.15675675675675677</v>
      </c>
      <c r="BO389" s="771">
        <f>1-WWWW[[#This Row],[Hygiene Coverage%]]</f>
        <v>0.84324324324324329</v>
      </c>
      <c r="BP389" s="769">
        <f>WWWW[[#This Row],['# people reached by regular dedicated hygiene promotion]]/WWWW[[#This Row],[Total PoP ]]</f>
        <v>0.15675675675675677</v>
      </c>
      <c r="BQ38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89" s="770">
        <f>WWWW[[#This Row],['#_of_affected_women_and_girls_receiving_a_sufficient_quantity_of_sanitary_pads]]</f>
        <v>0</v>
      </c>
      <c r="BS389" s="773">
        <f>IF(WWWW[[#This Row],['# People with access to soap]]&gt;WWWW[[#This Row],['# People with access to Sanity Pads]],WWWW[[#This Row],['# People with access to soap]],WWWW[[#This Row],['# People with access to Sanity Pads]])</f>
        <v>0</v>
      </c>
      <c r="BT389" s="772" t="str">
        <f>IF(OR(WWWW[[#This Row],['#of students in school]]="",WWWW[[#This Row],['#of students in school]]=0),"No","Yes")</f>
        <v>No</v>
      </c>
      <c r="BU389" s="480" t="str">
        <f>VLOOKUP(WWWW[[#This Row],[Village  Name]],SiteDB6[[Site Name]:[Location Type 1]],9,FALSE)</f>
        <v>Village</v>
      </c>
      <c r="BV389" s="480" t="str">
        <f>VLOOKUP(WWWW[[#This Row],[Village  Name]],SiteDB6[[Site Name]:[Type of Accommodation]],10,FALSE)</f>
        <v>Village</v>
      </c>
      <c r="BW389" s="480">
        <f>VLOOKUP(WWWW[[#This Row],[Village  Name]],SiteDB6[[Site Name]:[Ethnic or GCA/NGCA]],11,FALSE)</f>
        <v>0</v>
      </c>
      <c r="BX389" s="480">
        <f>VLOOKUP(WWWW[[#This Row],[Village  Name]],SiteDB6[[Site Name]:[Lat]],12,FALSE)</f>
        <v>0</v>
      </c>
      <c r="BY389" s="480">
        <f>VLOOKUP(WWWW[[#This Row],[Village  Name]],SiteDB6[[Site Name]:[Long]],13,FALSE)</f>
        <v>0</v>
      </c>
      <c r="BZ389" s="480">
        <f>VLOOKUP(WWWW[[#This Row],[Village  Name]],SiteDB6[[Site Name]:[Pcode]],3,FALSE)</f>
        <v>0</v>
      </c>
      <c r="CA389" s="480" t="str">
        <f t="shared" ref="CA389:CA409" si="24">IF(C389="none","Notcovered","Covered")</f>
        <v>Covered</v>
      </c>
      <c r="CB389" s="505"/>
    </row>
    <row r="390" spans="1:80">
      <c r="A390" s="774" t="s">
        <v>3199</v>
      </c>
      <c r="B390" s="774" t="s">
        <v>2812</v>
      </c>
      <c r="C390" s="703" t="s">
        <v>2812</v>
      </c>
      <c r="D390" s="415" t="s">
        <v>3176</v>
      </c>
      <c r="E390" s="415" t="s">
        <v>36</v>
      </c>
      <c r="F390" s="415" t="s">
        <v>132</v>
      </c>
      <c r="G390" s="705" t="str">
        <f>VLOOKUP(WWWW[[#This Row],[Village  Name]],SiteDB6[[Site Name]:[Location Type]],8,FALSE)</f>
        <v>Village</v>
      </c>
      <c r="H390" s="415" t="s">
        <v>3178</v>
      </c>
      <c r="I390" s="773">
        <v>33</v>
      </c>
      <c r="J390" s="773">
        <v>174</v>
      </c>
      <c r="K390" s="418">
        <v>43081</v>
      </c>
      <c r="L390" s="55">
        <v>44104</v>
      </c>
      <c r="M390" s="773"/>
      <c r="N390" s="773"/>
      <c r="O390" s="773">
        <v>1</v>
      </c>
      <c r="P390" s="773"/>
      <c r="Q390" s="773"/>
      <c r="R390" s="773"/>
      <c r="S390" s="773"/>
      <c r="T390" s="773"/>
      <c r="U390" s="551"/>
      <c r="V390" s="773">
        <v>26</v>
      </c>
      <c r="W390" s="773"/>
      <c r="X390" s="773"/>
      <c r="Y390" s="773"/>
      <c r="Z390" s="773"/>
      <c r="AA390" s="773"/>
      <c r="AB390" s="773"/>
      <c r="AC390" s="551"/>
      <c r="AD390" s="773">
        <v>5</v>
      </c>
      <c r="AE390" s="773">
        <v>20</v>
      </c>
      <c r="AF390" s="773"/>
      <c r="AG390" s="773"/>
      <c r="AH390" s="773"/>
      <c r="AI390" s="773"/>
      <c r="AJ390" s="773"/>
      <c r="AK390" s="773"/>
      <c r="AL390" s="773"/>
      <c r="AM390" s="773"/>
      <c r="AN390" s="551"/>
      <c r="AO390" s="769"/>
      <c r="AP390" s="769"/>
      <c r="AQ390" s="773"/>
      <c r="AR390" s="773"/>
      <c r="AS390" s="773"/>
      <c r="AT390"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90" s="772">
        <f>WWWW[[#This Row],[%Equitable and continuous access to sufficient quantity of safe drinking water]]*WWWW[[#This Row],[Total PoP ]]</f>
        <v>174</v>
      </c>
      <c r="AV390"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90" s="772">
        <f>WWWW[[#This Row],[% Access to unimproved water points]]*WWWW[[#This Row],[Total PoP ]]</f>
        <v>0</v>
      </c>
      <c r="AX390"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90"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174</v>
      </c>
      <c r="AZ390" s="772">
        <f>WWWW[[#This Row],[HRP1]]/250</f>
        <v>0.69599999999999995</v>
      </c>
      <c r="BA390" s="476">
        <f>1-WWWW[[#This Row],[% Equitable and continuous access to sufficient quantity of domestic water]]</f>
        <v>0</v>
      </c>
      <c r="BB390" s="772">
        <f>WWWW[[#This Row],[%equitable and continuous access to sufficient quantity of safe drinking and domestic water''s GAP]]*WWWW[[#This Row],[Total PoP ]]</f>
        <v>0</v>
      </c>
      <c r="BC390" s="770">
        <f>IF(WWWW[[#This Row],[Total required water points]]-WWWW[[#This Row],['#Water points coverage]]&lt;0,0,WWWW[[#This Row],[Total required water points]]-WWWW[[#This Row],['#Water points coverage]])</f>
        <v>0.30400000000000005</v>
      </c>
      <c r="BD390" s="770">
        <f>ROUND(IF(WWWW[[#This Row],[Total PoP ]]&lt;250,1,WWWW[[#This Row],[Total PoP ]]/250),0)</f>
        <v>1</v>
      </c>
      <c r="BE39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0.89655172413793105</v>
      </c>
      <c r="BF390" s="772">
        <f>WWWW[[#This Row],[% people access to functioning Latrine]]*WWWW[[#This Row],[Total PoP ]]</f>
        <v>156</v>
      </c>
      <c r="BG390" s="770">
        <f>WWWW[[#This Row],['#_of_Functioning_latrines_in_school]]*50</f>
        <v>0</v>
      </c>
      <c r="BH390" s="770">
        <f>ROUND((WWWW[[#This Row],[Total PoP ]]/6),0)</f>
        <v>29</v>
      </c>
      <c r="BI390" s="770">
        <f>IF(WWWW[[#This Row],[Total required Latrines]]-(WWWW[[#This Row],['#_of_sanitary_fly-proof_HH_latrines]])&lt;0,0,WWWW[[#This Row],[Total required Latrines]]-(WWWW[[#This Row],['#_of_sanitary_fly-proof_HH_latrines]]))</f>
        <v>3</v>
      </c>
      <c r="BJ390" s="771">
        <f>1-WWWW[[#This Row],[% people access to functioning Latrine]]</f>
        <v>0.10344827586206895</v>
      </c>
      <c r="BK390"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v>
      </c>
      <c r="BL390" s="772">
        <f>IF(WWWW[[#This Row],['#_of_functional_handwashing_facilities_at_HH_level]]*6&gt;WWWW[[#This Row],[Total PoP ]],WWWW[[#This Row],[Total PoP ]],WWWW[[#This Row],['#_of_functional_handwashing_facilities_at_HH_level]]*6)</f>
        <v>0</v>
      </c>
      <c r="BM390" s="770">
        <f>IF(WWWW[[#This Row],['# people reached by regular dedicated hygiene promotion]]&gt;WWWW[[#This Row],['# People received regular supply of hygiene items]],WWWW[[#This Row],['# people reached by regular dedicated hygiene promotion]],WWWW[[#This Row],['# People received regular supply of hygiene items]])</f>
        <v>25</v>
      </c>
      <c r="BN390" s="476">
        <f>IF(WWWW[[#This Row],[HRP3]]/WWWW[[#This Row],[Total PoP ]]&gt;100%,100%,WWWW[[#This Row],[HRP3]]/WWWW[[#This Row],[Total PoP ]])</f>
        <v>0.14367816091954022</v>
      </c>
      <c r="BO390" s="771">
        <f>1-WWWW[[#This Row],[Hygiene Coverage%]]</f>
        <v>0.85632183908045978</v>
      </c>
      <c r="BP390" s="769">
        <f>WWWW[[#This Row],['# people reached by regular dedicated hygiene promotion]]/WWWW[[#This Row],[Total PoP ]]</f>
        <v>0.14367816091954022</v>
      </c>
      <c r="BQ39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90" s="770">
        <f>WWWW[[#This Row],['#_of_affected_women_and_girls_receiving_a_sufficient_quantity_of_sanitary_pads]]</f>
        <v>0</v>
      </c>
      <c r="BS390" s="773">
        <f>IF(WWWW[[#This Row],['# People with access to soap]]&gt;WWWW[[#This Row],['# People with access to Sanity Pads]],WWWW[[#This Row],['# People with access to soap]],WWWW[[#This Row],['# People with access to Sanity Pads]])</f>
        <v>0</v>
      </c>
      <c r="BT390" s="772" t="str">
        <f>IF(OR(WWWW[[#This Row],['#of students in school]]="",WWWW[[#This Row],['#of students in school]]=0),"No","Yes")</f>
        <v>No</v>
      </c>
      <c r="BU390" s="480" t="str">
        <f>VLOOKUP(WWWW[[#This Row],[Village  Name]],SiteDB6[[Site Name]:[Location Type 1]],9,FALSE)</f>
        <v>Village</v>
      </c>
      <c r="BV390" s="480" t="str">
        <f>VLOOKUP(WWWW[[#This Row],[Village  Name]],SiteDB6[[Site Name]:[Type of Accommodation]],10,FALSE)</f>
        <v>Village</v>
      </c>
      <c r="BW390" s="480">
        <f>VLOOKUP(WWWW[[#This Row],[Village  Name]],SiteDB6[[Site Name]:[Ethnic or GCA/NGCA]],11,FALSE)</f>
        <v>0</v>
      </c>
      <c r="BX390" s="480">
        <f>VLOOKUP(WWWW[[#This Row],[Village  Name]],SiteDB6[[Site Name]:[Lat]],12,FALSE)</f>
        <v>0</v>
      </c>
      <c r="BY390" s="480">
        <f>VLOOKUP(WWWW[[#This Row],[Village  Name]],SiteDB6[[Site Name]:[Long]],13,FALSE)</f>
        <v>0</v>
      </c>
      <c r="BZ390" s="480">
        <f>VLOOKUP(WWWW[[#This Row],[Village  Name]],SiteDB6[[Site Name]:[Pcode]],3,FALSE)</f>
        <v>0</v>
      </c>
      <c r="CA390" s="480" t="str">
        <f t="shared" si="24"/>
        <v>Covered</v>
      </c>
      <c r="CB390" s="505"/>
    </row>
    <row r="391" spans="1:80">
      <c r="A391" s="774" t="s">
        <v>3199</v>
      </c>
      <c r="B391" s="774" t="s">
        <v>2812</v>
      </c>
      <c r="C391" s="703" t="s">
        <v>2812</v>
      </c>
      <c r="D391" s="415" t="s">
        <v>3176</v>
      </c>
      <c r="E391" s="415" t="s">
        <v>36</v>
      </c>
      <c r="F391" s="415" t="s">
        <v>132</v>
      </c>
      <c r="G391" s="705" t="str">
        <f>VLOOKUP(WWWW[[#This Row],[Village  Name]],SiteDB6[[Site Name]:[Location Type]],8,FALSE)</f>
        <v>Village</v>
      </c>
      <c r="H391" s="415" t="s">
        <v>3179</v>
      </c>
      <c r="I391" s="773">
        <v>15</v>
      </c>
      <c r="J391" s="773">
        <v>49</v>
      </c>
      <c r="K391" s="418">
        <v>43081</v>
      </c>
      <c r="L391" s="55">
        <v>44104</v>
      </c>
      <c r="M391" s="773"/>
      <c r="N391" s="773"/>
      <c r="O391" s="773"/>
      <c r="P391" s="773"/>
      <c r="Q391" s="773"/>
      <c r="R391" s="773"/>
      <c r="S391" s="773"/>
      <c r="T391" s="773"/>
      <c r="U391" s="551"/>
      <c r="V391" s="773">
        <v>15</v>
      </c>
      <c r="W391" s="773"/>
      <c r="X391" s="773"/>
      <c r="Y391" s="773"/>
      <c r="Z391" s="773"/>
      <c r="AA391" s="773"/>
      <c r="AB391" s="773"/>
      <c r="AC391" s="551"/>
      <c r="AD391" s="773">
        <v>4</v>
      </c>
      <c r="AE391" s="773">
        <v>6</v>
      </c>
      <c r="AF391" s="773"/>
      <c r="AG391" s="773"/>
      <c r="AH391" s="773"/>
      <c r="AI391" s="773"/>
      <c r="AJ391" s="773"/>
      <c r="AK391" s="773"/>
      <c r="AL391" s="773"/>
      <c r="AM391" s="773"/>
      <c r="AN391" s="551"/>
      <c r="AO391" s="769"/>
      <c r="AP391" s="769"/>
      <c r="AQ391" s="773"/>
      <c r="AR391" s="773"/>
      <c r="AS391" s="773"/>
      <c r="AT391"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91" s="772">
        <f>WWWW[[#This Row],[%Equitable and continuous access to sufficient quantity of safe drinking water]]*WWWW[[#This Row],[Total PoP ]]</f>
        <v>0</v>
      </c>
      <c r="AV391"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91" s="772">
        <f>WWWW[[#This Row],[% Access to unimproved water points]]*WWWW[[#This Row],[Total PoP ]]</f>
        <v>0</v>
      </c>
      <c r="AX391"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91"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91" s="772">
        <f>WWWW[[#This Row],[HRP1]]/250</f>
        <v>0</v>
      </c>
      <c r="BA391" s="476">
        <f>1-WWWW[[#This Row],[% Equitable and continuous access to sufficient quantity of domestic water]]</f>
        <v>1</v>
      </c>
      <c r="BB391" s="772">
        <f>WWWW[[#This Row],[%equitable and continuous access to sufficient quantity of safe drinking and domestic water''s GAP]]*WWWW[[#This Row],[Total PoP ]]</f>
        <v>49</v>
      </c>
      <c r="BC391" s="770">
        <f>IF(WWWW[[#This Row],[Total required water points]]-WWWW[[#This Row],['#Water points coverage]]&lt;0,0,WWWW[[#This Row],[Total required water points]]-WWWW[[#This Row],['#Water points coverage]])</f>
        <v>1</v>
      </c>
      <c r="BD391" s="770">
        <f>ROUND(IF(WWWW[[#This Row],[Total PoP ]]&lt;250,1,WWWW[[#This Row],[Total PoP ]]/250),0)</f>
        <v>1</v>
      </c>
      <c r="BE39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391" s="772">
        <f>WWWW[[#This Row],[% people access to functioning Latrine]]*WWWW[[#This Row],[Total PoP ]]</f>
        <v>49</v>
      </c>
      <c r="BG391" s="770">
        <f>WWWW[[#This Row],['#_of_Functioning_latrines_in_school]]*50</f>
        <v>0</v>
      </c>
      <c r="BH391" s="770">
        <f>ROUND((WWWW[[#This Row],[Total PoP ]]/6),0)</f>
        <v>8</v>
      </c>
      <c r="BI391" s="770">
        <f>IF(WWWW[[#This Row],[Total required Latrines]]-(WWWW[[#This Row],['#_of_sanitary_fly-proof_HH_latrines]])&lt;0,0,WWWW[[#This Row],[Total required Latrines]]-(WWWW[[#This Row],['#_of_sanitary_fly-proof_HH_latrines]]))</f>
        <v>0</v>
      </c>
      <c r="BJ391" s="771">
        <f>1-WWWW[[#This Row],[% people access to functioning Latrine]]</f>
        <v>0</v>
      </c>
      <c r="BK391"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10</v>
      </c>
      <c r="BL391" s="772">
        <f>IF(WWWW[[#This Row],['#_of_functional_handwashing_facilities_at_HH_level]]*6&gt;WWWW[[#This Row],[Total PoP ]],WWWW[[#This Row],[Total PoP ]],WWWW[[#This Row],['#_of_functional_handwashing_facilities_at_HH_level]]*6)</f>
        <v>0</v>
      </c>
      <c r="BM391" s="770">
        <f>IF(WWWW[[#This Row],['# people reached by regular dedicated hygiene promotion]]&gt;WWWW[[#This Row],['# People received regular supply of hygiene items]],WWWW[[#This Row],['# people reached by regular dedicated hygiene promotion]],WWWW[[#This Row],['# People received regular supply of hygiene items]])</f>
        <v>10</v>
      </c>
      <c r="BN391" s="476">
        <f>IF(WWWW[[#This Row],[HRP3]]/WWWW[[#This Row],[Total PoP ]]&gt;100%,100%,WWWW[[#This Row],[HRP3]]/WWWW[[#This Row],[Total PoP ]])</f>
        <v>0.20408163265306123</v>
      </c>
      <c r="BO391" s="771">
        <f>1-WWWW[[#This Row],[Hygiene Coverage%]]</f>
        <v>0.79591836734693877</v>
      </c>
      <c r="BP391" s="769">
        <f>WWWW[[#This Row],['# people reached by regular dedicated hygiene promotion]]/WWWW[[#This Row],[Total PoP ]]</f>
        <v>0.20408163265306123</v>
      </c>
      <c r="BQ39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91" s="770">
        <f>WWWW[[#This Row],['#_of_affected_women_and_girls_receiving_a_sufficient_quantity_of_sanitary_pads]]</f>
        <v>0</v>
      </c>
      <c r="BS391" s="773">
        <f>IF(WWWW[[#This Row],['# People with access to soap]]&gt;WWWW[[#This Row],['# People with access to Sanity Pads]],WWWW[[#This Row],['# People with access to soap]],WWWW[[#This Row],['# People with access to Sanity Pads]])</f>
        <v>0</v>
      </c>
      <c r="BT391" s="772" t="str">
        <f>IF(OR(WWWW[[#This Row],['#of students in school]]="",WWWW[[#This Row],['#of students in school]]=0),"No","Yes")</f>
        <v>No</v>
      </c>
      <c r="BU391" s="480" t="str">
        <f>VLOOKUP(WWWW[[#This Row],[Village  Name]],SiteDB6[[Site Name]:[Location Type 1]],9,FALSE)</f>
        <v>Village</v>
      </c>
      <c r="BV391" s="480" t="str">
        <f>VLOOKUP(WWWW[[#This Row],[Village  Name]],SiteDB6[[Site Name]:[Type of Accommodation]],10,FALSE)</f>
        <v>Village</v>
      </c>
      <c r="BW391" s="480">
        <f>VLOOKUP(WWWW[[#This Row],[Village  Name]],SiteDB6[[Site Name]:[Ethnic or GCA/NGCA]],11,FALSE)</f>
        <v>0</v>
      </c>
      <c r="BX391" s="480">
        <f>VLOOKUP(WWWW[[#This Row],[Village  Name]],SiteDB6[[Site Name]:[Lat]],12,FALSE)</f>
        <v>0</v>
      </c>
      <c r="BY391" s="480">
        <f>VLOOKUP(WWWW[[#This Row],[Village  Name]],SiteDB6[[Site Name]:[Long]],13,FALSE)</f>
        <v>0</v>
      </c>
      <c r="BZ391" s="480">
        <f>VLOOKUP(WWWW[[#This Row],[Village  Name]],SiteDB6[[Site Name]:[Pcode]],3,FALSE)</f>
        <v>0</v>
      </c>
      <c r="CA391" s="480" t="str">
        <f t="shared" si="24"/>
        <v>Covered</v>
      </c>
      <c r="CB391" s="505"/>
    </row>
    <row r="392" spans="1:80">
      <c r="A392" s="774" t="s">
        <v>3199</v>
      </c>
      <c r="B392" s="774" t="s">
        <v>2812</v>
      </c>
      <c r="C392" s="703" t="s">
        <v>2812</v>
      </c>
      <c r="D392" s="415" t="s">
        <v>3176</v>
      </c>
      <c r="E392" s="415" t="s">
        <v>36</v>
      </c>
      <c r="F392" s="415" t="s">
        <v>132</v>
      </c>
      <c r="G392" s="705" t="str">
        <f>VLOOKUP(WWWW[[#This Row],[Village  Name]],SiteDB6[[Site Name]:[Location Type]],8,FALSE)</f>
        <v>Village</v>
      </c>
      <c r="H392" s="415" t="s">
        <v>3180</v>
      </c>
      <c r="I392" s="773">
        <v>78</v>
      </c>
      <c r="J392" s="773">
        <v>302</v>
      </c>
      <c r="K392" s="418">
        <v>43081</v>
      </c>
      <c r="L392" s="55">
        <v>44104</v>
      </c>
      <c r="M392" s="773"/>
      <c r="N392" s="773"/>
      <c r="O392" s="773">
        <v>2</v>
      </c>
      <c r="P392" s="773"/>
      <c r="Q392" s="773"/>
      <c r="R392" s="773"/>
      <c r="S392" s="773"/>
      <c r="T392" s="773"/>
      <c r="U392" s="551"/>
      <c r="V392" s="773">
        <v>50</v>
      </c>
      <c r="W392" s="773"/>
      <c r="X392" s="773">
        <v>1</v>
      </c>
      <c r="Y392" s="773"/>
      <c r="Z392" s="773"/>
      <c r="AA392" s="773"/>
      <c r="AB392" s="773"/>
      <c r="AC392" s="551"/>
      <c r="AD392" s="773">
        <v>11</v>
      </c>
      <c r="AE392" s="773">
        <v>18</v>
      </c>
      <c r="AF392" s="773"/>
      <c r="AG392" s="773"/>
      <c r="AH392" s="773"/>
      <c r="AI392" s="773"/>
      <c r="AJ392" s="773"/>
      <c r="AK392" s="773"/>
      <c r="AL392" s="773"/>
      <c r="AM392" s="773"/>
      <c r="AN392" s="551"/>
      <c r="AO392" s="769"/>
      <c r="AP392" s="769"/>
      <c r="AQ392" s="773"/>
      <c r="AR392" s="773"/>
      <c r="AS392" s="773"/>
      <c r="AT392"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92" s="772">
        <f>WWWW[[#This Row],[%Equitable and continuous access to sufficient quantity of safe drinking water]]*WWWW[[#This Row],[Total PoP ]]</f>
        <v>302</v>
      </c>
      <c r="AV392"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92" s="772">
        <f>WWWW[[#This Row],[% Access to unimproved water points]]*WWWW[[#This Row],[Total PoP ]]</f>
        <v>0</v>
      </c>
      <c r="AX392"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92"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302</v>
      </c>
      <c r="AZ392" s="772">
        <f>WWWW[[#This Row],[HRP1]]/250</f>
        <v>1.208</v>
      </c>
      <c r="BA392" s="476">
        <f>1-WWWW[[#This Row],[% Equitable and continuous access to sufficient quantity of domestic water]]</f>
        <v>0</v>
      </c>
      <c r="BB392" s="772">
        <f>WWWW[[#This Row],[%equitable and continuous access to sufficient quantity of safe drinking and domestic water''s GAP]]*WWWW[[#This Row],[Total PoP ]]</f>
        <v>0</v>
      </c>
      <c r="BC392" s="770">
        <f>IF(WWWW[[#This Row],[Total required water points]]-WWWW[[#This Row],['#Water points coverage]]&lt;0,0,WWWW[[#This Row],[Total required water points]]-WWWW[[#This Row],['#Water points coverage]])</f>
        <v>0</v>
      </c>
      <c r="BD392" s="770">
        <f>ROUND(IF(WWWW[[#This Row],[Total PoP ]]&lt;250,1,WWWW[[#This Row],[Total PoP ]]/250),0)</f>
        <v>1</v>
      </c>
      <c r="BE39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0.99337748344370858</v>
      </c>
      <c r="BF392" s="772">
        <f>WWWW[[#This Row],[% people access to functioning Latrine]]*WWWW[[#This Row],[Total PoP ]]</f>
        <v>300</v>
      </c>
      <c r="BG392" s="770">
        <f>WWWW[[#This Row],['#_of_Functioning_latrines_in_school]]*50</f>
        <v>50</v>
      </c>
      <c r="BH392" s="770">
        <f>ROUND((WWWW[[#This Row],[Total PoP ]]/6),0)</f>
        <v>50</v>
      </c>
      <c r="BI392" s="770">
        <f>IF(WWWW[[#This Row],[Total required Latrines]]-(WWWW[[#This Row],['#_of_sanitary_fly-proof_HH_latrines]])&lt;0,0,WWWW[[#This Row],[Total required Latrines]]-(WWWW[[#This Row],['#_of_sanitary_fly-proof_HH_latrines]]))</f>
        <v>0</v>
      </c>
      <c r="BJ392" s="771">
        <f>1-WWWW[[#This Row],[% people access to functioning Latrine]]</f>
        <v>6.6225165562914245E-3</v>
      </c>
      <c r="BK392"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29</v>
      </c>
      <c r="BL392" s="772">
        <f>IF(WWWW[[#This Row],['#_of_functional_handwashing_facilities_at_HH_level]]*6&gt;WWWW[[#This Row],[Total PoP ]],WWWW[[#This Row],[Total PoP ]],WWWW[[#This Row],['#_of_functional_handwashing_facilities_at_HH_level]]*6)</f>
        <v>0</v>
      </c>
      <c r="BM392" s="770">
        <f>IF(WWWW[[#This Row],['# people reached by regular dedicated hygiene promotion]]&gt;WWWW[[#This Row],['# People received regular supply of hygiene items]],WWWW[[#This Row],['# people reached by regular dedicated hygiene promotion]],WWWW[[#This Row],['# People received regular supply of hygiene items]])</f>
        <v>29</v>
      </c>
      <c r="BN392" s="476">
        <f>IF(WWWW[[#This Row],[HRP3]]/WWWW[[#This Row],[Total PoP ]]&gt;100%,100%,WWWW[[#This Row],[HRP3]]/WWWW[[#This Row],[Total PoP ]])</f>
        <v>9.602649006622517E-2</v>
      </c>
      <c r="BO392" s="771">
        <f>1-WWWW[[#This Row],[Hygiene Coverage%]]</f>
        <v>0.90397350993377479</v>
      </c>
      <c r="BP392" s="769">
        <f>WWWW[[#This Row],['# people reached by regular dedicated hygiene promotion]]/WWWW[[#This Row],[Total PoP ]]</f>
        <v>9.602649006622517E-2</v>
      </c>
      <c r="BQ39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92" s="770">
        <f>WWWW[[#This Row],['#_of_affected_women_and_girls_receiving_a_sufficient_quantity_of_sanitary_pads]]</f>
        <v>0</v>
      </c>
      <c r="BS392" s="773">
        <f>IF(WWWW[[#This Row],['# People with access to soap]]&gt;WWWW[[#This Row],['# People with access to Sanity Pads]],WWWW[[#This Row],['# People with access to soap]],WWWW[[#This Row],['# People with access to Sanity Pads]])</f>
        <v>0</v>
      </c>
      <c r="BT392" s="772" t="str">
        <f>IF(OR(WWWW[[#This Row],['#of students in school]]="",WWWW[[#This Row],['#of students in school]]=0),"No","Yes")</f>
        <v>No</v>
      </c>
      <c r="BU392" s="480" t="str">
        <f>VLOOKUP(WWWW[[#This Row],[Village  Name]],SiteDB6[[Site Name]:[Location Type 1]],9,FALSE)</f>
        <v>Village</v>
      </c>
      <c r="BV392" s="480" t="str">
        <f>VLOOKUP(WWWW[[#This Row],[Village  Name]],SiteDB6[[Site Name]:[Type of Accommodation]],10,FALSE)</f>
        <v>Village</v>
      </c>
      <c r="BW392" s="480">
        <f>VLOOKUP(WWWW[[#This Row],[Village  Name]],SiteDB6[[Site Name]:[Ethnic or GCA/NGCA]],11,FALSE)</f>
        <v>0</v>
      </c>
      <c r="BX392" s="480">
        <f>VLOOKUP(WWWW[[#This Row],[Village  Name]],SiteDB6[[Site Name]:[Lat]],12,FALSE)</f>
        <v>0</v>
      </c>
      <c r="BY392" s="480">
        <f>VLOOKUP(WWWW[[#This Row],[Village  Name]],SiteDB6[[Site Name]:[Long]],13,FALSE)</f>
        <v>0</v>
      </c>
      <c r="BZ392" s="480">
        <f>VLOOKUP(WWWW[[#This Row],[Village  Name]],SiteDB6[[Site Name]:[Pcode]],3,FALSE)</f>
        <v>0</v>
      </c>
      <c r="CA392" s="480" t="str">
        <f t="shared" si="24"/>
        <v>Covered</v>
      </c>
      <c r="CB392" s="505"/>
    </row>
    <row r="393" spans="1:80">
      <c r="A393" s="774" t="s">
        <v>3199</v>
      </c>
      <c r="B393" s="774" t="s">
        <v>2812</v>
      </c>
      <c r="C393" s="703" t="s">
        <v>2812</v>
      </c>
      <c r="D393" s="415" t="s">
        <v>3176</v>
      </c>
      <c r="E393" s="415" t="s">
        <v>36</v>
      </c>
      <c r="F393" s="415" t="s">
        <v>132</v>
      </c>
      <c r="G393" s="705" t="str">
        <f>VLOOKUP(WWWW[[#This Row],[Village  Name]],SiteDB6[[Site Name]:[Location Type]],8,FALSE)</f>
        <v>Village</v>
      </c>
      <c r="H393" s="415" t="s">
        <v>3181</v>
      </c>
      <c r="I393" s="773">
        <v>62</v>
      </c>
      <c r="J393" s="773">
        <v>308</v>
      </c>
      <c r="K393" s="418">
        <v>43081</v>
      </c>
      <c r="L393" s="55">
        <v>44104</v>
      </c>
      <c r="M393" s="773"/>
      <c r="N393" s="773"/>
      <c r="O393" s="773">
        <v>1</v>
      </c>
      <c r="P393" s="773"/>
      <c r="Q393" s="773"/>
      <c r="R393" s="773"/>
      <c r="S393" s="773"/>
      <c r="T393" s="773"/>
      <c r="U393" s="551"/>
      <c r="V393" s="773">
        <v>59</v>
      </c>
      <c r="W393" s="773"/>
      <c r="X393" s="773">
        <v>2</v>
      </c>
      <c r="Y393" s="773"/>
      <c r="Z393" s="773"/>
      <c r="AA393" s="773"/>
      <c r="AB393" s="773"/>
      <c r="AC393" s="551"/>
      <c r="AD393" s="773">
        <v>10</v>
      </c>
      <c r="AE393" s="773">
        <v>15</v>
      </c>
      <c r="AF393" s="773"/>
      <c r="AG393" s="773"/>
      <c r="AH393" s="773"/>
      <c r="AI393" s="773"/>
      <c r="AJ393" s="773"/>
      <c r="AK393" s="773"/>
      <c r="AL393" s="773"/>
      <c r="AM393" s="773"/>
      <c r="AN393" s="551"/>
      <c r="AO393" s="769"/>
      <c r="AP393" s="769"/>
      <c r="AQ393" s="773"/>
      <c r="AR393" s="773"/>
      <c r="AS393" s="773"/>
      <c r="AT393"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93" s="772">
        <f>WWWW[[#This Row],[%Equitable and continuous access to sufficient quantity of safe drinking water]]*WWWW[[#This Row],[Total PoP ]]</f>
        <v>308</v>
      </c>
      <c r="AV393"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93" s="772">
        <f>WWWW[[#This Row],[% Access to unimproved water points]]*WWWW[[#This Row],[Total PoP ]]</f>
        <v>0</v>
      </c>
      <c r="AX393"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93"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308</v>
      </c>
      <c r="AZ393" s="772">
        <f>WWWW[[#This Row],[HRP1]]/250</f>
        <v>1.232</v>
      </c>
      <c r="BA393" s="476">
        <f>1-WWWW[[#This Row],[% Equitable and continuous access to sufficient quantity of domestic water]]</f>
        <v>0</v>
      </c>
      <c r="BB393" s="772">
        <f>WWWW[[#This Row],[%equitable and continuous access to sufficient quantity of safe drinking and domestic water''s GAP]]*WWWW[[#This Row],[Total PoP ]]</f>
        <v>0</v>
      </c>
      <c r="BC393" s="770">
        <f>IF(WWWW[[#This Row],[Total required water points]]-WWWW[[#This Row],['#Water points coverage]]&lt;0,0,WWWW[[#This Row],[Total required water points]]-WWWW[[#This Row],['#Water points coverage]])</f>
        <v>0</v>
      </c>
      <c r="BD393" s="770">
        <f>ROUND(IF(WWWW[[#This Row],[Total PoP ]]&lt;250,1,WWWW[[#This Row],[Total PoP ]]/250),0)</f>
        <v>1</v>
      </c>
      <c r="BE39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1</v>
      </c>
      <c r="BF393" s="772">
        <f>WWWW[[#This Row],[% people access to functioning Latrine]]*WWWW[[#This Row],[Total PoP ]]</f>
        <v>308</v>
      </c>
      <c r="BG393" s="770">
        <f>WWWW[[#This Row],['#_of_Functioning_latrines_in_school]]*50</f>
        <v>100</v>
      </c>
      <c r="BH393" s="770">
        <f>ROUND((WWWW[[#This Row],[Total PoP ]]/6),0)</f>
        <v>51</v>
      </c>
      <c r="BI393" s="770">
        <f>IF(WWWW[[#This Row],[Total required Latrines]]-(WWWW[[#This Row],['#_of_sanitary_fly-proof_HH_latrines]])&lt;0,0,WWWW[[#This Row],[Total required Latrines]]-(WWWW[[#This Row],['#_of_sanitary_fly-proof_HH_latrines]]))</f>
        <v>0</v>
      </c>
      <c r="BJ393" s="771">
        <f>1-WWWW[[#This Row],[% people access to functioning Latrine]]</f>
        <v>0</v>
      </c>
      <c r="BK393"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v>
      </c>
      <c r="BL393" s="772">
        <f>IF(WWWW[[#This Row],['#_of_functional_handwashing_facilities_at_HH_level]]*6&gt;WWWW[[#This Row],[Total PoP ]],WWWW[[#This Row],[Total PoP ]],WWWW[[#This Row],['#_of_functional_handwashing_facilities_at_HH_level]]*6)</f>
        <v>0</v>
      </c>
      <c r="BM393" s="770">
        <f>IF(WWWW[[#This Row],['# people reached by regular dedicated hygiene promotion]]&gt;WWWW[[#This Row],['# People received regular supply of hygiene items]],WWWW[[#This Row],['# people reached by regular dedicated hygiene promotion]],WWWW[[#This Row],['# People received regular supply of hygiene items]])</f>
        <v>25</v>
      </c>
      <c r="BN393" s="476">
        <f>IF(WWWW[[#This Row],[HRP3]]/WWWW[[#This Row],[Total PoP ]]&gt;100%,100%,WWWW[[#This Row],[HRP3]]/WWWW[[#This Row],[Total PoP ]])</f>
        <v>8.1168831168831168E-2</v>
      </c>
      <c r="BO393" s="771">
        <f>1-WWWW[[#This Row],[Hygiene Coverage%]]</f>
        <v>0.91883116883116878</v>
      </c>
      <c r="BP393" s="769">
        <f>WWWW[[#This Row],['# people reached by regular dedicated hygiene promotion]]/WWWW[[#This Row],[Total PoP ]]</f>
        <v>8.1168831168831168E-2</v>
      </c>
      <c r="BQ39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93" s="770">
        <f>WWWW[[#This Row],['#_of_affected_women_and_girls_receiving_a_sufficient_quantity_of_sanitary_pads]]</f>
        <v>0</v>
      </c>
      <c r="BS393" s="773">
        <f>IF(WWWW[[#This Row],['# People with access to soap]]&gt;WWWW[[#This Row],['# People with access to Sanity Pads]],WWWW[[#This Row],['# People with access to soap]],WWWW[[#This Row],['# People with access to Sanity Pads]])</f>
        <v>0</v>
      </c>
      <c r="BT393" s="772" t="str">
        <f>IF(OR(WWWW[[#This Row],['#of students in school]]="",WWWW[[#This Row],['#of students in school]]=0),"No","Yes")</f>
        <v>No</v>
      </c>
      <c r="BU393" s="480" t="str">
        <f>VLOOKUP(WWWW[[#This Row],[Village  Name]],SiteDB6[[Site Name]:[Location Type 1]],9,FALSE)</f>
        <v>Village</v>
      </c>
      <c r="BV393" s="480" t="str">
        <f>VLOOKUP(WWWW[[#This Row],[Village  Name]],SiteDB6[[Site Name]:[Type of Accommodation]],10,FALSE)</f>
        <v>Village</v>
      </c>
      <c r="BW393" s="480">
        <f>VLOOKUP(WWWW[[#This Row],[Village  Name]],SiteDB6[[Site Name]:[Ethnic or GCA/NGCA]],11,FALSE)</f>
        <v>0</v>
      </c>
      <c r="BX393" s="480">
        <f>VLOOKUP(WWWW[[#This Row],[Village  Name]],SiteDB6[[Site Name]:[Lat]],12,FALSE)</f>
        <v>0</v>
      </c>
      <c r="BY393" s="480">
        <f>VLOOKUP(WWWW[[#This Row],[Village  Name]],SiteDB6[[Site Name]:[Long]],13,FALSE)</f>
        <v>0</v>
      </c>
      <c r="BZ393" s="480">
        <f>VLOOKUP(WWWW[[#This Row],[Village  Name]],SiteDB6[[Site Name]:[Pcode]],3,FALSE)</f>
        <v>0</v>
      </c>
      <c r="CA393" s="480" t="str">
        <f t="shared" si="24"/>
        <v>Covered</v>
      </c>
      <c r="CB393" s="505"/>
    </row>
    <row r="394" spans="1:80">
      <c r="A394" s="774" t="s">
        <v>3199</v>
      </c>
      <c r="B394" s="774" t="s">
        <v>2812</v>
      </c>
      <c r="C394" s="703" t="s">
        <v>2812</v>
      </c>
      <c r="D394" s="415" t="s">
        <v>3176</v>
      </c>
      <c r="E394" s="415" t="s">
        <v>36</v>
      </c>
      <c r="F394" s="415" t="s">
        <v>132</v>
      </c>
      <c r="G394" s="705" t="str">
        <f>VLOOKUP(WWWW[[#This Row],[Village  Name]],SiteDB6[[Site Name]:[Location Type]],8,FALSE)</f>
        <v>Village</v>
      </c>
      <c r="H394" s="415" t="s">
        <v>3182</v>
      </c>
      <c r="I394" s="773">
        <v>17</v>
      </c>
      <c r="J394" s="773">
        <v>126</v>
      </c>
      <c r="K394" s="418">
        <v>43081</v>
      </c>
      <c r="L394" s="55">
        <v>44104</v>
      </c>
      <c r="M394" s="773"/>
      <c r="N394" s="773"/>
      <c r="O394" s="773">
        <v>1</v>
      </c>
      <c r="P394" s="773"/>
      <c r="Q394" s="773"/>
      <c r="R394" s="773"/>
      <c r="S394" s="773"/>
      <c r="T394" s="773"/>
      <c r="U394" s="551"/>
      <c r="V394" s="773">
        <v>13</v>
      </c>
      <c r="W394" s="773"/>
      <c r="X394" s="773"/>
      <c r="Y394" s="773"/>
      <c r="Z394" s="773"/>
      <c r="AA394" s="773"/>
      <c r="AB394" s="773"/>
      <c r="AC394" s="551"/>
      <c r="AD394" s="773">
        <v>6</v>
      </c>
      <c r="AE394" s="773">
        <v>10</v>
      </c>
      <c r="AF394" s="773"/>
      <c r="AG394" s="773"/>
      <c r="AH394" s="773"/>
      <c r="AI394" s="773"/>
      <c r="AJ394" s="773"/>
      <c r="AK394" s="773"/>
      <c r="AL394" s="773"/>
      <c r="AM394" s="773"/>
      <c r="AN394" s="551"/>
      <c r="AO394" s="769"/>
      <c r="AP394" s="769"/>
      <c r="AQ394" s="773"/>
      <c r="AR394" s="773"/>
      <c r="AS394" s="773"/>
      <c r="AT394"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94" s="772">
        <f>WWWW[[#This Row],[%Equitable and continuous access to sufficient quantity of safe drinking water]]*WWWW[[#This Row],[Total PoP ]]</f>
        <v>126</v>
      </c>
      <c r="AV394"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94" s="772">
        <f>WWWW[[#This Row],[% Access to unimproved water points]]*WWWW[[#This Row],[Total PoP ]]</f>
        <v>0</v>
      </c>
      <c r="AX394"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94"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126</v>
      </c>
      <c r="AZ394" s="772">
        <f>WWWW[[#This Row],[HRP1]]/250</f>
        <v>0.504</v>
      </c>
      <c r="BA394" s="476">
        <f>1-WWWW[[#This Row],[% Equitable and continuous access to sufficient quantity of domestic water]]</f>
        <v>0</v>
      </c>
      <c r="BB394" s="772">
        <f>WWWW[[#This Row],[%equitable and continuous access to sufficient quantity of safe drinking and domestic water''s GAP]]*WWWW[[#This Row],[Total PoP ]]</f>
        <v>0</v>
      </c>
      <c r="BC394" s="770">
        <f>IF(WWWW[[#This Row],[Total required water points]]-WWWW[[#This Row],['#Water points coverage]]&lt;0,0,WWWW[[#This Row],[Total required water points]]-WWWW[[#This Row],['#Water points coverage]])</f>
        <v>0.496</v>
      </c>
      <c r="BD394" s="770">
        <f>ROUND(IF(WWWW[[#This Row],[Total PoP ]]&lt;250,1,WWWW[[#This Row],[Total PoP ]]/250),0)</f>
        <v>1</v>
      </c>
      <c r="BE39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0.61904761904761907</v>
      </c>
      <c r="BF394" s="772">
        <f>WWWW[[#This Row],[% people access to functioning Latrine]]*WWWW[[#This Row],[Total PoP ]]</f>
        <v>78</v>
      </c>
      <c r="BG394" s="770">
        <f>WWWW[[#This Row],['#_of_Functioning_latrines_in_school]]*50</f>
        <v>0</v>
      </c>
      <c r="BH394" s="770">
        <f>ROUND((WWWW[[#This Row],[Total PoP ]]/6),0)</f>
        <v>21</v>
      </c>
      <c r="BI394" s="770">
        <f>IF(WWWW[[#This Row],[Total required Latrines]]-(WWWW[[#This Row],['#_of_sanitary_fly-proof_HH_latrines]])&lt;0,0,WWWW[[#This Row],[Total required Latrines]]-(WWWW[[#This Row],['#_of_sanitary_fly-proof_HH_latrines]]))</f>
        <v>8</v>
      </c>
      <c r="BJ394" s="771">
        <f>1-WWWW[[#This Row],[% people access to functioning Latrine]]</f>
        <v>0.38095238095238093</v>
      </c>
      <c r="BK394"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16</v>
      </c>
      <c r="BL394" s="772">
        <f>IF(WWWW[[#This Row],['#_of_functional_handwashing_facilities_at_HH_level]]*6&gt;WWWW[[#This Row],[Total PoP ]],WWWW[[#This Row],[Total PoP ]],WWWW[[#This Row],['#_of_functional_handwashing_facilities_at_HH_level]]*6)</f>
        <v>0</v>
      </c>
      <c r="BM394" s="770">
        <f>IF(WWWW[[#This Row],['# people reached by regular dedicated hygiene promotion]]&gt;WWWW[[#This Row],['# People received regular supply of hygiene items]],WWWW[[#This Row],['# people reached by regular dedicated hygiene promotion]],WWWW[[#This Row],['# People received regular supply of hygiene items]])</f>
        <v>16</v>
      </c>
      <c r="BN394" s="476">
        <f>IF(WWWW[[#This Row],[HRP3]]/WWWW[[#This Row],[Total PoP ]]&gt;100%,100%,WWWW[[#This Row],[HRP3]]/WWWW[[#This Row],[Total PoP ]])</f>
        <v>0.12698412698412698</v>
      </c>
      <c r="BO394" s="771">
        <f>1-WWWW[[#This Row],[Hygiene Coverage%]]</f>
        <v>0.87301587301587302</v>
      </c>
      <c r="BP394" s="769">
        <f>WWWW[[#This Row],['# people reached by regular dedicated hygiene promotion]]/WWWW[[#This Row],[Total PoP ]]</f>
        <v>0.12698412698412698</v>
      </c>
      <c r="BQ39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94" s="770">
        <f>WWWW[[#This Row],['#_of_affected_women_and_girls_receiving_a_sufficient_quantity_of_sanitary_pads]]</f>
        <v>0</v>
      </c>
      <c r="BS394" s="773">
        <f>IF(WWWW[[#This Row],['# People with access to soap]]&gt;WWWW[[#This Row],['# People with access to Sanity Pads]],WWWW[[#This Row],['# People with access to soap]],WWWW[[#This Row],['# People with access to Sanity Pads]])</f>
        <v>0</v>
      </c>
      <c r="BT394" s="772" t="str">
        <f>IF(OR(WWWW[[#This Row],['#of students in school]]="",WWWW[[#This Row],['#of students in school]]=0),"No","Yes")</f>
        <v>No</v>
      </c>
      <c r="BU394" s="480" t="str">
        <f>VLOOKUP(WWWW[[#This Row],[Village  Name]],SiteDB6[[Site Name]:[Location Type 1]],9,FALSE)</f>
        <v>Village</v>
      </c>
      <c r="BV394" s="480" t="str">
        <f>VLOOKUP(WWWW[[#This Row],[Village  Name]],SiteDB6[[Site Name]:[Type of Accommodation]],10,FALSE)</f>
        <v>Village</v>
      </c>
      <c r="BW394" s="480">
        <f>VLOOKUP(WWWW[[#This Row],[Village  Name]],SiteDB6[[Site Name]:[Ethnic or GCA/NGCA]],11,FALSE)</f>
        <v>0</v>
      </c>
      <c r="BX394" s="480">
        <f>VLOOKUP(WWWW[[#This Row],[Village  Name]],SiteDB6[[Site Name]:[Lat]],12,FALSE)</f>
        <v>0</v>
      </c>
      <c r="BY394" s="480">
        <f>VLOOKUP(WWWW[[#This Row],[Village  Name]],SiteDB6[[Site Name]:[Long]],13,FALSE)</f>
        <v>0</v>
      </c>
      <c r="BZ394" s="480">
        <f>VLOOKUP(WWWW[[#This Row],[Village  Name]],SiteDB6[[Site Name]:[Pcode]],3,FALSE)</f>
        <v>0</v>
      </c>
      <c r="CA394" s="480" t="str">
        <f t="shared" si="24"/>
        <v>Covered</v>
      </c>
      <c r="CB394" s="505"/>
    </row>
    <row r="395" spans="1:80">
      <c r="A395" s="774" t="s">
        <v>3199</v>
      </c>
      <c r="B395" s="774" t="s">
        <v>2812</v>
      </c>
      <c r="C395" s="703" t="s">
        <v>2812</v>
      </c>
      <c r="D395" s="415" t="s">
        <v>3176</v>
      </c>
      <c r="E395" s="415" t="s">
        <v>36</v>
      </c>
      <c r="F395" s="415" t="s">
        <v>132</v>
      </c>
      <c r="G395" s="705" t="str">
        <f>VLOOKUP(WWWW[[#This Row],[Village  Name]],SiteDB6[[Site Name]:[Location Type]],8,FALSE)</f>
        <v>Village</v>
      </c>
      <c r="H395" s="415" t="s">
        <v>1869</v>
      </c>
      <c r="I395" s="773">
        <v>31</v>
      </c>
      <c r="J395" s="773">
        <v>135</v>
      </c>
      <c r="K395" s="418">
        <v>43081</v>
      </c>
      <c r="L395" s="55">
        <v>44104</v>
      </c>
      <c r="M395" s="773"/>
      <c r="N395" s="773"/>
      <c r="O395" s="773">
        <v>1</v>
      </c>
      <c r="P395" s="773"/>
      <c r="Q395" s="773"/>
      <c r="R395" s="773"/>
      <c r="S395" s="773"/>
      <c r="T395" s="773"/>
      <c r="U395" s="551"/>
      <c r="V395" s="773"/>
      <c r="W395" s="773"/>
      <c r="X395" s="773"/>
      <c r="Y395" s="773"/>
      <c r="Z395" s="773"/>
      <c r="AA395" s="773"/>
      <c r="AB395" s="773"/>
      <c r="AC395" s="551"/>
      <c r="AD395" s="773">
        <v>9</v>
      </c>
      <c r="AE395" s="773">
        <v>8</v>
      </c>
      <c r="AF395" s="773"/>
      <c r="AG395" s="773"/>
      <c r="AH395" s="773"/>
      <c r="AI395" s="773"/>
      <c r="AJ395" s="773"/>
      <c r="AK395" s="773"/>
      <c r="AL395" s="773"/>
      <c r="AM395" s="773"/>
      <c r="AN395" s="551"/>
      <c r="AO395" s="769"/>
      <c r="AP395" s="769"/>
      <c r="AQ395" s="773"/>
      <c r="AR395" s="773"/>
      <c r="AS395" s="773"/>
      <c r="AT395"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95" s="772">
        <f>WWWW[[#This Row],[%Equitable and continuous access to sufficient quantity of safe drinking water]]*WWWW[[#This Row],[Total PoP ]]</f>
        <v>135</v>
      </c>
      <c r="AV395"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95" s="772">
        <f>WWWW[[#This Row],[% Access to unimproved water points]]*WWWW[[#This Row],[Total PoP ]]</f>
        <v>0</v>
      </c>
      <c r="AX395"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95"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135</v>
      </c>
      <c r="AZ395" s="772">
        <f>WWWW[[#This Row],[HRP1]]/250</f>
        <v>0.54</v>
      </c>
      <c r="BA395" s="476">
        <f>1-WWWW[[#This Row],[% Equitable and continuous access to sufficient quantity of domestic water]]</f>
        <v>0</v>
      </c>
      <c r="BB395" s="772">
        <f>WWWW[[#This Row],[%equitable and continuous access to sufficient quantity of safe drinking and domestic water''s GAP]]*WWWW[[#This Row],[Total PoP ]]</f>
        <v>0</v>
      </c>
      <c r="BC395" s="770">
        <f>IF(WWWW[[#This Row],[Total required water points]]-WWWW[[#This Row],['#Water points coverage]]&lt;0,0,WWWW[[#This Row],[Total required water points]]-WWWW[[#This Row],['#Water points coverage]])</f>
        <v>0.45999999999999996</v>
      </c>
      <c r="BD395" s="770">
        <f>ROUND(IF(WWWW[[#This Row],[Total PoP ]]&lt;250,1,WWWW[[#This Row],[Total PoP ]]/250),0)</f>
        <v>1</v>
      </c>
      <c r="BE39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95" s="772">
        <f>WWWW[[#This Row],[% people access to functioning Latrine]]*WWWW[[#This Row],[Total PoP ]]</f>
        <v>0</v>
      </c>
      <c r="BG395" s="770">
        <f>WWWW[[#This Row],['#_of_Functioning_latrines_in_school]]*50</f>
        <v>0</v>
      </c>
      <c r="BH395" s="770">
        <f>ROUND((WWWW[[#This Row],[Total PoP ]]/6),0)</f>
        <v>23</v>
      </c>
      <c r="BI395" s="770">
        <f>IF(WWWW[[#This Row],[Total required Latrines]]-(WWWW[[#This Row],['#_of_sanitary_fly-proof_HH_latrines]])&lt;0,0,WWWW[[#This Row],[Total required Latrines]]-(WWWW[[#This Row],['#_of_sanitary_fly-proof_HH_latrines]]))</f>
        <v>23</v>
      </c>
      <c r="BJ395" s="771">
        <f>1-WWWW[[#This Row],[% people access to functioning Latrine]]</f>
        <v>1</v>
      </c>
      <c r="BK395"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17</v>
      </c>
      <c r="BL395" s="772">
        <f>IF(WWWW[[#This Row],['#_of_functional_handwashing_facilities_at_HH_level]]*6&gt;WWWW[[#This Row],[Total PoP ]],WWWW[[#This Row],[Total PoP ]],WWWW[[#This Row],['#_of_functional_handwashing_facilities_at_HH_level]]*6)</f>
        <v>0</v>
      </c>
      <c r="BM395" s="770">
        <f>IF(WWWW[[#This Row],['# people reached by regular dedicated hygiene promotion]]&gt;WWWW[[#This Row],['# People received regular supply of hygiene items]],WWWW[[#This Row],['# people reached by regular dedicated hygiene promotion]],WWWW[[#This Row],['# People received regular supply of hygiene items]])</f>
        <v>17</v>
      </c>
      <c r="BN395" s="476">
        <f>IF(WWWW[[#This Row],[HRP3]]/WWWW[[#This Row],[Total PoP ]]&gt;100%,100%,WWWW[[#This Row],[HRP3]]/WWWW[[#This Row],[Total PoP ]])</f>
        <v>0.12592592592592591</v>
      </c>
      <c r="BO395" s="771">
        <f>1-WWWW[[#This Row],[Hygiene Coverage%]]</f>
        <v>0.87407407407407411</v>
      </c>
      <c r="BP395" s="769">
        <f>WWWW[[#This Row],['# people reached by regular dedicated hygiene promotion]]/WWWW[[#This Row],[Total PoP ]]</f>
        <v>0.12592592592592591</v>
      </c>
      <c r="BQ39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95" s="770">
        <f>WWWW[[#This Row],['#_of_affected_women_and_girls_receiving_a_sufficient_quantity_of_sanitary_pads]]</f>
        <v>0</v>
      </c>
      <c r="BS395" s="773">
        <f>IF(WWWW[[#This Row],['# People with access to soap]]&gt;WWWW[[#This Row],['# People with access to Sanity Pads]],WWWW[[#This Row],['# People with access to soap]],WWWW[[#This Row],['# People with access to Sanity Pads]])</f>
        <v>0</v>
      </c>
      <c r="BT395" s="772" t="str">
        <f>IF(OR(WWWW[[#This Row],['#of students in school]]="",WWWW[[#This Row],['#of students in school]]=0),"No","Yes")</f>
        <v>No</v>
      </c>
      <c r="BU395" s="480" t="str">
        <f>VLOOKUP(WWWW[[#This Row],[Village  Name]],SiteDB6[[Site Name]:[Location Type 1]],9,FALSE)</f>
        <v>Village</v>
      </c>
      <c r="BV395" s="480" t="str">
        <f>VLOOKUP(WWWW[[#This Row],[Village  Name]],SiteDB6[[Site Name]:[Type of Accommodation]],10,FALSE)</f>
        <v>Village</v>
      </c>
      <c r="BW395" s="480">
        <f>VLOOKUP(WWWW[[#This Row],[Village  Name]],SiteDB6[[Site Name]:[Ethnic or GCA/NGCA]],11,FALSE)</f>
        <v>0</v>
      </c>
      <c r="BX395" s="480">
        <f>VLOOKUP(WWWW[[#This Row],[Village  Name]],SiteDB6[[Site Name]:[Lat]],12,FALSE)</f>
        <v>0</v>
      </c>
      <c r="BY395" s="480">
        <f>VLOOKUP(WWWW[[#This Row],[Village  Name]],SiteDB6[[Site Name]:[Long]],13,FALSE)</f>
        <v>0</v>
      </c>
      <c r="BZ395" s="480">
        <f>VLOOKUP(WWWW[[#This Row],[Village  Name]],SiteDB6[[Site Name]:[Pcode]],3,FALSE)</f>
        <v>0</v>
      </c>
      <c r="CA395" s="480" t="str">
        <f t="shared" si="24"/>
        <v>Covered</v>
      </c>
      <c r="CB395" s="505"/>
    </row>
    <row r="396" spans="1:80">
      <c r="A396" s="774" t="s">
        <v>3199</v>
      </c>
      <c r="B396" s="774" t="s">
        <v>2812</v>
      </c>
      <c r="C396" s="703" t="s">
        <v>2812</v>
      </c>
      <c r="D396" s="415" t="s">
        <v>3176</v>
      </c>
      <c r="E396" s="415" t="s">
        <v>36</v>
      </c>
      <c r="F396" s="415" t="s">
        <v>149</v>
      </c>
      <c r="G396" s="705" t="str">
        <f>VLOOKUP(WWWW[[#This Row],[Village  Name]],SiteDB6[[Site Name]:[Location Type]],8,FALSE)</f>
        <v>Village</v>
      </c>
      <c r="H396" s="415" t="s">
        <v>3183</v>
      </c>
      <c r="I396" s="773">
        <v>97</v>
      </c>
      <c r="J396" s="773">
        <v>482</v>
      </c>
      <c r="K396" s="418">
        <v>43081</v>
      </c>
      <c r="L396" s="55">
        <v>44104</v>
      </c>
      <c r="M396" s="773"/>
      <c r="N396" s="773"/>
      <c r="O396" s="773">
        <v>2</v>
      </c>
      <c r="P396" s="773"/>
      <c r="Q396" s="773"/>
      <c r="R396" s="773"/>
      <c r="S396" s="773"/>
      <c r="T396" s="773"/>
      <c r="U396" s="551"/>
      <c r="V396" s="773">
        <v>50</v>
      </c>
      <c r="W396" s="773"/>
      <c r="X396" s="773">
        <v>2</v>
      </c>
      <c r="Y396" s="773"/>
      <c r="Z396" s="773"/>
      <c r="AA396" s="773"/>
      <c r="AB396" s="773"/>
      <c r="AC396" s="551"/>
      <c r="AD396" s="773">
        <v>15</v>
      </c>
      <c r="AE396" s="773">
        <v>12</v>
      </c>
      <c r="AF396" s="773"/>
      <c r="AG396" s="773"/>
      <c r="AH396" s="773"/>
      <c r="AI396" s="773"/>
      <c r="AJ396" s="773"/>
      <c r="AK396" s="773"/>
      <c r="AL396" s="773"/>
      <c r="AM396" s="773"/>
      <c r="AN396" s="551"/>
      <c r="AO396" s="769"/>
      <c r="AP396" s="769"/>
      <c r="AQ396" s="773"/>
      <c r="AR396" s="773"/>
      <c r="AS396" s="773"/>
      <c r="AT396"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96" s="772">
        <f>WWWW[[#This Row],[%Equitable and continuous access to sufficient quantity of safe drinking water]]*WWWW[[#This Row],[Total PoP ]]</f>
        <v>482</v>
      </c>
      <c r="AV396"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96" s="772">
        <f>WWWW[[#This Row],[% Access to unimproved water points]]*WWWW[[#This Row],[Total PoP ]]</f>
        <v>0</v>
      </c>
      <c r="AX396"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96"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482</v>
      </c>
      <c r="AZ396" s="772">
        <f>WWWW[[#This Row],[HRP1]]/250</f>
        <v>1.9279999999999999</v>
      </c>
      <c r="BA396" s="476">
        <f>1-WWWW[[#This Row],[% Equitable and continuous access to sufficient quantity of domestic water]]</f>
        <v>0</v>
      </c>
      <c r="BB396" s="772">
        <f>WWWW[[#This Row],[%equitable and continuous access to sufficient quantity of safe drinking and domestic water''s GAP]]*WWWW[[#This Row],[Total PoP ]]</f>
        <v>0</v>
      </c>
      <c r="BC396" s="770">
        <f>IF(WWWW[[#This Row],[Total required water points]]-WWWW[[#This Row],['#Water points coverage]]&lt;0,0,WWWW[[#This Row],[Total required water points]]-WWWW[[#This Row],['#Water points coverage]])</f>
        <v>7.2000000000000064E-2</v>
      </c>
      <c r="BD396" s="770">
        <f>ROUND(IF(WWWW[[#This Row],[Total PoP ]]&lt;250,1,WWWW[[#This Row],[Total PoP ]]/250),0)</f>
        <v>2</v>
      </c>
      <c r="BE39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0.62240663900414939</v>
      </c>
      <c r="BF396" s="772">
        <f>WWWW[[#This Row],[% people access to functioning Latrine]]*WWWW[[#This Row],[Total PoP ]]</f>
        <v>300</v>
      </c>
      <c r="BG396" s="770">
        <f>WWWW[[#This Row],['#_of_Functioning_latrines_in_school]]*50</f>
        <v>100</v>
      </c>
      <c r="BH396" s="770">
        <f>ROUND((WWWW[[#This Row],[Total PoP ]]/6),0)</f>
        <v>80</v>
      </c>
      <c r="BI396" s="770">
        <f>IF(WWWW[[#This Row],[Total required Latrines]]-(WWWW[[#This Row],['#_of_sanitary_fly-proof_HH_latrines]])&lt;0,0,WWWW[[#This Row],[Total required Latrines]]-(WWWW[[#This Row],['#_of_sanitary_fly-proof_HH_latrines]]))</f>
        <v>30</v>
      </c>
      <c r="BJ396" s="771">
        <f>1-WWWW[[#This Row],[% people access to functioning Latrine]]</f>
        <v>0.37759336099585061</v>
      </c>
      <c r="BK396"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27</v>
      </c>
      <c r="BL396" s="772">
        <f>IF(WWWW[[#This Row],['#_of_functional_handwashing_facilities_at_HH_level]]*6&gt;WWWW[[#This Row],[Total PoP ]],WWWW[[#This Row],[Total PoP ]],WWWW[[#This Row],['#_of_functional_handwashing_facilities_at_HH_level]]*6)</f>
        <v>0</v>
      </c>
      <c r="BM396" s="770">
        <f>IF(WWWW[[#This Row],['# people reached by regular dedicated hygiene promotion]]&gt;WWWW[[#This Row],['# People received regular supply of hygiene items]],WWWW[[#This Row],['# people reached by regular dedicated hygiene promotion]],WWWW[[#This Row],['# People received regular supply of hygiene items]])</f>
        <v>27</v>
      </c>
      <c r="BN396" s="476">
        <f>IF(WWWW[[#This Row],[HRP3]]/WWWW[[#This Row],[Total PoP ]]&gt;100%,100%,WWWW[[#This Row],[HRP3]]/WWWW[[#This Row],[Total PoP ]])</f>
        <v>5.6016597510373446E-2</v>
      </c>
      <c r="BO396" s="771">
        <f>1-WWWW[[#This Row],[Hygiene Coverage%]]</f>
        <v>0.94398340248962653</v>
      </c>
      <c r="BP396" s="769">
        <f>WWWW[[#This Row],['# people reached by regular dedicated hygiene promotion]]/WWWW[[#This Row],[Total PoP ]]</f>
        <v>5.6016597510373446E-2</v>
      </c>
      <c r="BQ39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96" s="770">
        <f>WWWW[[#This Row],['#_of_affected_women_and_girls_receiving_a_sufficient_quantity_of_sanitary_pads]]</f>
        <v>0</v>
      </c>
      <c r="BS396" s="773">
        <f>IF(WWWW[[#This Row],['# People with access to soap]]&gt;WWWW[[#This Row],['# People with access to Sanity Pads]],WWWW[[#This Row],['# People with access to soap]],WWWW[[#This Row],['# People with access to Sanity Pads]])</f>
        <v>0</v>
      </c>
      <c r="BT396" s="772" t="str">
        <f>IF(OR(WWWW[[#This Row],['#of students in school]]="",WWWW[[#This Row],['#of students in school]]=0),"No","Yes")</f>
        <v>No</v>
      </c>
      <c r="BU396" s="480" t="str">
        <f>VLOOKUP(WWWW[[#This Row],[Village  Name]],SiteDB6[[Site Name]:[Location Type 1]],9,FALSE)</f>
        <v>Village</v>
      </c>
      <c r="BV396" s="480" t="str">
        <f>VLOOKUP(WWWW[[#This Row],[Village  Name]],SiteDB6[[Site Name]:[Type of Accommodation]],10,FALSE)</f>
        <v>Village</v>
      </c>
      <c r="BW396" s="480">
        <f>VLOOKUP(WWWW[[#This Row],[Village  Name]],SiteDB6[[Site Name]:[Ethnic or GCA/NGCA]],11,FALSE)</f>
        <v>0</v>
      </c>
      <c r="BX396" s="480">
        <f>VLOOKUP(WWWW[[#This Row],[Village  Name]],SiteDB6[[Site Name]:[Lat]],12,FALSE)</f>
        <v>0</v>
      </c>
      <c r="BY396" s="480">
        <f>VLOOKUP(WWWW[[#This Row],[Village  Name]],SiteDB6[[Site Name]:[Long]],13,FALSE)</f>
        <v>0</v>
      </c>
      <c r="BZ396" s="480">
        <f>VLOOKUP(WWWW[[#This Row],[Village  Name]],SiteDB6[[Site Name]:[Pcode]],3,FALSE)</f>
        <v>0</v>
      </c>
      <c r="CA396" s="480" t="str">
        <f t="shared" si="24"/>
        <v>Covered</v>
      </c>
      <c r="CB396" s="505"/>
    </row>
    <row r="397" spans="1:80">
      <c r="A397" s="774" t="s">
        <v>3199</v>
      </c>
      <c r="B397" s="774" t="s">
        <v>2812</v>
      </c>
      <c r="C397" s="703" t="s">
        <v>2812</v>
      </c>
      <c r="D397" s="415" t="s">
        <v>3176</v>
      </c>
      <c r="E397" s="415" t="s">
        <v>36</v>
      </c>
      <c r="F397" s="415" t="s">
        <v>132</v>
      </c>
      <c r="G397" s="705" t="str">
        <f>VLOOKUP(WWWW[[#This Row],[Village  Name]],SiteDB6[[Site Name]:[Location Type]],8,FALSE)</f>
        <v>Village</v>
      </c>
      <c r="H397" s="415" t="s">
        <v>3184</v>
      </c>
      <c r="I397" s="773">
        <v>59</v>
      </c>
      <c r="J397" s="773">
        <v>305</v>
      </c>
      <c r="K397" s="418">
        <v>43081</v>
      </c>
      <c r="L397" s="55">
        <v>44104</v>
      </c>
      <c r="M397" s="773"/>
      <c r="N397" s="773"/>
      <c r="O397" s="773">
        <v>1</v>
      </c>
      <c r="P397" s="773"/>
      <c r="Q397" s="773"/>
      <c r="R397" s="773"/>
      <c r="S397" s="773"/>
      <c r="T397" s="773"/>
      <c r="U397" s="551"/>
      <c r="V397" s="773"/>
      <c r="W397" s="773"/>
      <c r="X397" s="773"/>
      <c r="Y397" s="773"/>
      <c r="Z397" s="773"/>
      <c r="AA397" s="773"/>
      <c r="AB397" s="773"/>
      <c r="AC397" s="551"/>
      <c r="AD397" s="773">
        <v>3</v>
      </c>
      <c r="AE397" s="773">
        <v>10</v>
      </c>
      <c r="AF397" s="773"/>
      <c r="AG397" s="773"/>
      <c r="AH397" s="773"/>
      <c r="AI397" s="773"/>
      <c r="AJ397" s="773"/>
      <c r="AK397" s="773"/>
      <c r="AL397" s="773"/>
      <c r="AM397" s="773"/>
      <c r="AN397" s="551"/>
      <c r="AO397" s="769"/>
      <c r="AP397" s="769"/>
      <c r="AQ397" s="773"/>
      <c r="AR397" s="773"/>
      <c r="AS397" s="773"/>
      <c r="AT397"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97" s="772">
        <f>WWWW[[#This Row],[%Equitable and continuous access to sufficient quantity of safe drinking water]]*WWWW[[#This Row],[Total PoP ]]</f>
        <v>305</v>
      </c>
      <c r="AV397"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97" s="772">
        <f>WWWW[[#This Row],[% Access to unimproved water points]]*WWWW[[#This Row],[Total PoP ]]</f>
        <v>0</v>
      </c>
      <c r="AX397"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97"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305</v>
      </c>
      <c r="AZ397" s="772">
        <f>WWWW[[#This Row],[HRP1]]/250</f>
        <v>1.22</v>
      </c>
      <c r="BA397" s="476">
        <f>1-WWWW[[#This Row],[% Equitable and continuous access to sufficient quantity of domestic water]]</f>
        <v>0</v>
      </c>
      <c r="BB397" s="772">
        <f>WWWW[[#This Row],[%equitable and continuous access to sufficient quantity of safe drinking and domestic water''s GAP]]*WWWW[[#This Row],[Total PoP ]]</f>
        <v>0</v>
      </c>
      <c r="BC397" s="770">
        <f>IF(WWWW[[#This Row],[Total required water points]]-WWWW[[#This Row],['#Water points coverage]]&lt;0,0,WWWW[[#This Row],[Total required water points]]-WWWW[[#This Row],['#Water points coverage]])</f>
        <v>0</v>
      </c>
      <c r="BD397" s="770">
        <f>ROUND(IF(WWWW[[#This Row],[Total PoP ]]&lt;250,1,WWWW[[#This Row],[Total PoP ]]/250),0)</f>
        <v>1</v>
      </c>
      <c r="BE39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97" s="772">
        <f>WWWW[[#This Row],[% people access to functioning Latrine]]*WWWW[[#This Row],[Total PoP ]]</f>
        <v>0</v>
      </c>
      <c r="BG397" s="770">
        <f>WWWW[[#This Row],['#_of_Functioning_latrines_in_school]]*50</f>
        <v>0</v>
      </c>
      <c r="BH397" s="770">
        <f>ROUND((WWWW[[#This Row],[Total PoP ]]/6),0)</f>
        <v>51</v>
      </c>
      <c r="BI397" s="770">
        <f>IF(WWWW[[#This Row],[Total required Latrines]]-(WWWW[[#This Row],['#_of_sanitary_fly-proof_HH_latrines]])&lt;0,0,WWWW[[#This Row],[Total required Latrines]]-(WWWW[[#This Row],['#_of_sanitary_fly-proof_HH_latrines]]))</f>
        <v>51</v>
      </c>
      <c r="BJ397" s="771">
        <f>1-WWWW[[#This Row],[% people access to functioning Latrine]]</f>
        <v>1</v>
      </c>
      <c r="BK397"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13</v>
      </c>
      <c r="BL397" s="772">
        <f>IF(WWWW[[#This Row],['#_of_functional_handwashing_facilities_at_HH_level]]*6&gt;WWWW[[#This Row],[Total PoP ]],WWWW[[#This Row],[Total PoP ]],WWWW[[#This Row],['#_of_functional_handwashing_facilities_at_HH_level]]*6)</f>
        <v>0</v>
      </c>
      <c r="BM397" s="770">
        <f>IF(WWWW[[#This Row],['# people reached by regular dedicated hygiene promotion]]&gt;WWWW[[#This Row],['# People received regular supply of hygiene items]],WWWW[[#This Row],['# people reached by regular dedicated hygiene promotion]],WWWW[[#This Row],['# People received regular supply of hygiene items]])</f>
        <v>13</v>
      </c>
      <c r="BN397" s="476">
        <f>IF(WWWW[[#This Row],[HRP3]]/WWWW[[#This Row],[Total PoP ]]&gt;100%,100%,WWWW[[#This Row],[HRP3]]/WWWW[[#This Row],[Total PoP ]])</f>
        <v>4.2622950819672129E-2</v>
      </c>
      <c r="BO397" s="771">
        <f>1-WWWW[[#This Row],[Hygiene Coverage%]]</f>
        <v>0.95737704918032784</v>
      </c>
      <c r="BP397" s="769">
        <f>WWWW[[#This Row],['# people reached by regular dedicated hygiene promotion]]/WWWW[[#This Row],[Total PoP ]]</f>
        <v>4.2622950819672129E-2</v>
      </c>
      <c r="BQ39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97" s="770">
        <f>WWWW[[#This Row],['#_of_affected_women_and_girls_receiving_a_sufficient_quantity_of_sanitary_pads]]</f>
        <v>0</v>
      </c>
      <c r="BS397" s="773">
        <f>IF(WWWW[[#This Row],['# People with access to soap]]&gt;WWWW[[#This Row],['# People with access to Sanity Pads]],WWWW[[#This Row],['# People with access to soap]],WWWW[[#This Row],['# People with access to Sanity Pads]])</f>
        <v>0</v>
      </c>
      <c r="BT397" s="772" t="str">
        <f>IF(OR(WWWW[[#This Row],['#of students in school]]="",WWWW[[#This Row],['#of students in school]]=0),"No","Yes")</f>
        <v>No</v>
      </c>
      <c r="BU397" s="480" t="str">
        <f>VLOOKUP(WWWW[[#This Row],[Village  Name]],SiteDB6[[Site Name]:[Location Type 1]],9,FALSE)</f>
        <v>Village</v>
      </c>
      <c r="BV397" s="480" t="str">
        <f>VLOOKUP(WWWW[[#This Row],[Village  Name]],SiteDB6[[Site Name]:[Type of Accommodation]],10,FALSE)</f>
        <v>Village</v>
      </c>
      <c r="BW397" s="480">
        <f>VLOOKUP(WWWW[[#This Row],[Village  Name]],SiteDB6[[Site Name]:[Ethnic or GCA/NGCA]],11,FALSE)</f>
        <v>0</v>
      </c>
      <c r="BX397" s="480">
        <f>VLOOKUP(WWWW[[#This Row],[Village  Name]],SiteDB6[[Site Name]:[Lat]],12,FALSE)</f>
        <v>0</v>
      </c>
      <c r="BY397" s="480">
        <f>VLOOKUP(WWWW[[#This Row],[Village  Name]],SiteDB6[[Site Name]:[Long]],13,FALSE)</f>
        <v>0</v>
      </c>
      <c r="BZ397" s="480">
        <f>VLOOKUP(WWWW[[#This Row],[Village  Name]],SiteDB6[[Site Name]:[Pcode]],3,FALSE)</f>
        <v>0</v>
      </c>
      <c r="CA397" s="480" t="str">
        <f t="shared" si="24"/>
        <v>Covered</v>
      </c>
      <c r="CB397" s="505"/>
    </row>
    <row r="398" spans="1:80">
      <c r="A398" s="774" t="s">
        <v>3199</v>
      </c>
      <c r="B398" s="774" t="s">
        <v>2812</v>
      </c>
      <c r="C398" s="703" t="s">
        <v>2812</v>
      </c>
      <c r="D398" s="415" t="s">
        <v>3176</v>
      </c>
      <c r="E398" s="415" t="s">
        <v>36</v>
      </c>
      <c r="F398" s="415" t="s">
        <v>132</v>
      </c>
      <c r="G398" s="705" t="str">
        <f>VLOOKUP(WWWW[[#This Row],[Village  Name]],SiteDB6[[Site Name]:[Location Type]],8,FALSE)</f>
        <v>Village</v>
      </c>
      <c r="H398" s="415" t="s">
        <v>3185</v>
      </c>
      <c r="I398" s="773">
        <v>72</v>
      </c>
      <c r="J398" s="773">
        <v>346</v>
      </c>
      <c r="K398" s="418">
        <v>43081</v>
      </c>
      <c r="L398" s="55">
        <v>44104</v>
      </c>
      <c r="M398" s="773"/>
      <c r="N398" s="773"/>
      <c r="O398" s="773"/>
      <c r="P398" s="773"/>
      <c r="Q398" s="773"/>
      <c r="R398" s="773"/>
      <c r="S398" s="773"/>
      <c r="T398" s="773"/>
      <c r="U398" s="551"/>
      <c r="V398" s="773">
        <v>25</v>
      </c>
      <c r="W398" s="773"/>
      <c r="X398" s="773"/>
      <c r="Y398" s="773"/>
      <c r="Z398" s="773"/>
      <c r="AA398" s="773"/>
      <c r="AB398" s="773"/>
      <c r="AC398" s="551"/>
      <c r="AD398" s="773">
        <v>5</v>
      </c>
      <c r="AE398" s="773">
        <v>20</v>
      </c>
      <c r="AF398" s="773"/>
      <c r="AG398" s="773"/>
      <c r="AH398" s="773"/>
      <c r="AI398" s="773"/>
      <c r="AJ398" s="773"/>
      <c r="AK398" s="773"/>
      <c r="AL398" s="773"/>
      <c r="AM398" s="773"/>
      <c r="AN398" s="551"/>
      <c r="AO398" s="769"/>
      <c r="AP398" s="769"/>
      <c r="AQ398" s="773"/>
      <c r="AR398" s="773"/>
      <c r="AS398" s="773"/>
      <c r="AT398"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398" s="772">
        <f>WWWW[[#This Row],[%Equitable and continuous access to sufficient quantity of safe drinking water]]*WWWW[[#This Row],[Total PoP ]]</f>
        <v>0</v>
      </c>
      <c r="AV398"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98" s="772">
        <f>WWWW[[#This Row],[% Access to unimproved water points]]*WWWW[[#This Row],[Total PoP ]]</f>
        <v>0</v>
      </c>
      <c r="AX398"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398"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398" s="772">
        <f>WWWW[[#This Row],[HRP1]]/250</f>
        <v>0</v>
      </c>
      <c r="BA398" s="476">
        <f>1-WWWW[[#This Row],[% Equitable and continuous access to sufficient quantity of domestic water]]</f>
        <v>1</v>
      </c>
      <c r="BB398" s="772">
        <f>WWWW[[#This Row],[%equitable and continuous access to sufficient quantity of safe drinking and domestic water''s GAP]]*WWWW[[#This Row],[Total PoP ]]</f>
        <v>346</v>
      </c>
      <c r="BC398" s="770">
        <f>IF(WWWW[[#This Row],[Total required water points]]-WWWW[[#This Row],['#Water points coverage]]&lt;0,0,WWWW[[#This Row],[Total required water points]]-WWWW[[#This Row],['#Water points coverage]])</f>
        <v>1</v>
      </c>
      <c r="BD398" s="770">
        <f>ROUND(IF(WWWW[[#This Row],[Total PoP ]]&lt;250,1,WWWW[[#This Row],[Total PoP ]]/250),0)</f>
        <v>1</v>
      </c>
      <c r="BE39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0.43352601156069365</v>
      </c>
      <c r="BF398" s="772">
        <f>WWWW[[#This Row],[% people access to functioning Latrine]]*WWWW[[#This Row],[Total PoP ]]</f>
        <v>150</v>
      </c>
      <c r="BG398" s="770">
        <f>WWWW[[#This Row],['#_of_Functioning_latrines_in_school]]*50</f>
        <v>0</v>
      </c>
      <c r="BH398" s="770">
        <f>ROUND((WWWW[[#This Row],[Total PoP ]]/6),0)</f>
        <v>58</v>
      </c>
      <c r="BI398" s="770">
        <f>IF(WWWW[[#This Row],[Total required Latrines]]-(WWWW[[#This Row],['#_of_sanitary_fly-proof_HH_latrines]])&lt;0,0,WWWW[[#This Row],[Total required Latrines]]-(WWWW[[#This Row],['#_of_sanitary_fly-proof_HH_latrines]]))</f>
        <v>33</v>
      </c>
      <c r="BJ398" s="771">
        <f>1-WWWW[[#This Row],[% people access to functioning Latrine]]</f>
        <v>0.56647398843930641</v>
      </c>
      <c r="BK398"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25</v>
      </c>
      <c r="BL398" s="772">
        <f>IF(WWWW[[#This Row],['#_of_functional_handwashing_facilities_at_HH_level]]*6&gt;WWWW[[#This Row],[Total PoP ]],WWWW[[#This Row],[Total PoP ]],WWWW[[#This Row],['#_of_functional_handwashing_facilities_at_HH_level]]*6)</f>
        <v>0</v>
      </c>
      <c r="BM398" s="770">
        <f>IF(WWWW[[#This Row],['# people reached by regular dedicated hygiene promotion]]&gt;WWWW[[#This Row],['# People received regular supply of hygiene items]],WWWW[[#This Row],['# people reached by regular dedicated hygiene promotion]],WWWW[[#This Row],['# People received regular supply of hygiene items]])</f>
        <v>25</v>
      </c>
      <c r="BN398" s="476">
        <f>IF(WWWW[[#This Row],[HRP3]]/WWWW[[#This Row],[Total PoP ]]&gt;100%,100%,WWWW[[#This Row],[HRP3]]/WWWW[[#This Row],[Total PoP ]])</f>
        <v>7.2254335260115612E-2</v>
      </c>
      <c r="BO398" s="771">
        <f>1-WWWW[[#This Row],[Hygiene Coverage%]]</f>
        <v>0.9277456647398844</v>
      </c>
      <c r="BP398" s="769">
        <f>WWWW[[#This Row],['# people reached by regular dedicated hygiene promotion]]/WWWW[[#This Row],[Total PoP ]]</f>
        <v>7.2254335260115612E-2</v>
      </c>
      <c r="BQ39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98" s="770">
        <f>WWWW[[#This Row],['#_of_affected_women_and_girls_receiving_a_sufficient_quantity_of_sanitary_pads]]</f>
        <v>0</v>
      </c>
      <c r="BS398" s="773">
        <f>IF(WWWW[[#This Row],['# People with access to soap]]&gt;WWWW[[#This Row],['# People with access to Sanity Pads]],WWWW[[#This Row],['# People with access to soap]],WWWW[[#This Row],['# People with access to Sanity Pads]])</f>
        <v>0</v>
      </c>
      <c r="BT398" s="772" t="str">
        <f>IF(OR(WWWW[[#This Row],['#of students in school]]="",WWWW[[#This Row],['#of students in school]]=0),"No","Yes")</f>
        <v>No</v>
      </c>
      <c r="BU398" s="480" t="str">
        <f>VLOOKUP(WWWW[[#This Row],[Village  Name]],SiteDB6[[Site Name]:[Location Type 1]],9,FALSE)</f>
        <v>Village</v>
      </c>
      <c r="BV398" s="480" t="str">
        <f>VLOOKUP(WWWW[[#This Row],[Village  Name]],SiteDB6[[Site Name]:[Type of Accommodation]],10,FALSE)</f>
        <v>Village</v>
      </c>
      <c r="BW398" s="480">
        <f>VLOOKUP(WWWW[[#This Row],[Village  Name]],SiteDB6[[Site Name]:[Ethnic or GCA/NGCA]],11,FALSE)</f>
        <v>0</v>
      </c>
      <c r="BX398" s="480">
        <f>VLOOKUP(WWWW[[#This Row],[Village  Name]],SiteDB6[[Site Name]:[Lat]],12,FALSE)</f>
        <v>0</v>
      </c>
      <c r="BY398" s="480">
        <f>VLOOKUP(WWWW[[#This Row],[Village  Name]],SiteDB6[[Site Name]:[Long]],13,FALSE)</f>
        <v>0</v>
      </c>
      <c r="BZ398" s="480">
        <f>VLOOKUP(WWWW[[#This Row],[Village  Name]],SiteDB6[[Site Name]:[Pcode]],3,FALSE)</f>
        <v>0</v>
      </c>
      <c r="CA398" s="480" t="str">
        <f t="shared" si="24"/>
        <v>Covered</v>
      </c>
      <c r="CB398" s="505"/>
    </row>
    <row r="399" spans="1:80">
      <c r="A399" s="774" t="s">
        <v>3199</v>
      </c>
      <c r="B399" s="774" t="s">
        <v>2812</v>
      </c>
      <c r="C399" s="703" t="s">
        <v>2812</v>
      </c>
      <c r="D399" s="415" t="s">
        <v>3176</v>
      </c>
      <c r="E399" s="415" t="s">
        <v>36</v>
      </c>
      <c r="F399" s="415" t="s">
        <v>132</v>
      </c>
      <c r="G399" s="705" t="str">
        <f>VLOOKUP(WWWW[[#This Row],[Village  Name]],SiteDB6[[Site Name]:[Location Type]],8,FALSE)</f>
        <v>Village</v>
      </c>
      <c r="H399" s="415" t="s">
        <v>3186</v>
      </c>
      <c r="I399" s="773">
        <v>44</v>
      </c>
      <c r="J399" s="773">
        <v>241</v>
      </c>
      <c r="K399" s="418">
        <v>43081</v>
      </c>
      <c r="L399" s="55">
        <v>44104</v>
      </c>
      <c r="M399" s="773"/>
      <c r="N399" s="773"/>
      <c r="O399" s="773">
        <v>1</v>
      </c>
      <c r="P399" s="773"/>
      <c r="Q399" s="773"/>
      <c r="R399" s="773"/>
      <c r="S399" s="773"/>
      <c r="T399" s="773"/>
      <c r="U399" s="551"/>
      <c r="V399" s="773"/>
      <c r="W399" s="773"/>
      <c r="X399" s="773"/>
      <c r="Y399" s="773"/>
      <c r="Z399" s="773"/>
      <c r="AA399" s="773"/>
      <c r="AB399" s="773"/>
      <c r="AC399" s="551"/>
      <c r="AD399" s="773">
        <v>3</v>
      </c>
      <c r="AE399" s="773">
        <v>10</v>
      </c>
      <c r="AF399" s="773"/>
      <c r="AG399" s="773"/>
      <c r="AH399" s="773"/>
      <c r="AI399" s="773"/>
      <c r="AJ399" s="773"/>
      <c r="AK399" s="773"/>
      <c r="AL399" s="773"/>
      <c r="AM399" s="773"/>
      <c r="AN399" s="551"/>
      <c r="AO399" s="769"/>
      <c r="AP399" s="769"/>
      <c r="AQ399" s="773"/>
      <c r="AR399" s="773"/>
      <c r="AS399" s="773"/>
      <c r="AT399"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399" s="772">
        <f>WWWW[[#This Row],[%Equitable and continuous access to sufficient quantity of safe drinking water]]*WWWW[[#This Row],[Total PoP ]]</f>
        <v>241</v>
      </c>
      <c r="AV399"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399" s="772">
        <f>WWWW[[#This Row],[% Access to unimproved water points]]*WWWW[[#This Row],[Total PoP ]]</f>
        <v>0</v>
      </c>
      <c r="AX399"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399"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241</v>
      </c>
      <c r="AZ399" s="772">
        <f>WWWW[[#This Row],[HRP1]]/250</f>
        <v>0.96399999999999997</v>
      </c>
      <c r="BA399" s="476">
        <f>1-WWWW[[#This Row],[% Equitable and continuous access to sufficient quantity of domestic water]]</f>
        <v>0</v>
      </c>
      <c r="BB399" s="772">
        <f>WWWW[[#This Row],[%equitable and continuous access to sufficient quantity of safe drinking and domestic water''s GAP]]*WWWW[[#This Row],[Total PoP ]]</f>
        <v>0</v>
      </c>
      <c r="BC399" s="770">
        <f>IF(WWWW[[#This Row],[Total required water points]]-WWWW[[#This Row],['#Water points coverage]]&lt;0,0,WWWW[[#This Row],[Total required water points]]-WWWW[[#This Row],['#Water points coverage]])</f>
        <v>3.6000000000000032E-2</v>
      </c>
      <c r="BD399" s="770">
        <f>ROUND(IF(WWWW[[#This Row],[Total PoP ]]&lt;250,1,WWWW[[#This Row],[Total PoP ]]/250),0)</f>
        <v>1</v>
      </c>
      <c r="BE39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399" s="772">
        <f>WWWW[[#This Row],[% people access to functioning Latrine]]*WWWW[[#This Row],[Total PoP ]]</f>
        <v>0</v>
      </c>
      <c r="BG399" s="770">
        <f>WWWW[[#This Row],['#_of_Functioning_latrines_in_school]]*50</f>
        <v>0</v>
      </c>
      <c r="BH399" s="770">
        <f>ROUND((WWWW[[#This Row],[Total PoP ]]/6),0)</f>
        <v>40</v>
      </c>
      <c r="BI399" s="770">
        <f>IF(WWWW[[#This Row],[Total required Latrines]]-(WWWW[[#This Row],['#_of_sanitary_fly-proof_HH_latrines]])&lt;0,0,WWWW[[#This Row],[Total required Latrines]]-(WWWW[[#This Row],['#_of_sanitary_fly-proof_HH_latrines]]))</f>
        <v>40</v>
      </c>
      <c r="BJ399" s="771">
        <f>1-WWWW[[#This Row],[% people access to functioning Latrine]]</f>
        <v>1</v>
      </c>
      <c r="BK399"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13</v>
      </c>
      <c r="BL399" s="772">
        <f>IF(WWWW[[#This Row],['#_of_functional_handwashing_facilities_at_HH_level]]*6&gt;WWWW[[#This Row],[Total PoP ]],WWWW[[#This Row],[Total PoP ]],WWWW[[#This Row],['#_of_functional_handwashing_facilities_at_HH_level]]*6)</f>
        <v>0</v>
      </c>
      <c r="BM399" s="770">
        <f>IF(WWWW[[#This Row],['# people reached by regular dedicated hygiene promotion]]&gt;WWWW[[#This Row],['# People received regular supply of hygiene items]],WWWW[[#This Row],['# people reached by regular dedicated hygiene promotion]],WWWW[[#This Row],['# People received regular supply of hygiene items]])</f>
        <v>13</v>
      </c>
      <c r="BN399" s="476">
        <f>IF(WWWW[[#This Row],[HRP3]]/WWWW[[#This Row],[Total PoP ]]&gt;100%,100%,WWWW[[#This Row],[HRP3]]/WWWW[[#This Row],[Total PoP ]])</f>
        <v>5.3941908713692949E-2</v>
      </c>
      <c r="BO399" s="771">
        <f>1-WWWW[[#This Row],[Hygiene Coverage%]]</f>
        <v>0.94605809128630702</v>
      </c>
      <c r="BP399" s="769">
        <f>WWWW[[#This Row],['# people reached by regular dedicated hygiene promotion]]/WWWW[[#This Row],[Total PoP ]]</f>
        <v>5.3941908713692949E-2</v>
      </c>
      <c r="BQ39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399" s="770">
        <f>WWWW[[#This Row],['#_of_affected_women_and_girls_receiving_a_sufficient_quantity_of_sanitary_pads]]</f>
        <v>0</v>
      </c>
      <c r="BS399" s="773">
        <f>IF(WWWW[[#This Row],['# People with access to soap]]&gt;WWWW[[#This Row],['# People with access to Sanity Pads]],WWWW[[#This Row],['# People with access to soap]],WWWW[[#This Row],['# People with access to Sanity Pads]])</f>
        <v>0</v>
      </c>
      <c r="BT399" s="772" t="str">
        <f>IF(OR(WWWW[[#This Row],['#of students in school]]="",WWWW[[#This Row],['#of students in school]]=0),"No","Yes")</f>
        <v>No</v>
      </c>
      <c r="BU399" s="480" t="str">
        <f>VLOOKUP(WWWW[[#This Row],[Village  Name]],SiteDB6[[Site Name]:[Location Type 1]],9,FALSE)</f>
        <v>Village</v>
      </c>
      <c r="BV399" s="480" t="str">
        <f>VLOOKUP(WWWW[[#This Row],[Village  Name]],SiteDB6[[Site Name]:[Type of Accommodation]],10,FALSE)</f>
        <v>Village</v>
      </c>
      <c r="BW399" s="480">
        <f>VLOOKUP(WWWW[[#This Row],[Village  Name]],SiteDB6[[Site Name]:[Ethnic or GCA/NGCA]],11,FALSE)</f>
        <v>0</v>
      </c>
      <c r="BX399" s="480">
        <f>VLOOKUP(WWWW[[#This Row],[Village  Name]],SiteDB6[[Site Name]:[Lat]],12,FALSE)</f>
        <v>0</v>
      </c>
      <c r="BY399" s="480">
        <f>VLOOKUP(WWWW[[#This Row],[Village  Name]],SiteDB6[[Site Name]:[Long]],13,FALSE)</f>
        <v>0</v>
      </c>
      <c r="BZ399" s="480">
        <f>VLOOKUP(WWWW[[#This Row],[Village  Name]],SiteDB6[[Site Name]:[Pcode]],3,FALSE)</f>
        <v>0</v>
      </c>
      <c r="CA399" s="480" t="str">
        <f t="shared" si="24"/>
        <v>Covered</v>
      </c>
      <c r="CB399" s="505"/>
    </row>
    <row r="400" spans="1:80">
      <c r="A400" s="774" t="s">
        <v>3199</v>
      </c>
      <c r="B400" s="774" t="s">
        <v>2812</v>
      </c>
      <c r="C400" s="703" t="s">
        <v>2812</v>
      </c>
      <c r="D400" s="415" t="s">
        <v>3176</v>
      </c>
      <c r="E400" s="415" t="s">
        <v>36</v>
      </c>
      <c r="F400" s="415" t="s">
        <v>132</v>
      </c>
      <c r="G400" s="705" t="str">
        <f>VLOOKUP(WWWW[[#This Row],[Village  Name]],SiteDB6[[Site Name]:[Location Type]],8,FALSE)</f>
        <v>Village</v>
      </c>
      <c r="H400" s="415" t="s">
        <v>3187</v>
      </c>
      <c r="I400" s="773">
        <v>30</v>
      </c>
      <c r="J400" s="773">
        <v>148</v>
      </c>
      <c r="K400" s="418">
        <v>43081</v>
      </c>
      <c r="L400" s="55">
        <v>44104</v>
      </c>
      <c r="M400" s="773"/>
      <c r="N400" s="773"/>
      <c r="O400" s="773"/>
      <c r="P400" s="773"/>
      <c r="Q400" s="773"/>
      <c r="R400" s="773"/>
      <c r="S400" s="773"/>
      <c r="T400" s="773"/>
      <c r="U400" s="551"/>
      <c r="V400" s="773">
        <v>24</v>
      </c>
      <c r="W400" s="773"/>
      <c r="X400" s="773"/>
      <c r="Y400" s="773"/>
      <c r="Z400" s="773"/>
      <c r="AA400" s="773"/>
      <c r="AB400" s="773"/>
      <c r="AC400" s="551"/>
      <c r="AD400" s="773"/>
      <c r="AE400" s="773">
        <v>20</v>
      </c>
      <c r="AF400" s="773"/>
      <c r="AG400" s="773"/>
      <c r="AH400" s="773"/>
      <c r="AI400" s="773"/>
      <c r="AJ400" s="773"/>
      <c r="AK400" s="773"/>
      <c r="AL400" s="773"/>
      <c r="AM400" s="773"/>
      <c r="AN400" s="551"/>
      <c r="AO400" s="769"/>
      <c r="AP400" s="769"/>
      <c r="AQ400" s="773"/>
      <c r="AR400" s="773"/>
      <c r="AS400" s="773"/>
      <c r="AT400"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00" s="772">
        <f>WWWW[[#This Row],[%Equitable and continuous access to sufficient quantity of safe drinking water]]*WWWW[[#This Row],[Total PoP ]]</f>
        <v>0</v>
      </c>
      <c r="AV400"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00" s="772">
        <f>WWWW[[#This Row],[% Access to unimproved water points]]*WWWW[[#This Row],[Total PoP ]]</f>
        <v>0</v>
      </c>
      <c r="AX400"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00"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00" s="772">
        <f>WWWW[[#This Row],[HRP1]]/250</f>
        <v>0</v>
      </c>
      <c r="BA400" s="476">
        <f>1-WWWW[[#This Row],[% Equitable and continuous access to sufficient quantity of domestic water]]</f>
        <v>1</v>
      </c>
      <c r="BB400" s="772">
        <f>WWWW[[#This Row],[%equitable and continuous access to sufficient quantity of safe drinking and domestic water''s GAP]]*WWWW[[#This Row],[Total PoP ]]</f>
        <v>148</v>
      </c>
      <c r="BC400" s="770">
        <f>IF(WWWW[[#This Row],[Total required water points]]-WWWW[[#This Row],['#Water points coverage]]&lt;0,0,WWWW[[#This Row],[Total required water points]]-WWWW[[#This Row],['#Water points coverage]])</f>
        <v>1</v>
      </c>
      <c r="BD400" s="770">
        <f>ROUND(IF(WWWW[[#This Row],[Total PoP ]]&lt;250,1,WWWW[[#This Row],[Total PoP ]]/250),0)</f>
        <v>1</v>
      </c>
      <c r="BE400"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0.97297297297297303</v>
      </c>
      <c r="BF400" s="772">
        <f>WWWW[[#This Row],[% people access to functioning Latrine]]*WWWW[[#This Row],[Total PoP ]]</f>
        <v>144</v>
      </c>
      <c r="BG400" s="770">
        <f>WWWW[[#This Row],['#_of_Functioning_latrines_in_school]]*50</f>
        <v>0</v>
      </c>
      <c r="BH400" s="770">
        <f>ROUND((WWWW[[#This Row],[Total PoP ]]/6),0)</f>
        <v>25</v>
      </c>
      <c r="BI400" s="770">
        <f>IF(WWWW[[#This Row],[Total required Latrines]]-(WWWW[[#This Row],['#_of_sanitary_fly-proof_HH_latrines]])&lt;0,0,WWWW[[#This Row],[Total required Latrines]]-(WWWW[[#This Row],['#_of_sanitary_fly-proof_HH_latrines]]))</f>
        <v>1</v>
      </c>
      <c r="BJ400" s="771">
        <f>1-WWWW[[#This Row],[% people access to functioning Latrine]]</f>
        <v>2.7027027027026973E-2</v>
      </c>
      <c r="BK400"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20</v>
      </c>
      <c r="BL400" s="772">
        <f>IF(WWWW[[#This Row],['#_of_functional_handwashing_facilities_at_HH_level]]*6&gt;WWWW[[#This Row],[Total PoP ]],WWWW[[#This Row],[Total PoP ]],WWWW[[#This Row],['#_of_functional_handwashing_facilities_at_HH_level]]*6)</f>
        <v>0</v>
      </c>
      <c r="BM400" s="770">
        <f>IF(WWWW[[#This Row],['# people reached by regular dedicated hygiene promotion]]&gt;WWWW[[#This Row],['# People received regular supply of hygiene items]],WWWW[[#This Row],['# people reached by regular dedicated hygiene promotion]],WWWW[[#This Row],['# People received regular supply of hygiene items]])</f>
        <v>20</v>
      </c>
      <c r="BN400" s="476">
        <f>IF(WWWW[[#This Row],[HRP3]]/WWWW[[#This Row],[Total PoP ]]&gt;100%,100%,WWWW[[#This Row],[HRP3]]/WWWW[[#This Row],[Total PoP ]])</f>
        <v>0.13513513513513514</v>
      </c>
      <c r="BO400" s="771">
        <f>1-WWWW[[#This Row],[Hygiene Coverage%]]</f>
        <v>0.86486486486486491</v>
      </c>
      <c r="BP400" s="769">
        <f>WWWW[[#This Row],['# people reached by regular dedicated hygiene promotion]]/WWWW[[#This Row],[Total PoP ]]</f>
        <v>0.13513513513513514</v>
      </c>
      <c r="BQ400"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00" s="770">
        <f>WWWW[[#This Row],['#_of_affected_women_and_girls_receiving_a_sufficient_quantity_of_sanitary_pads]]</f>
        <v>0</v>
      </c>
      <c r="BS400" s="773">
        <f>IF(WWWW[[#This Row],['# People with access to soap]]&gt;WWWW[[#This Row],['# People with access to Sanity Pads]],WWWW[[#This Row],['# People with access to soap]],WWWW[[#This Row],['# People with access to Sanity Pads]])</f>
        <v>0</v>
      </c>
      <c r="BT400" s="772" t="str">
        <f>IF(OR(WWWW[[#This Row],['#of students in school]]="",WWWW[[#This Row],['#of students in school]]=0),"No","Yes")</f>
        <v>No</v>
      </c>
      <c r="BU400" s="480" t="str">
        <f>VLOOKUP(WWWW[[#This Row],[Village  Name]],SiteDB6[[Site Name]:[Location Type 1]],9,FALSE)</f>
        <v>Village</v>
      </c>
      <c r="BV400" s="480" t="str">
        <f>VLOOKUP(WWWW[[#This Row],[Village  Name]],SiteDB6[[Site Name]:[Type of Accommodation]],10,FALSE)</f>
        <v>Village</v>
      </c>
      <c r="BW400" s="480">
        <f>VLOOKUP(WWWW[[#This Row],[Village  Name]],SiteDB6[[Site Name]:[Ethnic or GCA/NGCA]],11,FALSE)</f>
        <v>0</v>
      </c>
      <c r="BX400" s="480">
        <f>VLOOKUP(WWWW[[#This Row],[Village  Name]],SiteDB6[[Site Name]:[Lat]],12,FALSE)</f>
        <v>0</v>
      </c>
      <c r="BY400" s="480">
        <f>VLOOKUP(WWWW[[#This Row],[Village  Name]],SiteDB6[[Site Name]:[Long]],13,FALSE)</f>
        <v>0</v>
      </c>
      <c r="BZ400" s="480">
        <f>VLOOKUP(WWWW[[#This Row],[Village  Name]],SiteDB6[[Site Name]:[Pcode]],3,FALSE)</f>
        <v>0</v>
      </c>
      <c r="CA400" s="480" t="str">
        <f t="shared" si="24"/>
        <v>Covered</v>
      </c>
      <c r="CB400" s="505"/>
    </row>
    <row r="401" spans="1:80">
      <c r="A401" s="774" t="s">
        <v>3199</v>
      </c>
      <c r="B401" s="774" t="s">
        <v>2812</v>
      </c>
      <c r="C401" s="703" t="s">
        <v>2812</v>
      </c>
      <c r="D401" s="415" t="s">
        <v>3176</v>
      </c>
      <c r="E401" s="415" t="s">
        <v>36</v>
      </c>
      <c r="F401" s="415" t="s">
        <v>132</v>
      </c>
      <c r="G401" s="705" t="str">
        <f>VLOOKUP(WWWW[[#This Row],[Village  Name]],SiteDB6[[Site Name]:[Location Type]],8,FALSE)</f>
        <v>Village</v>
      </c>
      <c r="H401" s="415" t="s">
        <v>3188</v>
      </c>
      <c r="I401" s="773">
        <v>47</v>
      </c>
      <c r="J401" s="773">
        <v>233</v>
      </c>
      <c r="K401" s="418">
        <v>43081</v>
      </c>
      <c r="L401" s="55">
        <v>44104</v>
      </c>
      <c r="M401" s="773"/>
      <c r="N401" s="773"/>
      <c r="O401" s="773"/>
      <c r="P401" s="773"/>
      <c r="Q401" s="773"/>
      <c r="R401" s="773"/>
      <c r="S401" s="773"/>
      <c r="T401" s="773"/>
      <c r="U401" s="551"/>
      <c r="V401" s="773"/>
      <c r="W401" s="773"/>
      <c r="X401" s="773"/>
      <c r="Y401" s="773"/>
      <c r="Z401" s="773"/>
      <c r="AA401" s="773"/>
      <c r="AB401" s="773"/>
      <c r="AC401" s="551"/>
      <c r="AD401" s="773">
        <v>1</v>
      </c>
      <c r="AE401" s="773">
        <v>21</v>
      </c>
      <c r="AF401" s="773"/>
      <c r="AG401" s="773"/>
      <c r="AH401" s="773"/>
      <c r="AI401" s="773"/>
      <c r="AJ401" s="773"/>
      <c r="AK401" s="773"/>
      <c r="AL401" s="773"/>
      <c r="AM401" s="773"/>
      <c r="AN401" s="551"/>
      <c r="AO401" s="769"/>
      <c r="AP401" s="769"/>
      <c r="AQ401" s="773"/>
      <c r="AR401" s="773"/>
      <c r="AS401" s="773"/>
      <c r="AT401"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01" s="772">
        <f>WWWW[[#This Row],[%Equitable and continuous access to sufficient quantity of safe drinking water]]*WWWW[[#This Row],[Total PoP ]]</f>
        <v>0</v>
      </c>
      <c r="AV401"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01" s="772">
        <f>WWWW[[#This Row],[% Access to unimproved water points]]*WWWW[[#This Row],[Total PoP ]]</f>
        <v>0</v>
      </c>
      <c r="AX401"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01"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01" s="772">
        <f>WWWW[[#This Row],[HRP1]]/250</f>
        <v>0</v>
      </c>
      <c r="BA401" s="476">
        <f>1-WWWW[[#This Row],[% Equitable and continuous access to sufficient quantity of domestic water]]</f>
        <v>1</v>
      </c>
      <c r="BB401" s="772">
        <f>WWWW[[#This Row],[%equitable and continuous access to sufficient quantity of safe drinking and domestic water''s GAP]]*WWWW[[#This Row],[Total PoP ]]</f>
        <v>233</v>
      </c>
      <c r="BC401" s="770">
        <f>IF(WWWW[[#This Row],[Total required water points]]-WWWW[[#This Row],['#Water points coverage]]&lt;0,0,WWWW[[#This Row],[Total required water points]]-WWWW[[#This Row],['#Water points coverage]])</f>
        <v>1</v>
      </c>
      <c r="BD401" s="770">
        <f>ROUND(IF(WWWW[[#This Row],[Total PoP ]]&lt;250,1,WWWW[[#This Row],[Total PoP ]]/250),0)</f>
        <v>1</v>
      </c>
      <c r="BE401"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401" s="772">
        <f>WWWW[[#This Row],[% people access to functioning Latrine]]*WWWW[[#This Row],[Total PoP ]]</f>
        <v>0</v>
      </c>
      <c r="BG401" s="770">
        <f>WWWW[[#This Row],['#_of_Functioning_latrines_in_school]]*50</f>
        <v>0</v>
      </c>
      <c r="BH401" s="770">
        <f>ROUND((WWWW[[#This Row],[Total PoP ]]/6),0)</f>
        <v>39</v>
      </c>
      <c r="BI401" s="770">
        <f>IF(WWWW[[#This Row],[Total required Latrines]]-(WWWW[[#This Row],['#_of_sanitary_fly-proof_HH_latrines]])&lt;0,0,WWWW[[#This Row],[Total required Latrines]]-(WWWW[[#This Row],['#_of_sanitary_fly-proof_HH_latrines]]))</f>
        <v>39</v>
      </c>
      <c r="BJ401" s="771">
        <f>1-WWWW[[#This Row],[% people access to functioning Latrine]]</f>
        <v>1</v>
      </c>
      <c r="BK401"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22</v>
      </c>
      <c r="BL401" s="772">
        <f>IF(WWWW[[#This Row],['#_of_functional_handwashing_facilities_at_HH_level]]*6&gt;WWWW[[#This Row],[Total PoP ]],WWWW[[#This Row],[Total PoP ]],WWWW[[#This Row],['#_of_functional_handwashing_facilities_at_HH_level]]*6)</f>
        <v>0</v>
      </c>
      <c r="BM401" s="770">
        <f>IF(WWWW[[#This Row],['# people reached by regular dedicated hygiene promotion]]&gt;WWWW[[#This Row],['# People received regular supply of hygiene items]],WWWW[[#This Row],['# people reached by regular dedicated hygiene promotion]],WWWW[[#This Row],['# People received regular supply of hygiene items]])</f>
        <v>22</v>
      </c>
      <c r="BN401" s="476">
        <f>IF(WWWW[[#This Row],[HRP3]]/WWWW[[#This Row],[Total PoP ]]&gt;100%,100%,WWWW[[#This Row],[HRP3]]/WWWW[[#This Row],[Total PoP ]])</f>
        <v>9.4420600858369105E-2</v>
      </c>
      <c r="BO401" s="771">
        <f>1-WWWW[[#This Row],[Hygiene Coverage%]]</f>
        <v>0.90557939914163088</v>
      </c>
      <c r="BP401" s="769">
        <f>WWWW[[#This Row],['# people reached by regular dedicated hygiene promotion]]/WWWW[[#This Row],[Total PoP ]]</f>
        <v>9.4420600858369105E-2</v>
      </c>
      <c r="BQ401"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01" s="770">
        <f>WWWW[[#This Row],['#_of_affected_women_and_girls_receiving_a_sufficient_quantity_of_sanitary_pads]]</f>
        <v>0</v>
      </c>
      <c r="BS401" s="773">
        <f>IF(WWWW[[#This Row],['# People with access to soap]]&gt;WWWW[[#This Row],['# People with access to Sanity Pads]],WWWW[[#This Row],['# People with access to soap]],WWWW[[#This Row],['# People with access to Sanity Pads]])</f>
        <v>0</v>
      </c>
      <c r="BT401" s="772" t="str">
        <f>IF(OR(WWWW[[#This Row],['#of students in school]]="",WWWW[[#This Row],['#of students in school]]=0),"No","Yes")</f>
        <v>No</v>
      </c>
      <c r="BU401" s="480" t="str">
        <f>VLOOKUP(WWWW[[#This Row],[Village  Name]],SiteDB6[[Site Name]:[Location Type 1]],9,FALSE)</f>
        <v>Village</v>
      </c>
      <c r="BV401" s="480" t="str">
        <f>VLOOKUP(WWWW[[#This Row],[Village  Name]],SiteDB6[[Site Name]:[Type of Accommodation]],10,FALSE)</f>
        <v>Village</v>
      </c>
      <c r="BW401" s="480">
        <f>VLOOKUP(WWWW[[#This Row],[Village  Name]],SiteDB6[[Site Name]:[Ethnic or GCA/NGCA]],11,FALSE)</f>
        <v>0</v>
      </c>
      <c r="BX401" s="480">
        <f>VLOOKUP(WWWW[[#This Row],[Village  Name]],SiteDB6[[Site Name]:[Lat]],12,FALSE)</f>
        <v>0</v>
      </c>
      <c r="BY401" s="480">
        <f>VLOOKUP(WWWW[[#This Row],[Village  Name]],SiteDB6[[Site Name]:[Long]],13,FALSE)</f>
        <v>0</v>
      </c>
      <c r="BZ401" s="480">
        <f>VLOOKUP(WWWW[[#This Row],[Village  Name]],SiteDB6[[Site Name]:[Pcode]],3,FALSE)</f>
        <v>0</v>
      </c>
      <c r="CA401" s="480" t="str">
        <f t="shared" si="24"/>
        <v>Covered</v>
      </c>
      <c r="CB401" s="505"/>
    </row>
    <row r="402" spans="1:80">
      <c r="A402" s="774" t="s">
        <v>3199</v>
      </c>
      <c r="B402" s="774" t="s">
        <v>2812</v>
      </c>
      <c r="C402" s="703" t="s">
        <v>2812</v>
      </c>
      <c r="D402" s="415" t="s">
        <v>3176</v>
      </c>
      <c r="E402" s="415" t="s">
        <v>36</v>
      </c>
      <c r="F402" s="415" t="s">
        <v>132</v>
      </c>
      <c r="G402" s="705" t="str">
        <f>VLOOKUP(WWWW[[#This Row],[Village  Name]],SiteDB6[[Site Name]:[Location Type]],8,FALSE)</f>
        <v>Village</v>
      </c>
      <c r="H402" s="415" t="s">
        <v>3189</v>
      </c>
      <c r="I402" s="773">
        <v>123</v>
      </c>
      <c r="J402" s="773">
        <v>732</v>
      </c>
      <c r="K402" s="418">
        <v>43081</v>
      </c>
      <c r="L402" s="55">
        <v>44104</v>
      </c>
      <c r="M402" s="773"/>
      <c r="N402" s="773"/>
      <c r="O402" s="773"/>
      <c r="P402" s="773"/>
      <c r="Q402" s="773"/>
      <c r="R402" s="773"/>
      <c r="S402" s="773"/>
      <c r="T402" s="773"/>
      <c r="U402" s="551"/>
      <c r="V402" s="773"/>
      <c r="W402" s="773"/>
      <c r="X402" s="773"/>
      <c r="Y402" s="773"/>
      <c r="Z402" s="773"/>
      <c r="AA402" s="773"/>
      <c r="AB402" s="773"/>
      <c r="AC402" s="551"/>
      <c r="AD402" s="773">
        <v>20</v>
      </c>
      <c r="AE402" s="773">
        <v>40</v>
      </c>
      <c r="AF402" s="773"/>
      <c r="AG402" s="773"/>
      <c r="AH402" s="773"/>
      <c r="AI402" s="773"/>
      <c r="AJ402" s="773"/>
      <c r="AK402" s="773"/>
      <c r="AL402" s="773"/>
      <c r="AM402" s="773"/>
      <c r="AN402" s="551"/>
      <c r="AO402" s="769"/>
      <c r="AP402" s="769"/>
      <c r="AQ402" s="773"/>
      <c r="AR402" s="773"/>
      <c r="AS402" s="773"/>
      <c r="AT402"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02" s="772">
        <f>WWWW[[#This Row],[%Equitable and continuous access to sufficient quantity of safe drinking water]]*WWWW[[#This Row],[Total PoP ]]</f>
        <v>0</v>
      </c>
      <c r="AV402"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02" s="772">
        <f>WWWW[[#This Row],[% Access to unimproved water points]]*WWWW[[#This Row],[Total PoP ]]</f>
        <v>0</v>
      </c>
      <c r="AX402"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02"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02" s="772">
        <f>WWWW[[#This Row],[HRP1]]/250</f>
        <v>0</v>
      </c>
      <c r="BA402" s="476">
        <f>1-WWWW[[#This Row],[% Equitable and continuous access to sufficient quantity of domestic water]]</f>
        <v>1</v>
      </c>
      <c r="BB402" s="772">
        <f>WWWW[[#This Row],[%equitable and continuous access to sufficient quantity of safe drinking and domestic water''s GAP]]*WWWW[[#This Row],[Total PoP ]]</f>
        <v>732</v>
      </c>
      <c r="BC402" s="770">
        <f>IF(WWWW[[#This Row],[Total required water points]]-WWWW[[#This Row],['#Water points coverage]]&lt;0,0,WWWW[[#This Row],[Total required water points]]-WWWW[[#This Row],['#Water points coverage]])</f>
        <v>3</v>
      </c>
      <c r="BD402" s="770">
        <f>ROUND(IF(WWWW[[#This Row],[Total PoP ]]&lt;250,1,WWWW[[#This Row],[Total PoP ]]/250),0)</f>
        <v>3</v>
      </c>
      <c r="BE402"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402" s="772">
        <f>WWWW[[#This Row],[% people access to functioning Latrine]]*WWWW[[#This Row],[Total PoP ]]</f>
        <v>0</v>
      </c>
      <c r="BG402" s="770">
        <f>WWWW[[#This Row],['#_of_Functioning_latrines_in_school]]*50</f>
        <v>0</v>
      </c>
      <c r="BH402" s="770">
        <f>ROUND((WWWW[[#This Row],[Total PoP ]]/6),0)</f>
        <v>122</v>
      </c>
      <c r="BI402" s="770">
        <f>IF(WWWW[[#This Row],[Total required Latrines]]-(WWWW[[#This Row],['#_of_sanitary_fly-proof_HH_latrines]])&lt;0,0,WWWW[[#This Row],[Total required Latrines]]-(WWWW[[#This Row],['#_of_sanitary_fly-proof_HH_latrines]]))</f>
        <v>122</v>
      </c>
      <c r="BJ402" s="771">
        <f>1-WWWW[[#This Row],[% people access to functioning Latrine]]</f>
        <v>1</v>
      </c>
      <c r="BK402"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60</v>
      </c>
      <c r="BL402" s="772">
        <f>IF(WWWW[[#This Row],['#_of_functional_handwashing_facilities_at_HH_level]]*6&gt;WWWW[[#This Row],[Total PoP ]],WWWW[[#This Row],[Total PoP ]],WWWW[[#This Row],['#_of_functional_handwashing_facilities_at_HH_level]]*6)</f>
        <v>0</v>
      </c>
      <c r="BM402" s="770">
        <f>IF(WWWW[[#This Row],['# people reached by regular dedicated hygiene promotion]]&gt;WWWW[[#This Row],['# People received regular supply of hygiene items]],WWWW[[#This Row],['# people reached by regular dedicated hygiene promotion]],WWWW[[#This Row],['# People received regular supply of hygiene items]])</f>
        <v>60</v>
      </c>
      <c r="BN402" s="476">
        <f>IF(WWWW[[#This Row],[HRP3]]/WWWW[[#This Row],[Total PoP ]]&gt;100%,100%,WWWW[[#This Row],[HRP3]]/WWWW[[#This Row],[Total PoP ]])</f>
        <v>8.1967213114754092E-2</v>
      </c>
      <c r="BO402" s="771">
        <f>1-WWWW[[#This Row],[Hygiene Coverage%]]</f>
        <v>0.91803278688524592</v>
      </c>
      <c r="BP402" s="769">
        <f>WWWW[[#This Row],['# people reached by regular dedicated hygiene promotion]]/WWWW[[#This Row],[Total PoP ]]</f>
        <v>8.1967213114754092E-2</v>
      </c>
      <c r="BQ402"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02" s="770">
        <f>WWWW[[#This Row],['#_of_affected_women_and_girls_receiving_a_sufficient_quantity_of_sanitary_pads]]</f>
        <v>0</v>
      </c>
      <c r="BS402" s="773">
        <f>IF(WWWW[[#This Row],['# People with access to soap]]&gt;WWWW[[#This Row],['# People with access to Sanity Pads]],WWWW[[#This Row],['# People with access to soap]],WWWW[[#This Row],['# People with access to Sanity Pads]])</f>
        <v>0</v>
      </c>
      <c r="BT402" s="772" t="str">
        <f>IF(OR(WWWW[[#This Row],['#of students in school]]="",WWWW[[#This Row],['#of students in school]]=0),"No","Yes")</f>
        <v>No</v>
      </c>
      <c r="BU402" s="480" t="str">
        <f>VLOOKUP(WWWW[[#This Row],[Village  Name]],SiteDB6[[Site Name]:[Location Type 1]],9,FALSE)</f>
        <v>Village</v>
      </c>
      <c r="BV402" s="480" t="str">
        <f>VLOOKUP(WWWW[[#This Row],[Village  Name]],SiteDB6[[Site Name]:[Type of Accommodation]],10,FALSE)</f>
        <v>Village</v>
      </c>
      <c r="BW402" s="480">
        <f>VLOOKUP(WWWW[[#This Row],[Village  Name]],SiteDB6[[Site Name]:[Ethnic or GCA/NGCA]],11,FALSE)</f>
        <v>0</v>
      </c>
      <c r="BX402" s="480">
        <f>VLOOKUP(WWWW[[#This Row],[Village  Name]],SiteDB6[[Site Name]:[Lat]],12,FALSE)</f>
        <v>0</v>
      </c>
      <c r="BY402" s="480">
        <f>VLOOKUP(WWWW[[#This Row],[Village  Name]],SiteDB6[[Site Name]:[Long]],13,FALSE)</f>
        <v>0</v>
      </c>
      <c r="BZ402" s="480">
        <f>VLOOKUP(WWWW[[#This Row],[Village  Name]],SiteDB6[[Site Name]:[Pcode]],3,FALSE)</f>
        <v>0</v>
      </c>
      <c r="CA402" s="480" t="str">
        <f t="shared" si="24"/>
        <v>Covered</v>
      </c>
      <c r="CB402" s="505"/>
    </row>
    <row r="403" spans="1:80">
      <c r="A403" s="774" t="s">
        <v>3199</v>
      </c>
      <c r="B403" s="774" t="s">
        <v>2812</v>
      </c>
      <c r="C403" s="703" t="s">
        <v>2812</v>
      </c>
      <c r="D403" s="415" t="s">
        <v>3176</v>
      </c>
      <c r="E403" s="415" t="s">
        <v>36</v>
      </c>
      <c r="F403" s="415" t="s">
        <v>132</v>
      </c>
      <c r="G403" s="705" t="str">
        <f>VLOOKUP(WWWW[[#This Row],[Village  Name]],SiteDB6[[Site Name]:[Location Type]],8,FALSE)</f>
        <v>Village</v>
      </c>
      <c r="H403" s="415" t="s">
        <v>3190</v>
      </c>
      <c r="I403" s="773">
        <v>55</v>
      </c>
      <c r="J403" s="773">
        <v>332</v>
      </c>
      <c r="K403" s="418">
        <v>43081</v>
      </c>
      <c r="L403" s="55">
        <v>44104</v>
      </c>
      <c r="M403" s="773"/>
      <c r="N403" s="773"/>
      <c r="O403" s="773"/>
      <c r="P403" s="773"/>
      <c r="Q403" s="773"/>
      <c r="R403" s="773"/>
      <c r="S403" s="773"/>
      <c r="T403" s="773"/>
      <c r="U403" s="551"/>
      <c r="V403" s="773"/>
      <c r="W403" s="773"/>
      <c r="X403" s="773">
        <v>2</v>
      </c>
      <c r="Y403" s="773"/>
      <c r="Z403" s="773"/>
      <c r="AA403" s="773"/>
      <c r="AB403" s="773"/>
      <c r="AC403" s="551"/>
      <c r="AD403" s="773"/>
      <c r="AE403" s="773"/>
      <c r="AF403" s="773"/>
      <c r="AG403" s="773"/>
      <c r="AH403" s="773"/>
      <c r="AI403" s="773"/>
      <c r="AJ403" s="773"/>
      <c r="AK403" s="773"/>
      <c r="AL403" s="773"/>
      <c r="AM403" s="773"/>
      <c r="AN403" s="551"/>
      <c r="AO403" s="769"/>
      <c r="AP403" s="769"/>
      <c r="AQ403" s="773"/>
      <c r="AR403" s="773"/>
      <c r="AS403" s="773"/>
      <c r="AT403"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03" s="772">
        <f>WWWW[[#This Row],[%Equitable and continuous access to sufficient quantity of safe drinking water]]*WWWW[[#This Row],[Total PoP ]]</f>
        <v>0</v>
      </c>
      <c r="AV403"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03" s="772">
        <f>WWWW[[#This Row],[% Access to unimproved water points]]*WWWW[[#This Row],[Total PoP ]]</f>
        <v>0</v>
      </c>
      <c r="AX403"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03"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03" s="772">
        <f>WWWW[[#This Row],[HRP1]]/250</f>
        <v>0</v>
      </c>
      <c r="BA403" s="476">
        <f>1-WWWW[[#This Row],[% Equitable and continuous access to sufficient quantity of domestic water]]</f>
        <v>1</v>
      </c>
      <c r="BB403" s="772">
        <f>WWWW[[#This Row],[%equitable and continuous access to sufficient quantity of safe drinking and domestic water''s GAP]]*WWWW[[#This Row],[Total PoP ]]</f>
        <v>332</v>
      </c>
      <c r="BC403" s="770">
        <f>IF(WWWW[[#This Row],[Total required water points]]-WWWW[[#This Row],['#Water points coverage]]&lt;0,0,WWWW[[#This Row],[Total required water points]]-WWWW[[#This Row],['#Water points coverage]])</f>
        <v>1</v>
      </c>
      <c r="BD403" s="770">
        <f>ROUND(IF(WWWW[[#This Row],[Total PoP ]]&lt;250,1,WWWW[[#This Row],[Total PoP ]]/250),0)</f>
        <v>1</v>
      </c>
      <c r="BE403"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403" s="772">
        <f>WWWW[[#This Row],[% people access to functioning Latrine]]*WWWW[[#This Row],[Total PoP ]]</f>
        <v>0</v>
      </c>
      <c r="BG403" s="770">
        <f>WWWW[[#This Row],['#_of_Functioning_latrines_in_school]]*50</f>
        <v>100</v>
      </c>
      <c r="BH403" s="770">
        <f>ROUND((WWWW[[#This Row],[Total PoP ]]/6),0)</f>
        <v>55</v>
      </c>
      <c r="BI403" s="770">
        <f>IF(WWWW[[#This Row],[Total required Latrines]]-(WWWW[[#This Row],['#_of_sanitary_fly-proof_HH_latrines]])&lt;0,0,WWWW[[#This Row],[Total required Latrines]]-(WWWW[[#This Row],['#_of_sanitary_fly-proof_HH_latrines]]))</f>
        <v>55</v>
      </c>
      <c r="BJ403" s="771">
        <f>1-WWWW[[#This Row],[% people access to functioning Latrine]]</f>
        <v>1</v>
      </c>
      <c r="BK403"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03" s="772">
        <f>IF(WWWW[[#This Row],['#_of_functional_handwashing_facilities_at_HH_level]]*6&gt;WWWW[[#This Row],[Total PoP ]],WWWW[[#This Row],[Total PoP ]],WWWW[[#This Row],['#_of_functional_handwashing_facilities_at_HH_level]]*6)</f>
        <v>0</v>
      </c>
      <c r="BM403" s="770">
        <f>IF(WWWW[[#This Row],['# people reached by regular dedicated hygiene promotion]]&gt;WWWW[[#This Row],['# People received regular supply of hygiene items]],WWWW[[#This Row],['# people reached by regular dedicated hygiene promotion]],WWWW[[#This Row],['# People received regular supply of hygiene items]])</f>
        <v>0</v>
      </c>
      <c r="BN403" s="476">
        <f>IF(WWWW[[#This Row],[HRP3]]/WWWW[[#This Row],[Total PoP ]]&gt;100%,100%,WWWW[[#This Row],[HRP3]]/WWWW[[#This Row],[Total PoP ]])</f>
        <v>0</v>
      </c>
      <c r="BO403" s="771">
        <f>1-WWWW[[#This Row],[Hygiene Coverage%]]</f>
        <v>1</v>
      </c>
      <c r="BP403" s="769">
        <f>WWWW[[#This Row],['# people reached by regular dedicated hygiene promotion]]/WWWW[[#This Row],[Total PoP ]]</f>
        <v>0</v>
      </c>
      <c r="BQ403"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03" s="770">
        <f>WWWW[[#This Row],['#_of_affected_women_and_girls_receiving_a_sufficient_quantity_of_sanitary_pads]]</f>
        <v>0</v>
      </c>
      <c r="BS403" s="773">
        <f>IF(WWWW[[#This Row],['# People with access to soap]]&gt;WWWW[[#This Row],['# People with access to Sanity Pads]],WWWW[[#This Row],['# People with access to soap]],WWWW[[#This Row],['# People with access to Sanity Pads]])</f>
        <v>0</v>
      </c>
      <c r="BT403" s="772" t="str">
        <f>IF(OR(WWWW[[#This Row],['#of students in school]]="",WWWW[[#This Row],['#of students in school]]=0),"No","Yes")</f>
        <v>No</v>
      </c>
      <c r="BU403" s="480" t="str">
        <f>VLOOKUP(WWWW[[#This Row],[Village  Name]],SiteDB6[[Site Name]:[Location Type 1]],9,FALSE)</f>
        <v>Village</v>
      </c>
      <c r="BV403" s="480" t="str">
        <f>VLOOKUP(WWWW[[#This Row],[Village  Name]],SiteDB6[[Site Name]:[Type of Accommodation]],10,FALSE)</f>
        <v>Village</v>
      </c>
      <c r="BW403" s="480">
        <f>VLOOKUP(WWWW[[#This Row],[Village  Name]],SiteDB6[[Site Name]:[Ethnic or GCA/NGCA]],11,FALSE)</f>
        <v>0</v>
      </c>
      <c r="BX403" s="480">
        <f>VLOOKUP(WWWW[[#This Row],[Village  Name]],SiteDB6[[Site Name]:[Lat]],12,FALSE)</f>
        <v>0</v>
      </c>
      <c r="BY403" s="480">
        <f>VLOOKUP(WWWW[[#This Row],[Village  Name]],SiteDB6[[Site Name]:[Long]],13,FALSE)</f>
        <v>0</v>
      </c>
      <c r="BZ403" s="480">
        <f>VLOOKUP(WWWW[[#This Row],[Village  Name]],SiteDB6[[Site Name]:[Pcode]],3,FALSE)</f>
        <v>0</v>
      </c>
      <c r="CA403" s="480" t="str">
        <f t="shared" si="24"/>
        <v>Covered</v>
      </c>
      <c r="CB403" s="505"/>
    </row>
    <row r="404" spans="1:80">
      <c r="A404" s="774" t="s">
        <v>3199</v>
      </c>
      <c r="B404" s="774" t="s">
        <v>2812</v>
      </c>
      <c r="C404" s="703" t="s">
        <v>2812</v>
      </c>
      <c r="D404" s="415" t="s">
        <v>3176</v>
      </c>
      <c r="E404" s="415" t="s">
        <v>36</v>
      </c>
      <c r="F404" s="415" t="s">
        <v>132</v>
      </c>
      <c r="G404" s="705" t="str">
        <f>VLOOKUP(WWWW[[#This Row],[Village  Name]],SiteDB6[[Site Name]:[Location Type]],8,FALSE)</f>
        <v>Village</v>
      </c>
      <c r="H404" s="415" t="s">
        <v>3191</v>
      </c>
      <c r="I404" s="773">
        <v>114</v>
      </c>
      <c r="J404" s="773">
        <v>350</v>
      </c>
      <c r="K404" s="418">
        <v>43476</v>
      </c>
      <c r="L404" s="55">
        <v>44104</v>
      </c>
      <c r="M404" s="773"/>
      <c r="N404" s="773"/>
      <c r="O404" s="773"/>
      <c r="P404" s="773"/>
      <c r="Q404" s="773"/>
      <c r="R404" s="773"/>
      <c r="S404" s="773"/>
      <c r="T404" s="773"/>
      <c r="U404" s="551"/>
      <c r="V404" s="773"/>
      <c r="W404" s="773"/>
      <c r="X404" s="773"/>
      <c r="Y404" s="773"/>
      <c r="Z404" s="773"/>
      <c r="AA404" s="773"/>
      <c r="AB404" s="773"/>
      <c r="AC404" s="551"/>
      <c r="AD404" s="773"/>
      <c r="AE404" s="773"/>
      <c r="AF404" s="773"/>
      <c r="AG404" s="773"/>
      <c r="AH404" s="773"/>
      <c r="AI404" s="773"/>
      <c r="AJ404" s="773"/>
      <c r="AK404" s="773"/>
      <c r="AL404" s="773"/>
      <c r="AM404" s="773"/>
      <c r="AN404" s="551"/>
      <c r="AO404" s="769"/>
      <c r="AP404" s="769"/>
      <c r="AQ404" s="773"/>
      <c r="AR404" s="773"/>
      <c r="AS404" s="773"/>
      <c r="AT404"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04" s="772">
        <f>WWWW[[#This Row],[%Equitable and continuous access to sufficient quantity of safe drinking water]]*WWWW[[#This Row],[Total PoP ]]</f>
        <v>0</v>
      </c>
      <c r="AV404"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04" s="772">
        <f>WWWW[[#This Row],[% Access to unimproved water points]]*WWWW[[#This Row],[Total PoP ]]</f>
        <v>0</v>
      </c>
      <c r="AX404"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04"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04" s="772">
        <f>WWWW[[#This Row],[HRP1]]/250</f>
        <v>0</v>
      </c>
      <c r="BA404" s="476">
        <f>1-WWWW[[#This Row],[% Equitable and continuous access to sufficient quantity of domestic water]]</f>
        <v>1</v>
      </c>
      <c r="BB404" s="772">
        <f>WWWW[[#This Row],[%equitable and continuous access to sufficient quantity of safe drinking and domestic water''s GAP]]*WWWW[[#This Row],[Total PoP ]]</f>
        <v>350</v>
      </c>
      <c r="BC404" s="770">
        <f>IF(WWWW[[#This Row],[Total required water points]]-WWWW[[#This Row],['#Water points coverage]]&lt;0,0,WWWW[[#This Row],[Total required water points]]-WWWW[[#This Row],['#Water points coverage]])</f>
        <v>1</v>
      </c>
      <c r="BD404" s="770">
        <f>ROUND(IF(WWWW[[#This Row],[Total PoP ]]&lt;250,1,WWWW[[#This Row],[Total PoP ]]/250),0)</f>
        <v>1</v>
      </c>
      <c r="BE404"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404" s="772">
        <f>WWWW[[#This Row],[% people access to functioning Latrine]]*WWWW[[#This Row],[Total PoP ]]</f>
        <v>0</v>
      </c>
      <c r="BG404" s="770">
        <f>WWWW[[#This Row],['#_of_Functioning_latrines_in_school]]*50</f>
        <v>0</v>
      </c>
      <c r="BH404" s="770">
        <f>ROUND((WWWW[[#This Row],[Total PoP ]]/6),0)</f>
        <v>58</v>
      </c>
      <c r="BI404" s="770">
        <f>IF(WWWW[[#This Row],[Total required Latrines]]-(WWWW[[#This Row],['#_of_sanitary_fly-proof_HH_latrines]])&lt;0,0,WWWW[[#This Row],[Total required Latrines]]-(WWWW[[#This Row],['#_of_sanitary_fly-proof_HH_latrines]]))</f>
        <v>58</v>
      </c>
      <c r="BJ404" s="771">
        <f>1-WWWW[[#This Row],[% people access to functioning Latrine]]</f>
        <v>1</v>
      </c>
      <c r="BK404"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04" s="772">
        <f>IF(WWWW[[#This Row],['#_of_functional_handwashing_facilities_at_HH_level]]*6&gt;WWWW[[#This Row],[Total PoP ]],WWWW[[#This Row],[Total PoP ]],WWWW[[#This Row],['#_of_functional_handwashing_facilities_at_HH_level]]*6)</f>
        <v>0</v>
      </c>
      <c r="BM404" s="770">
        <f>IF(WWWW[[#This Row],['# people reached by regular dedicated hygiene promotion]]&gt;WWWW[[#This Row],['# People received regular supply of hygiene items]],WWWW[[#This Row],['# people reached by regular dedicated hygiene promotion]],WWWW[[#This Row],['# People received regular supply of hygiene items]])</f>
        <v>0</v>
      </c>
      <c r="BN404" s="476">
        <f>IF(WWWW[[#This Row],[HRP3]]/WWWW[[#This Row],[Total PoP ]]&gt;100%,100%,WWWW[[#This Row],[HRP3]]/WWWW[[#This Row],[Total PoP ]])</f>
        <v>0</v>
      </c>
      <c r="BO404" s="771">
        <f>1-WWWW[[#This Row],[Hygiene Coverage%]]</f>
        <v>1</v>
      </c>
      <c r="BP404" s="769">
        <f>WWWW[[#This Row],['# people reached by regular dedicated hygiene promotion]]/WWWW[[#This Row],[Total PoP ]]</f>
        <v>0</v>
      </c>
      <c r="BQ404"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04" s="770">
        <f>WWWW[[#This Row],['#_of_affected_women_and_girls_receiving_a_sufficient_quantity_of_sanitary_pads]]</f>
        <v>0</v>
      </c>
      <c r="BS404" s="773">
        <f>IF(WWWW[[#This Row],['# People with access to soap]]&gt;WWWW[[#This Row],['# People with access to Sanity Pads]],WWWW[[#This Row],['# People with access to soap]],WWWW[[#This Row],['# People with access to Sanity Pads]])</f>
        <v>0</v>
      </c>
      <c r="BT404" s="772" t="str">
        <f>IF(OR(WWWW[[#This Row],['#of students in school]]="",WWWW[[#This Row],['#of students in school]]=0),"No","Yes")</f>
        <v>No</v>
      </c>
      <c r="BU404" s="480" t="str">
        <f>VLOOKUP(WWWW[[#This Row],[Village  Name]],SiteDB6[[Site Name]:[Location Type 1]],9,FALSE)</f>
        <v>Village</v>
      </c>
      <c r="BV404" s="480" t="str">
        <f>VLOOKUP(WWWW[[#This Row],[Village  Name]],SiteDB6[[Site Name]:[Type of Accommodation]],10,FALSE)</f>
        <v>Village</v>
      </c>
      <c r="BW404" s="480">
        <f>VLOOKUP(WWWW[[#This Row],[Village  Name]],SiteDB6[[Site Name]:[Ethnic or GCA/NGCA]],11,FALSE)</f>
        <v>0</v>
      </c>
      <c r="BX404" s="480">
        <f>VLOOKUP(WWWW[[#This Row],[Village  Name]],SiteDB6[[Site Name]:[Lat]],12,FALSE)</f>
        <v>0</v>
      </c>
      <c r="BY404" s="480">
        <f>VLOOKUP(WWWW[[#This Row],[Village  Name]],SiteDB6[[Site Name]:[Long]],13,FALSE)</f>
        <v>0</v>
      </c>
      <c r="BZ404" s="480">
        <f>VLOOKUP(WWWW[[#This Row],[Village  Name]],SiteDB6[[Site Name]:[Pcode]],3,FALSE)</f>
        <v>0</v>
      </c>
      <c r="CA404" s="480" t="str">
        <f t="shared" si="24"/>
        <v>Covered</v>
      </c>
      <c r="CB404" s="505"/>
    </row>
    <row r="405" spans="1:80">
      <c r="A405" s="774" t="s">
        <v>3199</v>
      </c>
      <c r="B405" s="774" t="s">
        <v>2812</v>
      </c>
      <c r="C405" s="703" t="s">
        <v>2812</v>
      </c>
      <c r="D405" s="415" t="s">
        <v>3176</v>
      </c>
      <c r="E405" s="415" t="s">
        <v>36</v>
      </c>
      <c r="F405" s="415" t="s">
        <v>132</v>
      </c>
      <c r="G405" s="705" t="str">
        <f>VLOOKUP(WWWW[[#This Row],[Village  Name]],SiteDB6[[Site Name]:[Location Type]],8,FALSE)</f>
        <v>Village</v>
      </c>
      <c r="H405" s="415" t="s">
        <v>3192</v>
      </c>
      <c r="I405" s="773">
        <v>47</v>
      </c>
      <c r="J405" s="773">
        <v>137</v>
      </c>
      <c r="K405" s="418">
        <v>43476</v>
      </c>
      <c r="L405" s="55">
        <v>44104</v>
      </c>
      <c r="M405" s="773"/>
      <c r="N405" s="773"/>
      <c r="O405" s="773"/>
      <c r="P405" s="773"/>
      <c r="Q405" s="773"/>
      <c r="R405" s="773"/>
      <c r="S405" s="773"/>
      <c r="T405" s="773"/>
      <c r="U405" s="551"/>
      <c r="V405" s="773"/>
      <c r="W405" s="773"/>
      <c r="X405" s="773"/>
      <c r="Y405" s="773"/>
      <c r="Z405" s="773"/>
      <c r="AA405" s="773"/>
      <c r="AB405" s="773"/>
      <c r="AC405" s="551"/>
      <c r="AD405" s="773"/>
      <c r="AE405" s="773"/>
      <c r="AF405" s="773"/>
      <c r="AG405" s="773"/>
      <c r="AH405" s="773"/>
      <c r="AI405" s="773"/>
      <c r="AJ405" s="773"/>
      <c r="AK405" s="773"/>
      <c r="AL405" s="773"/>
      <c r="AM405" s="773"/>
      <c r="AN405" s="551"/>
      <c r="AO405" s="769"/>
      <c r="AP405" s="769"/>
      <c r="AQ405" s="773"/>
      <c r="AR405" s="773"/>
      <c r="AS405" s="773"/>
      <c r="AT405"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05" s="772">
        <f>WWWW[[#This Row],[%Equitable and continuous access to sufficient quantity of safe drinking water]]*WWWW[[#This Row],[Total PoP ]]</f>
        <v>0</v>
      </c>
      <c r="AV405"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05" s="772">
        <f>WWWW[[#This Row],[% Access to unimproved water points]]*WWWW[[#This Row],[Total PoP ]]</f>
        <v>0</v>
      </c>
      <c r="AX405"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05"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05" s="772">
        <f>WWWW[[#This Row],[HRP1]]/250</f>
        <v>0</v>
      </c>
      <c r="BA405" s="476">
        <f>1-WWWW[[#This Row],[% Equitable and continuous access to sufficient quantity of domestic water]]</f>
        <v>1</v>
      </c>
      <c r="BB405" s="772">
        <f>WWWW[[#This Row],[%equitable and continuous access to sufficient quantity of safe drinking and domestic water''s GAP]]*WWWW[[#This Row],[Total PoP ]]</f>
        <v>137</v>
      </c>
      <c r="BC405" s="770">
        <f>IF(WWWW[[#This Row],[Total required water points]]-WWWW[[#This Row],['#Water points coverage]]&lt;0,0,WWWW[[#This Row],[Total required water points]]-WWWW[[#This Row],['#Water points coverage]])</f>
        <v>1</v>
      </c>
      <c r="BD405" s="770">
        <f>ROUND(IF(WWWW[[#This Row],[Total PoP ]]&lt;250,1,WWWW[[#This Row],[Total PoP ]]/250),0)</f>
        <v>1</v>
      </c>
      <c r="BE405"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405" s="772">
        <f>WWWW[[#This Row],[% people access to functioning Latrine]]*WWWW[[#This Row],[Total PoP ]]</f>
        <v>0</v>
      </c>
      <c r="BG405" s="770">
        <f>WWWW[[#This Row],['#_of_Functioning_latrines_in_school]]*50</f>
        <v>0</v>
      </c>
      <c r="BH405" s="770">
        <f>ROUND((WWWW[[#This Row],[Total PoP ]]/6),0)</f>
        <v>23</v>
      </c>
      <c r="BI405" s="770">
        <f>IF(WWWW[[#This Row],[Total required Latrines]]-(WWWW[[#This Row],['#_of_sanitary_fly-proof_HH_latrines]])&lt;0,0,WWWW[[#This Row],[Total required Latrines]]-(WWWW[[#This Row],['#_of_sanitary_fly-proof_HH_latrines]]))</f>
        <v>23</v>
      </c>
      <c r="BJ405" s="771">
        <f>1-WWWW[[#This Row],[% people access to functioning Latrine]]</f>
        <v>1</v>
      </c>
      <c r="BK405"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05" s="772">
        <f>IF(WWWW[[#This Row],['#_of_functional_handwashing_facilities_at_HH_level]]*6&gt;WWWW[[#This Row],[Total PoP ]],WWWW[[#This Row],[Total PoP ]],WWWW[[#This Row],['#_of_functional_handwashing_facilities_at_HH_level]]*6)</f>
        <v>0</v>
      </c>
      <c r="BM405" s="770">
        <f>IF(WWWW[[#This Row],['# people reached by regular dedicated hygiene promotion]]&gt;WWWW[[#This Row],['# People received regular supply of hygiene items]],WWWW[[#This Row],['# people reached by regular dedicated hygiene promotion]],WWWW[[#This Row],['# People received regular supply of hygiene items]])</f>
        <v>0</v>
      </c>
      <c r="BN405" s="476">
        <f>IF(WWWW[[#This Row],[HRP3]]/WWWW[[#This Row],[Total PoP ]]&gt;100%,100%,WWWW[[#This Row],[HRP3]]/WWWW[[#This Row],[Total PoP ]])</f>
        <v>0</v>
      </c>
      <c r="BO405" s="771">
        <f>1-WWWW[[#This Row],[Hygiene Coverage%]]</f>
        <v>1</v>
      </c>
      <c r="BP405" s="769">
        <f>WWWW[[#This Row],['# people reached by regular dedicated hygiene promotion]]/WWWW[[#This Row],[Total PoP ]]</f>
        <v>0</v>
      </c>
      <c r="BQ405"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05" s="770">
        <f>WWWW[[#This Row],['#_of_affected_women_and_girls_receiving_a_sufficient_quantity_of_sanitary_pads]]</f>
        <v>0</v>
      </c>
      <c r="BS405" s="773">
        <f>IF(WWWW[[#This Row],['# People with access to soap]]&gt;WWWW[[#This Row],['# People with access to Sanity Pads]],WWWW[[#This Row],['# People with access to soap]],WWWW[[#This Row],['# People with access to Sanity Pads]])</f>
        <v>0</v>
      </c>
      <c r="BT405" s="772" t="str">
        <f>IF(OR(WWWW[[#This Row],['#of students in school]]="",WWWW[[#This Row],['#of students in school]]=0),"No","Yes")</f>
        <v>No</v>
      </c>
      <c r="BU405" s="480" t="str">
        <f>VLOOKUP(WWWW[[#This Row],[Village  Name]],SiteDB6[[Site Name]:[Location Type 1]],9,FALSE)</f>
        <v>Village</v>
      </c>
      <c r="BV405" s="480" t="str">
        <f>VLOOKUP(WWWW[[#This Row],[Village  Name]],SiteDB6[[Site Name]:[Type of Accommodation]],10,FALSE)</f>
        <v>Village</v>
      </c>
      <c r="BW405" s="480">
        <f>VLOOKUP(WWWW[[#This Row],[Village  Name]],SiteDB6[[Site Name]:[Ethnic or GCA/NGCA]],11,FALSE)</f>
        <v>0</v>
      </c>
      <c r="BX405" s="480">
        <f>VLOOKUP(WWWW[[#This Row],[Village  Name]],SiteDB6[[Site Name]:[Lat]],12,FALSE)</f>
        <v>0</v>
      </c>
      <c r="BY405" s="480">
        <f>VLOOKUP(WWWW[[#This Row],[Village  Name]],SiteDB6[[Site Name]:[Long]],13,FALSE)</f>
        <v>0</v>
      </c>
      <c r="BZ405" s="480">
        <f>VLOOKUP(WWWW[[#This Row],[Village  Name]],SiteDB6[[Site Name]:[Pcode]],3,FALSE)</f>
        <v>0</v>
      </c>
      <c r="CA405" s="480" t="str">
        <f t="shared" si="24"/>
        <v>Covered</v>
      </c>
      <c r="CB405" s="505"/>
    </row>
    <row r="406" spans="1:80">
      <c r="A406" s="774" t="s">
        <v>3199</v>
      </c>
      <c r="B406" s="774" t="s">
        <v>2812</v>
      </c>
      <c r="C406" s="703" t="s">
        <v>2812</v>
      </c>
      <c r="D406" s="415" t="s">
        <v>3176</v>
      </c>
      <c r="E406" s="415" t="s">
        <v>36</v>
      </c>
      <c r="F406" s="415" t="s">
        <v>132</v>
      </c>
      <c r="G406" s="705" t="str">
        <f>VLOOKUP(WWWW[[#This Row],[Village  Name]],SiteDB6[[Site Name]:[Location Type]],8,FALSE)</f>
        <v>Village</v>
      </c>
      <c r="H406" s="415" t="s">
        <v>3193</v>
      </c>
      <c r="I406" s="773">
        <v>138</v>
      </c>
      <c r="J406" s="773">
        <v>578</v>
      </c>
      <c r="K406" s="418">
        <v>43476</v>
      </c>
      <c r="L406" s="55">
        <v>44104</v>
      </c>
      <c r="M406" s="773"/>
      <c r="N406" s="773"/>
      <c r="O406" s="773">
        <v>1</v>
      </c>
      <c r="P406" s="773"/>
      <c r="Q406" s="773"/>
      <c r="R406" s="773"/>
      <c r="S406" s="773"/>
      <c r="T406" s="773"/>
      <c r="U406" s="551"/>
      <c r="V406" s="773"/>
      <c r="W406" s="773"/>
      <c r="X406" s="773"/>
      <c r="Y406" s="773"/>
      <c r="Z406" s="773"/>
      <c r="AA406" s="773"/>
      <c r="AB406" s="773"/>
      <c r="AC406" s="551"/>
      <c r="AD406" s="773"/>
      <c r="AE406" s="773"/>
      <c r="AF406" s="773"/>
      <c r="AG406" s="773"/>
      <c r="AH406" s="773"/>
      <c r="AI406" s="773"/>
      <c r="AJ406" s="773"/>
      <c r="AK406" s="773"/>
      <c r="AL406" s="773"/>
      <c r="AM406" s="773"/>
      <c r="AN406" s="551"/>
      <c r="AO406" s="769"/>
      <c r="AP406" s="769"/>
      <c r="AQ406" s="773"/>
      <c r="AR406" s="773"/>
      <c r="AS406" s="773"/>
      <c r="AT406"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406" s="772">
        <f>WWWW[[#This Row],[%Equitable and continuous access to sufficient quantity of safe drinking water]]*WWWW[[#This Row],[Total PoP ]]</f>
        <v>578</v>
      </c>
      <c r="AV406"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06" s="772">
        <f>WWWW[[#This Row],[% Access to unimproved water points]]*WWWW[[#This Row],[Total PoP ]]</f>
        <v>0</v>
      </c>
      <c r="AX406"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406"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578</v>
      </c>
      <c r="AZ406" s="772">
        <f>WWWW[[#This Row],[HRP1]]/250</f>
        <v>2.3119999999999998</v>
      </c>
      <c r="BA406" s="476">
        <f>1-WWWW[[#This Row],[% Equitable and continuous access to sufficient quantity of domestic water]]</f>
        <v>0</v>
      </c>
      <c r="BB406" s="772">
        <f>WWWW[[#This Row],[%equitable and continuous access to sufficient quantity of safe drinking and domestic water''s GAP]]*WWWW[[#This Row],[Total PoP ]]</f>
        <v>0</v>
      </c>
      <c r="BC406" s="770">
        <f>IF(WWWW[[#This Row],[Total required water points]]-WWWW[[#This Row],['#Water points coverage]]&lt;0,0,WWWW[[#This Row],[Total required water points]]-WWWW[[#This Row],['#Water points coverage]])</f>
        <v>0</v>
      </c>
      <c r="BD406" s="770">
        <f>ROUND(IF(WWWW[[#This Row],[Total PoP ]]&lt;250,1,WWWW[[#This Row],[Total PoP ]]/250),0)</f>
        <v>2</v>
      </c>
      <c r="BE406"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406" s="772">
        <f>WWWW[[#This Row],[% people access to functioning Latrine]]*WWWW[[#This Row],[Total PoP ]]</f>
        <v>0</v>
      </c>
      <c r="BG406" s="770">
        <f>WWWW[[#This Row],['#_of_Functioning_latrines_in_school]]*50</f>
        <v>0</v>
      </c>
      <c r="BH406" s="770">
        <f>ROUND((WWWW[[#This Row],[Total PoP ]]/6),0)</f>
        <v>96</v>
      </c>
      <c r="BI406" s="770">
        <f>IF(WWWW[[#This Row],[Total required Latrines]]-(WWWW[[#This Row],['#_of_sanitary_fly-proof_HH_latrines]])&lt;0,0,WWWW[[#This Row],[Total required Latrines]]-(WWWW[[#This Row],['#_of_sanitary_fly-proof_HH_latrines]]))</f>
        <v>96</v>
      </c>
      <c r="BJ406" s="771">
        <f>1-WWWW[[#This Row],[% people access to functioning Latrine]]</f>
        <v>1</v>
      </c>
      <c r="BK406"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06" s="772">
        <f>IF(WWWW[[#This Row],['#_of_functional_handwashing_facilities_at_HH_level]]*6&gt;WWWW[[#This Row],[Total PoP ]],WWWW[[#This Row],[Total PoP ]],WWWW[[#This Row],['#_of_functional_handwashing_facilities_at_HH_level]]*6)</f>
        <v>0</v>
      </c>
      <c r="BM406" s="770">
        <f>IF(WWWW[[#This Row],['# people reached by regular dedicated hygiene promotion]]&gt;WWWW[[#This Row],['# People received regular supply of hygiene items]],WWWW[[#This Row],['# people reached by regular dedicated hygiene promotion]],WWWW[[#This Row],['# People received regular supply of hygiene items]])</f>
        <v>0</v>
      </c>
      <c r="BN406" s="476">
        <f>IF(WWWW[[#This Row],[HRP3]]/WWWW[[#This Row],[Total PoP ]]&gt;100%,100%,WWWW[[#This Row],[HRP3]]/WWWW[[#This Row],[Total PoP ]])</f>
        <v>0</v>
      </c>
      <c r="BO406" s="771">
        <f>1-WWWW[[#This Row],[Hygiene Coverage%]]</f>
        <v>1</v>
      </c>
      <c r="BP406" s="769">
        <f>WWWW[[#This Row],['# people reached by regular dedicated hygiene promotion]]/WWWW[[#This Row],[Total PoP ]]</f>
        <v>0</v>
      </c>
      <c r="BQ406"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06" s="770">
        <f>WWWW[[#This Row],['#_of_affected_women_and_girls_receiving_a_sufficient_quantity_of_sanitary_pads]]</f>
        <v>0</v>
      </c>
      <c r="BS406" s="773">
        <f>IF(WWWW[[#This Row],['# People with access to soap]]&gt;WWWW[[#This Row],['# People with access to Sanity Pads]],WWWW[[#This Row],['# People with access to soap]],WWWW[[#This Row],['# People with access to Sanity Pads]])</f>
        <v>0</v>
      </c>
      <c r="BT406" s="772" t="str">
        <f>IF(OR(WWWW[[#This Row],['#of students in school]]="",WWWW[[#This Row],['#of students in school]]=0),"No","Yes")</f>
        <v>No</v>
      </c>
      <c r="BU406" s="480" t="str">
        <f>VLOOKUP(WWWW[[#This Row],[Village  Name]],SiteDB6[[Site Name]:[Location Type 1]],9,FALSE)</f>
        <v>Village</v>
      </c>
      <c r="BV406" s="480" t="str">
        <f>VLOOKUP(WWWW[[#This Row],[Village  Name]],SiteDB6[[Site Name]:[Type of Accommodation]],10,FALSE)</f>
        <v>Village</v>
      </c>
      <c r="BW406" s="480">
        <f>VLOOKUP(WWWW[[#This Row],[Village  Name]],SiteDB6[[Site Name]:[Ethnic or GCA/NGCA]],11,FALSE)</f>
        <v>0</v>
      </c>
      <c r="BX406" s="480">
        <f>VLOOKUP(WWWW[[#This Row],[Village  Name]],SiteDB6[[Site Name]:[Lat]],12,FALSE)</f>
        <v>0</v>
      </c>
      <c r="BY406" s="480">
        <f>VLOOKUP(WWWW[[#This Row],[Village  Name]],SiteDB6[[Site Name]:[Long]],13,FALSE)</f>
        <v>0</v>
      </c>
      <c r="BZ406" s="480">
        <f>VLOOKUP(WWWW[[#This Row],[Village  Name]],SiteDB6[[Site Name]:[Pcode]],3,FALSE)</f>
        <v>0</v>
      </c>
      <c r="CA406" s="480" t="str">
        <f t="shared" si="24"/>
        <v>Covered</v>
      </c>
      <c r="CB406" s="505"/>
    </row>
    <row r="407" spans="1:80">
      <c r="A407" s="774" t="s">
        <v>3199</v>
      </c>
      <c r="B407" s="774" t="s">
        <v>2812</v>
      </c>
      <c r="C407" s="703" t="s">
        <v>2812</v>
      </c>
      <c r="D407" s="415" t="s">
        <v>3176</v>
      </c>
      <c r="E407" s="415" t="s">
        <v>36</v>
      </c>
      <c r="F407" s="415" t="s">
        <v>132</v>
      </c>
      <c r="G407" s="705" t="str">
        <f>VLOOKUP(WWWW[[#This Row],[Village  Name]],SiteDB6[[Site Name]:[Location Type]],8,FALSE)</f>
        <v>Village</v>
      </c>
      <c r="H407" s="415" t="s">
        <v>3194</v>
      </c>
      <c r="I407" s="773">
        <v>37</v>
      </c>
      <c r="J407" s="773">
        <v>68</v>
      </c>
      <c r="K407" s="418">
        <v>43476</v>
      </c>
      <c r="L407" s="55">
        <v>44104</v>
      </c>
      <c r="M407" s="773"/>
      <c r="N407" s="773"/>
      <c r="O407" s="773">
        <v>1</v>
      </c>
      <c r="P407" s="773"/>
      <c r="Q407" s="773"/>
      <c r="R407" s="773"/>
      <c r="S407" s="773"/>
      <c r="T407" s="773"/>
      <c r="U407" s="551"/>
      <c r="V407" s="773"/>
      <c r="W407" s="773"/>
      <c r="X407" s="773"/>
      <c r="Y407" s="773"/>
      <c r="Z407" s="773"/>
      <c r="AA407" s="773"/>
      <c r="AB407" s="773"/>
      <c r="AC407" s="551"/>
      <c r="AD407" s="773"/>
      <c r="AE407" s="773"/>
      <c r="AF407" s="773"/>
      <c r="AG407" s="773"/>
      <c r="AH407" s="773"/>
      <c r="AI407" s="773"/>
      <c r="AJ407" s="773"/>
      <c r="AK407" s="773"/>
      <c r="AL407" s="773"/>
      <c r="AM407" s="773"/>
      <c r="AN407" s="551"/>
      <c r="AO407" s="769"/>
      <c r="AP407" s="769"/>
      <c r="AQ407" s="773"/>
      <c r="AR407" s="773"/>
      <c r="AS407" s="773"/>
      <c r="AT407"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1</v>
      </c>
      <c r="AU407" s="772">
        <f>WWWW[[#This Row],[%Equitable and continuous access to sufficient quantity of safe drinking water]]*WWWW[[#This Row],[Total PoP ]]</f>
        <v>68</v>
      </c>
      <c r="AV407"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07" s="772">
        <f>WWWW[[#This Row],[% Access to unimproved water points]]*WWWW[[#This Row],[Total PoP ]]</f>
        <v>0</v>
      </c>
      <c r="AX407"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AY407"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68</v>
      </c>
      <c r="AZ407" s="772">
        <f>WWWW[[#This Row],[HRP1]]/250</f>
        <v>0.27200000000000002</v>
      </c>
      <c r="BA407" s="476">
        <f>1-WWWW[[#This Row],[% Equitable and continuous access to sufficient quantity of domestic water]]</f>
        <v>0</v>
      </c>
      <c r="BB407" s="772">
        <f>WWWW[[#This Row],[%equitable and continuous access to sufficient quantity of safe drinking and domestic water''s GAP]]*WWWW[[#This Row],[Total PoP ]]</f>
        <v>0</v>
      </c>
      <c r="BC407" s="770">
        <f>IF(WWWW[[#This Row],[Total required water points]]-WWWW[[#This Row],['#Water points coverage]]&lt;0,0,WWWW[[#This Row],[Total required water points]]-WWWW[[#This Row],['#Water points coverage]])</f>
        <v>0.72799999999999998</v>
      </c>
      <c r="BD407" s="770">
        <f>ROUND(IF(WWWW[[#This Row],[Total PoP ]]&lt;250,1,WWWW[[#This Row],[Total PoP ]]/250),0)</f>
        <v>1</v>
      </c>
      <c r="BE407"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407" s="772">
        <f>WWWW[[#This Row],[% people access to functioning Latrine]]*WWWW[[#This Row],[Total PoP ]]</f>
        <v>0</v>
      </c>
      <c r="BG407" s="770">
        <f>WWWW[[#This Row],['#_of_Functioning_latrines_in_school]]*50</f>
        <v>0</v>
      </c>
      <c r="BH407" s="770">
        <f>ROUND((WWWW[[#This Row],[Total PoP ]]/6),0)</f>
        <v>11</v>
      </c>
      <c r="BI407" s="770">
        <f>IF(WWWW[[#This Row],[Total required Latrines]]-(WWWW[[#This Row],['#_of_sanitary_fly-proof_HH_latrines]])&lt;0,0,WWWW[[#This Row],[Total required Latrines]]-(WWWW[[#This Row],['#_of_sanitary_fly-proof_HH_latrines]]))</f>
        <v>11</v>
      </c>
      <c r="BJ407" s="771">
        <f>1-WWWW[[#This Row],[% people access to functioning Latrine]]</f>
        <v>1</v>
      </c>
      <c r="BK407"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07" s="772">
        <f>IF(WWWW[[#This Row],['#_of_functional_handwashing_facilities_at_HH_level]]*6&gt;WWWW[[#This Row],[Total PoP ]],WWWW[[#This Row],[Total PoP ]],WWWW[[#This Row],['#_of_functional_handwashing_facilities_at_HH_level]]*6)</f>
        <v>0</v>
      </c>
      <c r="BM407" s="770">
        <f>IF(WWWW[[#This Row],['# people reached by regular dedicated hygiene promotion]]&gt;WWWW[[#This Row],['# People received regular supply of hygiene items]],WWWW[[#This Row],['# people reached by regular dedicated hygiene promotion]],WWWW[[#This Row],['# People received regular supply of hygiene items]])</f>
        <v>0</v>
      </c>
      <c r="BN407" s="476">
        <f>IF(WWWW[[#This Row],[HRP3]]/WWWW[[#This Row],[Total PoP ]]&gt;100%,100%,WWWW[[#This Row],[HRP3]]/WWWW[[#This Row],[Total PoP ]])</f>
        <v>0</v>
      </c>
      <c r="BO407" s="771">
        <f>1-WWWW[[#This Row],[Hygiene Coverage%]]</f>
        <v>1</v>
      </c>
      <c r="BP407" s="769">
        <f>WWWW[[#This Row],['# people reached by regular dedicated hygiene promotion]]/WWWW[[#This Row],[Total PoP ]]</f>
        <v>0</v>
      </c>
      <c r="BQ407"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07" s="770">
        <f>WWWW[[#This Row],['#_of_affected_women_and_girls_receiving_a_sufficient_quantity_of_sanitary_pads]]</f>
        <v>0</v>
      </c>
      <c r="BS407" s="773">
        <f>IF(WWWW[[#This Row],['# People with access to soap]]&gt;WWWW[[#This Row],['# People with access to Sanity Pads]],WWWW[[#This Row],['# People with access to soap]],WWWW[[#This Row],['# People with access to Sanity Pads]])</f>
        <v>0</v>
      </c>
      <c r="BT407" s="772" t="str">
        <f>IF(OR(WWWW[[#This Row],['#of students in school]]="",WWWW[[#This Row],['#of students in school]]=0),"No","Yes")</f>
        <v>No</v>
      </c>
      <c r="BU407" s="480" t="str">
        <f>VLOOKUP(WWWW[[#This Row],[Village  Name]],SiteDB6[[Site Name]:[Location Type 1]],9,FALSE)</f>
        <v>Village</v>
      </c>
      <c r="BV407" s="480" t="str">
        <f>VLOOKUP(WWWW[[#This Row],[Village  Name]],SiteDB6[[Site Name]:[Type of Accommodation]],10,FALSE)</f>
        <v>Village</v>
      </c>
      <c r="BW407" s="480">
        <f>VLOOKUP(WWWW[[#This Row],[Village  Name]],SiteDB6[[Site Name]:[Ethnic or GCA/NGCA]],11,FALSE)</f>
        <v>0</v>
      </c>
      <c r="BX407" s="480">
        <f>VLOOKUP(WWWW[[#This Row],[Village  Name]],SiteDB6[[Site Name]:[Lat]],12,FALSE)</f>
        <v>0</v>
      </c>
      <c r="BY407" s="480">
        <f>VLOOKUP(WWWW[[#This Row],[Village  Name]],SiteDB6[[Site Name]:[Long]],13,FALSE)</f>
        <v>0</v>
      </c>
      <c r="BZ407" s="480">
        <f>VLOOKUP(WWWW[[#This Row],[Village  Name]],SiteDB6[[Site Name]:[Pcode]],3,FALSE)</f>
        <v>0</v>
      </c>
      <c r="CA407" s="480" t="str">
        <f t="shared" si="24"/>
        <v>Covered</v>
      </c>
      <c r="CB407" s="505"/>
    </row>
    <row r="408" spans="1:80">
      <c r="A408" s="774" t="s">
        <v>3199</v>
      </c>
      <c r="B408" s="774" t="s">
        <v>2812</v>
      </c>
      <c r="C408" s="703" t="s">
        <v>2812</v>
      </c>
      <c r="D408" s="415" t="s">
        <v>3176</v>
      </c>
      <c r="E408" s="415" t="s">
        <v>36</v>
      </c>
      <c r="F408" s="415" t="s">
        <v>132</v>
      </c>
      <c r="G408" s="705" t="str">
        <f>VLOOKUP(WWWW[[#This Row],[Village  Name]],SiteDB6[[Site Name]:[Location Type]],8,FALSE)</f>
        <v>Village</v>
      </c>
      <c r="H408" s="415" t="s">
        <v>3195</v>
      </c>
      <c r="I408" s="773">
        <v>55</v>
      </c>
      <c r="J408" s="773">
        <v>167</v>
      </c>
      <c r="K408" s="418">
        <v>43476</v>
      </c>
      <c r="L408" s="55">
        <v>44104</v>
      </c>
      <c r="M408" s="773"/>
      <c r="N408" s="773"/>
      <c r="O408" s="773"/>
      <c r="P408" s="773"/>
      <c r="Q408" s="773"/>
      <c r="R408" s="773"/>
      <c r="S408" s="773"/>
      <c r="T408" s="773"/>
      <c r="U408" s="551"/>
      <c r="V408" s="773"/>
      <c r="W408" s="773"/>
      <c r="X408" s="773"/>
      <c r="Y408" s="773"/>
      <c r="Z408" s="773"/>
      <c r="AA408" s="773"/>
      <c r="AB408" s="773"/>
      <c r="AC408" s="551"/>
      <c r="AD408" s="773"/>
      <c r="AE408" s="773"/>
      <c r="AF408" s="773"/>
      <c r="AG408" s="773"/>
      <c r="AH408" s="773"/>
      <c r="AI408" s="773"/>
      <c r="AJ408" s="773"/>
      <c r="AK408" s="773"/>
      <c r="AL408" s="773"/>
      <c r="AM408" s="773"/>
      <c r="AN408" s="551"/>
      <c r="AO408" s="769"/>
      <c r="AP408" s="769"/>
      <c r="AQ408" s="773"/>
      <c r="AR408" s="773"/>
      <c r="AS408" s="773"/>
      <c r="AT408"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08" s="772">
        <f>WWWW[[#This Row],[%Equitable and continuous access to sufficient quantity of safe drinking water]]*WWWW[[#This Row],[Total PoP ]]</f>
        <v>0</v>
      </c>
      <c r="AV408"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08" s="772">
        <f>WWWW[[#This Row],[% Access to unimproved water points]]*WWWW[[#This Row],[Total PoP ]]</f>
        <v>0</v>
      </c>
      <c r="AX408"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08"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08" s="772">
        <f>WWWW[[#This Row],[HRP1]]/250</f>
        <v>0</v>
      </c>
      <c r="BA408" s="476">
        <f>1-WWWW[[#This Row],[% Equitable and continuous access to sufficient quantity of domestic water]]</f>
        <v>1</v>
      </c>
      <c r="BB408" s="772">
        <f>WWWW[[#This Row],[%equitable and continuous access to sufficient quantity of safe drinking and domestic water''s GAP]]*WWWW[[#This Row],[Total PoP ]]</f>
        <v>167</v>
      </c>
      <c r="BC408" s="770">
        <f>IF(WWWW[[#This Row],[Total required water points]]-WWWW[[#This Row],['#Water points coverage]]&lt;0,0,WWWW[[#This Row],[Total required water points]]-WWWW[[#This Row],['#Water points coverage]])</f>
        <v>1</v>
      </c>
      <c r="BD408" s="770">
        <f>ROUND(IF(WWWW[[#This Row],[Total PoP ]]&lt;250,1,WWWW[[#This Row],[Total PoP ]]/250),0)</f>
        <v>1</v>
      </c>
      <c r="BE408"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408" s="772">
        <f>WWWW[[#This Row],[% people access to functioning Latrine]]*WWWW[[#This Row],[Total PoP ]]</f>
        <v>0</v>
      </c>
      <c r="BG408" s="770">
        <f>WWWW[[#This Row],['#_of_Functioning_latrines_in_school]]*50</f>
        <v>0</v>
      </c>
      <c r="BH408" s="770">
        <f>ROUND((WWWW[[#This Row],[Total PoP ]]/6),0)</f>
        <v>28</v>
      </c>
      <c r="BI408" s="770">
        <f>IF(WWWW[[#This Row],[Total required Latrines]]-(WWWW[[#This Row],['#_of_sanitary_fly-proof_HH_latrines]])&lt;0,0,WWWW[[#This Row],[Total required Latrines]]-(WWWW[[#This Row],['#_of_sanitary_fly-proof_HH_latrines]]))</f>
        <v>28</v>
      </c>
      <c r="BJ408" s="771">
        <f>1-WWWW[[#This Row],[% people access to functioning Latrine]]</f>
        <v>1</v>
      </c>
      <c r="BK408"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08" s="772">
        <f>IF(WWWW[[#This Row],['#_of_functional_handwashing_facilities_at_HH_level]]*6&gt;WWWW[[#This Row],[Total PoP ]],WWWW[[#This Row],[Total PoP ]],WWWW[[#This Row],['#_of_functional_handwashing_facilities_at_HH_level]]*6)</f>
        <v>0</v>
      </c>
      <c r="BM408" s="770">
        <f>IF(WWWW[[#This Row],['# people reached by regular dedicated hygiene promotion]]&gt;WWWW[[#This Row],['# People received regular supply of hygiene items]],WWWW[[#This Row],['# people reached by regular dedicated hygiene promotion]],WWWW[[#This Row],['# People received regular supply of hygiene items]])</f>
        <v>0</v>
      </c>
      <c r="BN408" s="476">
        <f>IF(WWWW[[#This Row],[HRP3]]/WWWW[[#This Row],[Total PoP ]]&gt;100%,100%,WWWW[[#This Row],[HRP3]]/WWWW[[#This Row],[Total PoP ]])</f>
        <v>0</v>
      </c>
      <c r="BO408" s="771">
        <f>1-WWWW[[#This Row],[Hygiene Coverage%]]</f>
        <v>1</v>
      </c>
      <c r="BP408" s="769">
        <f>WWWW[[#This Row],['# people reached by regular dedicated hygiene promotion]]/WWWW[[#This Row],[Total PoP ]]</f>
        <v>0</v>
      </c>
      <c r="BQ408"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08" s="770">
        <f>WWWW[[#This Row],['#_of_affected_women_and_girls_receiving_a_sufficient_quantity_of_sanitary_pads]]</f>
        <v>0</v>
      </c>
      <c r="BS408" s="773">
        <f>IF(WWWW[[#This Row],['# People with access to soap]]&gt;WWWW[[#This Row],['# People with access to Sanity Pads]],WWWW[[#This Row],['# People with access to soap]],WWWW[[#This Row],['# People with access to Sanity Pads]])</f>
        <v>0</v>
      </c>
      <c r="BT408" s="772" t="str">
        <f>IF(OR(WWWW[[#This Row],['#of students in school]]="",WWWW[[#This Row],['#of students in school]]=0),"No","Yes")</f>
        <v>No</v>
      </c>
      <c r="BU408" s="480" t="str">
        <f>VLOOKUP(WWWW[[#This Row],[Village  Name]],SiteDB6[[Site Name]:[Location Type 1]],9,FALSE)</f>
        <v>Village</v>
      </c>
      <c r="BV408" s="480" t="str">
        <f>VLOOKUP(WWWW[[#This Row],[Village  Name]],SiteDB6[[Site Name]:[Type of Accommodation]],10,FALSE)</f>
        <v>Village</v>
      </c>
      <c r="BW408" s="480">
        <f>VLOOKUP(WWWW[[#This Row],[Village  Name]],SiteDB6[[Site Name]:[Ethnic or GCA/NGCA]],11,FALSE)</f>
        <v>0</v>
      </c>
      <c r="BX408" s="480">
        <f>VLOOKUP(WWWW[[#This Row],[Village  Name]],SiteDB6[[Site Name]:[Lat]],12,FALSE)</f>
        <v>0</v>
      </c>
      <c r="BY408" s="480">
        <f>VLOOKUP(WWWW[[#This Row],[Village  Name]],SiteDB6[[Site Name]:[Long]],13,FALSE)</f>
        <v>0</v>
      </c>
      <c r="BZ408" s="480">
        <f>VLOOKUP(WWWW[[#This Row],[Village  Name]],SiteDB6[[Site Name]:[Pcode]],3,FALSE)</f>
        <v>0</v>
      </c>
      <c r="CA408" s="480" t="str">
        <f t="shared" si="24"/>
        <v>Covered</v>
      </c>
      <c r="CB408" s="505"/>
    </row>
    <row r="409" spans="1:80">
      <c r="A409" s="774" t="s">
        <v>3199</v>
      </c>
      <c r="B409" s="774" t="s">
        <v>2812</v>
      </c>
      <c r="C409" s="703" t="s">
        <v>2812</v>
      </c>
      <c r="D409" s="415" t="s">
        <v>3176</v>
      </c>
      <c r="E409" s="415" t="s">
        <v>36</v>
      </c>
      <c r="F409" s="415" t="s">
        <v>132</v>
      </c>
      <c r="G409" s="705" t="str">
        <f>VLOOKUP(WWWW[[#This Row],[Village  Name]],SiteDB6[[Site Name]:[Location Type]],8,FALSE)</f>
        <v>Village</v>
      </c>
      <c r="H409" s="415" t="s">
        <v>3196</v>
      </c>
      <c r="I409" s="773">
        <v>46</v>
      </c>
      <c r="J409" s="773">
        <v>126</v>
      </c>
      <c r="K409" s="418">
        <v>43476</v>
      </c>
      <c r="L409" s="55">
        <v>44104</v>
      </c>
      <c r="M409" s="773"/>
      <c r="N409" s="773"/>
      <c r="O409" s="773"/>
      <c r="P409" s="773"/>
      <c r="Q409" s="773"/>
      <c r="R409" s="773"/>
      <c r="S409" s="773"/>
      <c r="T409" s="773"/>
      <c r="U409" s="551"/>
      <c r="V409" s="773"/>
      <c r="W409" s="773"/>
      <c r="X409" s="773"/>
      <c r="Y409" s="773"/>
      <c r="Z409" s="773"/>
      <c r="AA409" s="773"/>
      <c r="AB409" s="773"/>
      <c r="AC409" s="551"/>
      <c r="AD409" s="773"/>
      <c r="AE409" s="773"/>
      <c r="AF409" s="773"/>
      <c r="AG409" s="773"/>
      <c r="AH409" s="773"/>
      <c r="AI409" s="773"/>
      <c r="AJ409" s="773"/>
      <c r="AK409" s="773"/>
      <c r="AL409" s="773"/>
      <c r="AM409" s="773"/>
      <c r="AN409" s="551"/>
      <c r="AO409" s="769"/>
      <c r="AP409" s="769"/>
      <c r="AQ409" s="773"/>
      <c r="AR409" s="773"/>
      <c r="AS409" s="773"/>
      <c r="AT409" s="771">
        <f>IF(WWWW[[#This Row],[Total PoP ]]="","",IF((WWWW[[#This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]]&gt;1,1,(WWWW[[#This Row],['#_Functioning_protected_hand_dug_well/open_well]]*250)+(WWWW[[#This Row],['#_Functioning_Tube_wells/boreholes/hand_pumps_including_community''s_own_hand_pumps]]*250)+(WWWW[[#This Row],['#_of_total_(Liters)_stored_in_Constructed/Existing_water_storage_tank_with_gravity_fed_reticulation_system]]/15)+(WWWW[[#This Row],['#_Functioning_water_points_at_school]]*250)/WWWW[[#This Row],[Total PoP ]]))</f>
        <v>0</v>
      </c>
      <c r="AU409" s="772">
        <f>WWWW[[#This Row],[%Equitable and continuous access to sufficient quantity of safe drinking water]]*WWWW[[#This Row],[Total PoP ]]</f>
        <v>0</v>
      </c>
      <c r="AV409" s="771">
        <f>IF((WWWW[[#This Row],['#_Existing_protected/fenced_ponds]]*250)+WWWW[[#This Row],['#_of_people_accessing_to_other_types_of_un-improved_water_sources_(river,_spring)]]/WWWW[[#This Row],[Total PoP ]]&gt;1,1,(WWWW[[#This Row],['#_Existing_protected/fenced_ponds]]*250)+WWWW[[#This Row],['#_of_people_accessing_to_other_types_of_un-improved_water_sources_(river,_spring)]]/WWWW[[#This Row],[Total PoP ]])</f>
        <v>0</v>
      </c>
      <c r="AW409" s="772">
        <f>WWWW[[#This Row],[% Access to unimproved water points]]*WWWW[[#This Row],[Total PoP ]]</f>
        <v>0</v>
      </c>
      <c r="AX409" s="76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AY409" s="77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AZ409" s="772">
        <f>WWWW[[#This Row],[HRP1]]/250</f>
        <v>0</v>
      </c>
      <c r="BA409" s="476">
        <f>1-WWWW[[#This Row],[% Equitable and continuous access to sufficient quantity of domestic water]]</f>
        <v>1</v>
      </c>
      <c r="BB409" s="772">
        <f>WWWW[[#This Row],[%equitable and continuous access to sufficient quantity of safe drinking and domestic water''s GAP]]*WWWW[[#This Row],[Total PoP ]]</f>
        <v>126</v>
      </c>
      <c r="BC409" s="770">
        <f>IF(WWWW[[#This Row],[Total required water points]]-WWWW[[#This Row],['#Water points coverage]]&lt;0,0,WWWW[[#This Row],[Total required water points]]-WWWW[[#This Row],['#Water points coverage]])</f>
        <v>1</v>
      </c>
      <c r="BD409" s="770">
        <f>ROUND(IF(WWWW[[#This Row],[Total PoP ]]&lt;250,1,WWWW[[#This Row],[Total PoP ]]/250),0)</f>
        <v>1</v>
      </c>
      <c r="BE409" s="771">
        <f>IF(WWWW[[#This Row],[Total PoP ]]="",0,IF(((WWWW[[#This Row],['#_of_sanitary_fly-proof_HH_latrines]]*6)+WWWW[[#This Row],['#_of_PWD_with_adapted_sanitation_option_at_HH_level_]])/WWWW[[#This Row],[Total PoP ]]&gt;1,1,((WWWW[[#This Row],['#_of_sanitary_fly-proof_HH_latrines]]*6)+WWWW[[#This Row],['#_of_PWD_with_adapted_sanitation_option_at_HH_level_]])/WWWW[[#This Row],[Total PoP ]]))</f>
        <v>0</v>
      </c>
      <c r="BF409" s="772">
        <f>WWWW[[#This Row],[% people access to functioning Latrine]]*WWWW[[#This Row],[Total PoP ]]</f>
        <v>0</v>
      </c>
      <c r="BG409" s="770">
        <f>WWWW[[#This Row],['#_of_Functioning_latrines_in_school]]*50</f>
        <v>0</v>
      </c>
      <c r="BH409" s="770">
        <f>ROUND((WWWW[[#This Row],[Total PoP ]]/6),0)</f>
        <v>21</v>
      </c>
      <c r="BI409" s="770">
        <f>IF(WWWW[[#This Row],[Total required Latrines]]-(WWWW[[#This Row],['#_of_sanitary_fly-proof_HH_latrines]])&lt;0,0,WWWW[[#This Row],[Total required Latrines]]-(WWWW[[#This Row],['#_of_sanitary_fly-proof_HH_latrines]]))</f>
        <v>21</v>
      </c>
      <c r="BJ409" s="771">
        <f>1-WWWW[[#This Row],[% people access to functioning Latrine]]</f>
        <v>1</v>
      </c>
      <c r="BK409" s="772">
        <f>IF(WWWW[[#This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Row],['#_of_students_(girls)_who_received_appropirate_hygiene_messages]]&gt;WWWW[[#This Row],[Total PoP ]],WWWW[[#This Row],[Total PoP ]],WWWW[[#This Row],['#_of_Men_who_received_appropirate/community_tailored_hygiene_messages]]+WWWW[[#This Row],['#_of_Women_who_received_appropirate/community_tailored_hygiene_messages]]+WWWW[[#This Row],['#_of_Boys_who_received_appropirate/community_tailored_hygiene_messages]]+WWWW[[#This Row],['#_of_Girls_who_received_appropirate/community_tailored_hygiene_messages]]+WWWW[[#This Row],['#_of_students_(boys)_who_received_appropirate_hygiene_messages]]+WWWW[[#This Row],['#_of_students_(girls)_who_received_appropirate_hygiene_messages]])</f>
        <v>0</v>
      </c>
      <c r="BL409" s="772">
        <f>IF(WWWW[[#This Row],['#_of_functional_handwashing_facilities_at_HH_level]]*6&gt;WWWW[[#This Row],[Total PoP ]],WWWW[[#This Row],[Total PoP ]],WWWW[[#This Row],['#_of_functional_handwashing_facilities_at_HH_level]]*6)</f>
        <v>0</v>
      </c>
      <c r="BM409" s="770">
        <f>IF(WWWW[[#This Row],['# people reached by regular dedicated hygiene promotion]]&gt;WWWW[[#This Row],['# People received regular supply of hygiene items]],WWWW[[#This Row],['# people reached by regular dedicated hygiene promotion]],WWWW[[#This Row],['# People received regular supply of hygiene items]])</f>
        <v>0</v>
      </c>
      <c r="BN409" s="476">
        <f>IF(WWWW[[#This Row],[HRP3]]/WWWW[[#This Row],[Total PoP ]]&gt;100%,100%,WWWW[[#This Row],[HRP3]]/WWWW[[#This Row],[Total PoP ]])</f>
        <v>0</v>
      </c>
      <c r="BO409" s="771">
        <f>1-WWWW[[#This Row],[Hygiene Coverage%]]</f>
        <v>1</v>
      </c>
      <c r="BP409" s="769">
        <f>WWWW[[#This Row],['# people reached by regular dedicated hygiene promotion]]/WWWW[[#This Row],[Total PoP ]]</f>
        <v>0</v>
      </c>
      <c r="BQ409" s="770">
        <f>IF(WWWW[[#This Row],['#_of_affected_households_receiving_a_sufficient_quantity_of_soap]]=0,0, IF(WWWW[[#This Row],['#_of_affected_households_receiving_a_sufficient_quantity_of_soap]]&gt;=WWWW[[#This Row],[Total HH]],WWWW[[#This Row],[Total PoP ]],IF(WWWW[[#This Row],['#_of_affected_households_receiving_a_sufficient_quantity_of_soap]]*6&gt;WWWW[[#This Row],[Total PoP ]],WWWW[[#This Row],[Total PoP ]],WWWW[[#This Row],['#_of_affected_households_receiving_a_sufficient_quantity_of_soap]]*6)))</f>
        <v>0</v>
      </c>
      <c r="BR409" s="770">
        <f>WWWW[[#This Row],['#_of_affected_women_and_girls_receiving_a_sufficient_quantity_of_sanitary_pads]]</f>
        <v>0</v>
      </c>
      <c r="BS409" s="773">
        <f>IF(WWWW[[#This Row],['# People with access to soap]]&gt;WWWW[[#This Row],['# People with access to Sanity Pads]],WWWW[[#This Row],['# People with access to soap]],WWWW[[#This Row],['# People with access to Sanity Pads]])</f>
        <v>0</v>
      </c>
      <c r="BT409" s="772" t="str">
        <f>IF(OR(WWWW[[#This Row],['#of students in school]]="",WWWW[[#This Row],['#of students in school]]=0),"No","Yes")</f>
        <v>No</v>
      </c>
      <c r="BU409" s="480" t="str">
        <f>VLOOKUP(WWWW[[#This Row],[Village  Name]],SiteDB6[[Site Name]:[Location Type 1]],9,FALSE)</f>
        <v>Village</v>
      </c>
      <c r="BV409" s="480" t="str">
        <f>VLOOKUP(WWWW[[#This Row],[Village  Name]],SiteDB6[[Site Name]:[Type of Accommodation]],10,FALSE)</f>
        <v>Village</v>
      </c>
      <c r="BW409" s="480">
        <f>VLOOKUP(WWWW[[#This Row],[Village  Name]],SiteDB6[[Site Name]:[Ethnic or GCA/NGCA]],11,FALSE)</f>
        <v>0</v>
      </c>
      <c r="BX409" s="480">
        <f>VLOOKUP(WWWW[[#This Row],[Village  Name]],SiteDB6[[Site Name]:[Lat]],12,FALSE)</f>
        <v>0</v>
      </c>
      <c r="BY409" s="480">
        <f>VLOOKUP(WWWW[[#This Row],[Village  Name]],SiteDB6[[Site Name]:[Long]],13,FALSE)</f>
        <v>0</v>
      </c>
      <c r="BZ409" s="480">
        <f>VLOOKUP(WWWW[[#This Row],[Village  Name]],SiteDB6[[Site Name]:[Pcode]],3,FALSE)</f>
        <v>0</v>
      </c>
      <c r="CA409" s="480" t="str">
        <f t="shared" si="24"/>
        <v>Covered</v>
      </c>
      <c r="CB409" s="505"/>
    </row>
  </sheetData>
  <mergeCells count="14">
    <mergeCell ref="BH2:BH3"/>
    <mergeCell ref="BI2:BJ3"/>
    <mergeCell ref="BC2:BD3"/>
    <mergeCell ref="AZ2:AZ3"/>
    <mergeCell ref="BG2:BG3"/>
    <mergeCell ref="BF2:BF3"/>
    <mergeCell ref="BA2:BB3"/>
    <mergeCell ref="AX2:AX3"/>
    <mergeCell ref="AY2:AY3"/>
    <mergeCell ref="BA5:BB5"/>
    <mergeCell ref="K1:L1"/>
    <mergeCell ref="AT2:AT3"/>
    <mergeCell ref="AU2:AU3"/>
    <mergeCell ref="AV2:AW3"/>
  </mergeCells>
  <phoneticPr fontId="133" type="noConversion"/>
  <conditionalFormatting sqref="BO2 BK2:BL2">
    <cfRule type="iconSet" priority="180">
      <iconSet reverse="1">
        <cfvo type="percent" val="0"/>
        <cfvo type="percent" val="0" gte="0"/>
        <cfvo type="percent" val="30"/>
      </iconSet>
    </cfRule>
  </conditionalFormatting>
  <conditionalFormatting sqref="BK5:BL5">
    <cfRule type="iconSet" priority="28">
      <iconSet reverse="1">
        <cfvo type="percent" val="0"/>
        <cfvo type="percent" val="0" gte="0"/>
        <cfvo type="percent" val="30"/>
      </iconSet>
    </cfRule>
  </conditionalFormatting>
  <conditionalFormatting sqref="BO4">
    <cfRule type="iconSet" priority="25">
      <iconSet reverse="1">
        <cfvo type="percent" val="0"/>
        <cfvo type="percent" val="0" gte="0"/>
        <cfvo type="percent" val="30"/>
      </iconSet>
    </cfRule>
  </conditionalFormatting>
  <conditionalFormatting sqref="BA4">
    <cfRule type="iconSet" priority="27">
      <iconSet reverse="1">
        <cfvo type="percent" val="0"/>
        <cfvo type="percent" val="0" gte="0"/>
        <cfvo type="percent" val="30"/>
      </iconSet>
    </cfRule>
  </conditionalFormatting>
  <conditionalFormatting sqref="BO3">
    <cfRule type="iconSet" priority="22">
      <iconSet reverse="1">
        <cfvo type="percent" val="0"/>
        <cfvo type="percent" val="0" gte="0"/>
        <cfvo type="percent" val="30"/>
      </iconSet>
    </cfRule>
  </conditionalFormatting>
  <conditionalFormatting sqref="BJ4">
    <cfRule type="iconSet" priority="11716">
      <iconSet reverse="1">
        <cfvo type="percent" val="0"/>
        <cfvo type="percent" val="0" gte="0"/>
        <cfvo type="percent" val="30"/>
      </iconSet>
    </cfRule>
  </conditionalFormatting>
  <conditionalFormatting sqref="BB4">
    <cfRule type="iconSet" priority="18">
      <iconSet reverse="1">
        <cfvo type="percent" val="0"/>
        <cfvo type="percent" val="0" gte="0"/>
        <cfvo type="percent" val="30"/>
      </iconSet>
    </cfRule>
  </conditionalFormatting>
  <conditionalFormatting sqref="BG5">
    <cfRule type="iconSet" priority="12177">
      <iconSet reverse="1">
        <cfvo type="percent" val="0"/>
        <cfvo type="percent" val="0" gte="0"/>
        <cfvo type="percent" val="10"/>
      </iconSet>
    </cfRule>
  </conditionalFormatting>
  <conditionalFormatting sqref="CI7:CI201 CI239:CI1048576">
    <cfRule type="iconSet" priority="12499">
      <iconSet reverse="1">
        <cfvo type="percent" val="0"/>
        <cfvo type="percent" val="0" gte="0"/>
        <cfvo type="percent" val="30"/>
      </iconSet>
    </cfRule>
  </conditionalFormatting>
  <conditionalFormatting sqref="BJ7:BJ201">
    <cfRule type="iconSet" priority="12529">
      <iconSet reverse="1">
        <cfvo type="percent" val="0"/>
        <cfvo type="percent" val="0" gte="0"/>
        <cfvo type="percent" val="30"/>
      </iconSet>
    </cfRule>
  </conditionalFormatting>
  <conditionalFormatting sqref="BA7:BA201">
    <cfRule type="iconSet" priority="12531">
      <iconSet reverse="1">
        <cfvo type="percent" val="0"/>
        <cfvo type="percent" val="0" gte="0"/>
        <cfvo type="percent" val="30"/>
      </iconSet>
    </cfRule>
  </conditionalFormatting>
  <conditionalFormatting sqref="BO7:BO201">
    <cfRule type="iconSet" priority="12533">
      <iconSet reverse="1">
        <cfvo type="percent" val="0"/>
        <cfvo type="percent" val="0" gte="0"/>
        <cfvo type="percent" val="30"/>
      </iconSet>
    </cfRule>
  </conditionalFormatting>
  <conditionalFormatting sqref="CI202:CI238">
    <cfRule type="iconSet" priority="1">
      <iconSet reverse="1">
        <cfvo type="percent" val="0"/>
        <cfvo type="percent" val="0" gte="0"/>
        <cfvo type="percent" val="30"/>
      </iconSet>
    </cfRule>
  </conditionalFormatting>
  <conditionalFormatting sqref="BJ202:BJ238">
    <cfRule type="iconSet" priority="2">
      <iconSet reverse="1">
        <cfvo type="percent" val="0"/>
        <cfvo type="percent" val="0" gte="0"/>
        <cfvo type="percent" val="30"/>
      </iconSet>
    </cfRule>
  </conditionalFormatting>
  <conditionalFormatting sqref="BA202:BA238">
    <cfRule type="iconSet" priority="3">
      <iconSet reverse="1">
        <cfvo type="percent" val="0"/>
        <cfvo type="percent" val="0" gte="0"/>
        <cfvo type="percent" val="30"/>
      </iconSet>
    </cfRule>
  </conditionalFormatting>
  <conditionalFormatting sqref="BO202:BO238">
    <cfRule type="iconSet" priority="4">
      <iconSet reverse="1">
        <cfvo type="percent" val="0"/>
        <cfvo type="percent" val="0" gte="0"/>
        <cfvo type="percent" val="30"/>
      </iconSet>
    </cfRule>
  </conditionalFormatting>
  <dataValidations count="8">
    <dataValidation type="list" allowBlank="1" showInputMessage="1" showErrorMessage="1" sqref="H410:H1048576 E410:F1048576 C410:C1048576 H230:H242 F230:F238" xr:uid="{00000000-0002-0000-0200-000000000000}">
      <formula1>#REF!</formula1>
    </dataValidation>
    <dataValidation type="whole" allowBlank="1" showInputMessage="1" showErrorMessage="1" sqref="AD7:AM42 X7:AB229 O7:V229 O338:P346 V338:V346" xr:uid="{80C2E29D-2256-4657-88F5-332E690081BA}">
      <formula1>0</formula1>
      <formula2>100000</formula2>
    </dataValidation>
    <dataValidation type="list" allowBlank="1" showInputMessage="1" showErrorMessage="1" sqref="W7:W229" xr:uid="{EED640AA-28BB-4B14-B744-16BBD7DBE544}">
      <formula1>"Yes,No,NA"</formula1>
    </dataValidation>
    <dataValidation type="whole" operator="lessThan" allowBlank="1" showInputMessage="1" showErrorMessage="1" sqref="M7:N229" xr:uid="{00000000-0002-0000-0200-000005000000}">
      <formula1>999999</formula1>
    </dataValidation>
    <dataValidation type="list" allowBlank="1" showInputMessage="1" showErrorMessage="1" sqref="CA7:CA229" xr:uid="{00000000-0002-0000-0200-000002000000}">
      <formula1>"Covered, Not_covered"</formula1>
    </dataValidation>
    <dataValidation type="list" allowBlank="1" showInputMessage="1" showErrorMessage="1" sqref="H7:H201 H243:H409" xr:uid="{00000000-0002-0000-0200-000004000000}">
      <formula1>OFFSET(Township_start,MATCH(F7,Township_list, 0),1, COUNTIF(Township_list,F7),1)</formula1>
    </dataValidation>
    <dataValidation type="list" allowBlank="1" showInputMessage="1" showErrorMessage="1" sqref="F7:F229 F239:F409" xr:uid="{00000000-0002-0000-0200-00000B000000}">
      <formula1>OFFSET(Statestart_1,MATCH(E7, State_list, 0), 1,COUNTIF(State_list,E7),1)</formula1>
    </dataValidation>
    <dataValidation type="list" allowBlank="1" showInputMessage="1" showErrorMessage="1" sqref="E7:E409" xr:uid="{6F23944D-29AF-4449-96F7-753203CE9B63}">
      <formula1>"Kachin, Central Rakhine, Northern Rakhine, Shan (North), Kayin, Chin"</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Lookup!$A$4:$A$32</xm:f>
          </x14:formula1>
          <xm:sqref>A7:A201 A243:A351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373"/>
  <sheetViews>
    <sheetView zoomScale="110" zoomScaleNormal="110" workbookViewId="0">
      <pane xSplit="1" ySplit="2" topLeftCell="B1350" activePane="bottomRight" state="frozen"/>
      <selection activeCell="E391" sqref="E391"/>
      <selection pane="topRight" activeCell="E391" sqref="E391"/>
      <selection pane="bottomLeft" activeCell="E391" sqref="E391"/>
      <selection pane="bottomRight" activeCell="Q1365" sqref="Q1365:T1373"/>
    </sheetView>
  </sheetViews>
  <sheetFormatPr defaultColWidth="9" defaultRowHeight="14.25" customHeight="1"/>
  <cols>
    <col min="1" max="1" width="13.09765625" bestFit="1" customWidth="1"/>
    <col min="2" max="2" width="17" style="17" customWidth="1"/>
    <col min="3" max="3" width="24.19921875" style="98" customWidth="1"/>
    <col min="4" max="4" width="16.5" style="43" customWidth="1"/>
    <col min="5" max="5" width="13.59765625" style="17" customWidth="1"/>
    <col min="6" max="7" width="19.5" style="17" customWidth="1"/>
    <col min="8" max="8" width="13.19921875" style="17" customWidth="1"/>
    <col min="9" max="9" width="16.19921875" style="17" customWidth="1"/>
    <col min="10" max="10" width="11.19921875" style="17" customWidth="1"/>
    <col min="11" max="11" width="7.69921875" style="17" customWidth="1"/>
    <col min="12" max="12" width="12.69921875" style="17" customWidth="1"/>
    <col min="13" max="13" width="14.69921875" style="17" customWidth="1"/>
    <col min="14" max="14" width="15" style="17" customWidth="1"/>
    <col min="15" max="15" width="8.5" style="17" customWidth="1"/>
    <col min="16" max="17" width="7.69921875" style="17" customWidth="1"/>
    <col min="18" max="18" width="18.19921875" style="17" customWidth="1"/>
    <col min="19" max="20" width="10.5" style="17" customWidth="1"/>
    <col min="21" max="21" width="10.09765625" style="42" customWidth="1"/>
    <col min="22" max="22" width="8.59765625"/>
    <col min="23" max="23" width="12.09765625" style="100" customWidth="1"/>
    <col min="24" max="24" width="55" style="44" customWidth="1"/>
    <col min="25" max="25" width="16.59765625" style="17" customWidth="1"/>
    <col min="26" max="26" width="9" style="99"/>
    <col min="27" max="16384" width="9" style="17"/>
  </cols>
  <sheetData>
    <row r="1" spans="1:26" ht="14.25" customHeight="1">
      <c r="A1" s="470"/>
      <c r="C1" s="493"/>
      <c r="V1" s="470"/>
    </row>
    <row r="2" spans="1:26" ht="14.25" customHeight="1">
      <c r="A2" s="17" t="s">
        <v>19</v>
      </c>
      <c r="B2" s="17" t="s">
        <v>20</v>
      </c>
      <c r="C2" s="68" t="s">
        <v>21</v>
      </c>
      <c r="D2" s="17" t="s">
        <v>1653</v>
      </c>
      <c r="E2" s="17" t="s">
        <v>31</v>
      </c>
      <c r="F2" s="17" t="s">
        <v>1654</v>
      </c>
      <c r="G2" s="17" t="s">
        <v>1655</v>
      </c>
      <c r="H2" s="17" t="s">
        <v>25</v>
      </c>
      <c r="I2" s="17" t="s">
        <v>26</v>
      </c>
      <c r="J2" s="17" t="s">
        <v>124</v>
      </c>
      <c r="K2" s="17" t="s">
        <v>125</v>
      </c>
      <c r="L2" s="17" t="s">
        <v>750</v>
      </c>
      <c r="M2" s="17" t="s">
        <v>28</v>
      </c>
      <c r="N2" s="17" t="s">
        <v>29</v>
      </c>
      <c r="O2" s="17" t="s">
        <v>30</v>
      </c>
      <c r="P2" s="17" t="s">
        <v>751</v>
      </c>
      <c r="Q2" s="17" t="s">
        <v>752</v>
      </c>
      <c r="R2" s="67" t="s">
        <v>2710</v>
      </c>
      <c r="S2" s="67" t="s">
        <v>2711</v>
      </c>
      <c r="T2" s="100" t="s">
        <v>753</v>
      </c>
      <c r="U2" s="44" t="s">
        <v>33</v>
      </c>
      <c r="V2" s="17" t="s">
        <v>754</v>
      </c>
      <c r="W2" s="17" t="s">
        <v>2208</v>
      </c>
      <c r="X2" s="17"/>
      <c r="Z2" s="17"/>
    </row>
    <row r="3" spans="1:26" s="68" customFormat="1" ht="14.25" customHeight="1">
      <c r="A3" s="400" t="s">
        <v>2648</v>
      </c>
      <c r="B3" s="167" t="s">
        <v>357</v>
      </c>
      <c r="C3" s="168" t="s">
        <v>2703</v>
      </c>
      <c r="D3" s="398" t="s">
        <v>1656</v>
      </c>
      <c r="E3" s="414">
        <v>198645</v>
      </c>
      <c r="F3" s="163"/>
      <c r="G3" s="163"/>
      <c r="H3" s="163"/>
      <c r="I3" s="163"/>
      <c r="J3" s="163" t="s">
        <v>794</v>
      </c>
      <c r="K3" s="163" t="s">
        <v>794</v>
      </c>
      <c r="L3" s="163" t="s">
        <v>794</v>
      </c>
      <c r="M3" s="163" t="s">
        <v>294</v>
      </c>
      <c r="N3" s="163">
        <v>19.18421936</v>
      </c>
      <c r="O3" s="163">
        <v>93.699806210000006</v>
      </c>
      <c r="P3" s="163" t="s">
        <v>795</v>
      </c>
      <c r="Q3" s="163" t="s">
        <v>776</v>
      </c>
      <c r="R3" s="164"/>
      <c r="S3" s="162"/>
      <c r="T3" s="165"/>
      <c r="U3" s="166"/>
      <c r="V3" s="163" t="s">
        <v>360</v>
      </c>
      <c r="W3" s="399"/>
    </row>
    <row r="4" spans="1:26" s="68" customFormat="1" ht="14.25" customHeight="1">
      <c r="A4" s="400" t="s">
        <v>2648</v>
      </c>
      <c r="B4" s="175" t="s">
        <v>357</v>
      </c>
      <c r="C4" s="176" t="s">
        <v>362</v>
      </c>
      <c r="D4" s="398" t="s">
        <v>1656</v>
      </c>
      <c r="E4" s="171">
        <v>198647</v>
      </c>
      <c r="F4" s="171"/>
      <c r="G4" s="171"/>
      <c r="H4" s="171"/>
      <c r="I4" s="171"/>
      <c r="J4" s="171" t="s">
        <v>794</v>
      </c>
      <c r="K4" s="171" t="s">
        <v>794</v>
      </c>
      <c r="L4" s="171" t="s">
        <v>794</v>
      </c>
      <c r="M4" s="171" t="s">
        <v>294</v>
      </c>
      <c r="N4" s="171">
        <v>19.18943977</v>
      </c>
      <c r="O4" s="171">
        <v>93.733673100000004</v>
      </c>
      <c r="P4" s="171" t="s">
        <v>795</v>
      </c>
      <c r="Q4" s="171" t="s">
        <v>776</v>
      </c>
      <c r="R4" s="172"/>
      <c r="S4" s="170"/>
      <c r="T4" s="173"/>
      <c r="U4" s="174"/>
      <c r="V4" s="171" t="s">
        <v>362</v>
      </c>
      <c r="W4" s="399"/>
    </row>
    <row r="5" spans="1:26" s="68" customFormat="1" ht="14.25" customHeight="1">
      <c r="A5" s="400" t="s">
        <v>2648</v>
      </c>
      <c r="B5" s="167" t="s">
        <v>357</v>
      </c>
      <c r="C5" s="168" t="s">
        <v>2548</v>
      </c>
      <c r="D5" s="398"/>
      <c r="E5" s="163">
        <v>198667</v>
      </c>
      <c r="F5" s="163"/>
      <c r="G5" s="163"/>
      <c r="H5" s="163"/>
      <c r="I5" s="163"/>
      <c r="J5" s="163" t="s">
        <v>794</v>
      </c>
      <c r="K5" s="163" t="s">
        <v>794</v>
      </c>
      <c r="L5" s="163" t="s">
        <v>794</v>
      </c>
      <c r="M5" s="163" t="s">
        <v>294</v>
      </c>
      <c r="N5" s="163">
        <v>19.243989944458001</v>
      </c>
      <c r="O5" s="163">
        <v>93.714859008789105</v>
      </c>
      <c r="P5" s="482" t="s">
        <v>795</v>
      </c>
      <c r="Q5" s="163"/>
      <c r="R5" s="164"/>
      <c r="S5" s="162"/>
      <c r="T5" s="165"/>
      <c r="U5" s="166"/>
      <c r="V5" s="163"/>
      <c r="W5" s="399"/>
    </row>
    <row r="6" spans="1:26" s="68" customFormat="1" ht="14.25" customHeight="1">
      <c r="A6" s="400" t="s">
        <v>2648</v>
      </c>
      <c r="B6" s="396" t="s">
        <v>357</v>
      </c>
      <c r="C6" s="68" t="s">
        <v>367</v>
      </c>
      <c r="D6" s="431" t="s">
        <v>2288</v>
      </c>
      <c r="E6" s="68" t="s">
        <v>1347</v>
      </c>
      <c r="F6" s="68" t="s">
        <v>1735</v>
      </c>
      <c r="G6" s="68" t="s">
        <v>367</v>
      </c>
      <c r="H6" s="68" t="s">
        <v>40</v>
      </c>
      <c r="J6" s="68" t="s">
        <v>794</v>
      </c>
      <c r="K6" s="68" t="s">
        <v>794</v>
      </c>
      <c r="L6" s="68" t="s">
        <v>817</v>
      </c>
      <c r="M6" s="68" t="s">
        <v>294</v>
      </c>
      <c r="N6" s="68">
        <v>19.421102000000001</v>
      </c>
      <c r="O6" s="68">
        <v>93.552452000000002</v>
      </c>
      <c r="P6" s="68" t="s">
        <v>795</v>
      </c>
      <c r="Q6" s="68" t="s">
        <v>776</v>
      </c>
      <c r="R6" s="95">
        <v>65</v>
      </c>
      <c r="S6" s="96">
        <v>327</v>
      </c>
      <c r="T6" s="101"/>
      <c r="U6" s="97"/>
      <c r="V6" s="68" t="s">
        <v>367</v>
      </c>
      <c r="W6" s="396"/>
    </row>
    <row r="7" spans="1:26" s="68" customFormat="1" ht="14.25" customHeight="1">
      <c r="A7" s="400" t="s">
        <v>2648</v>
      </c>
      <c r="B7" s="396" t="s">
        <v>357</v>
      </c>
      <c r="C7" s="68" t="s">
        <v>3125</v>
      </c>
      <c r="D7" s="431"/>
      <c r="E7" s="68">
        <v>198475</v>
      </c>
      <c r="J7" s="68" t="s">
        <v>794</v>
      </c>
      <c r="K7" s="68" t="s">
        <v>794</v>
      </c>
      <c r="L7" s="163" t="s">
        <v>794</v>
      </c>
      <c r="M7" s="68" t="s">
        <v>294</v>
      </c>
      <c r="N7" s="68">
        <v>19.4781608581543</v>
      </c>
      <c r="O7" s="68">
        <v>93.622062683105497</v>
      </c>
      <c r="P7" s="482" t="s">
        <v>795</v>
      </c>
      <c r="R7" s="95"/>
      <c r="S7" s="400"/>
      <c r="T7" s="101"/>
      <c r="U7" s="97"/>
    </row>
    <row r="8" spans="1:26" s="68" customFormat="1" ht="14.25" customHeight="1">
      <c r="A8" s="400" t="s">
        <v>2648</v>
      </c>
      <c r="B8" s="396" t="s">
        <v>357</v>
      </c>
      <c r="C8" s="68" t="s">
        <v>359</v>
      </c>
      <c r="D8" s="431" t="s">
        <v>1656</v>
      </c>
      <c r="E8" s="68">
        <v>198611</v>
      </c>
      <c r="J8" s="68" t="s">
        <v>794</v>
      </c>
      <c r="K8" s="68" t="s">
        <v>794</v>
      </c>
      <c r="L8" s="68" t="s">
        <v>794</v>
      </c>
      <c r="M8" s="68" t="s">
        <v>294</v>
      </c>
      <c r="N8" s="68">
        <v>19.17564964</v>
      </c>
      <c r="O8" s="68">
        <v>93.596443179999994</v>
      </c>
      <c r="P8" s="68" t="s">
        <v>795</v>
      </c>
      <c r="Q8" s="68" t="s">
        <v>776</v>
      </c>
      <c r="R8" s="95"/>
      <c r="S8" s="96"/>
      <c r="T8" s="101"/>
      <c r="U8" s="97"/>
      <c r="V8" s="68" t="s">
        <v>359</v>
      </c>
    </row>
    <row r="9" spans="1:26" s="68" customFormat="1" ht="14.25" customHeight="1">
      <c r="A9" s="400" t="s">
        <v>2648</v>
      </c>
      <c r="B9" s="396" t="s">
        <v>357</v>
      </c>
      <c r="C9" s="68" t="s">
        <v>368</v>
      </c>
      <c r="D9" s="431" t="s">
        <v>2712</v>
      </c>
      <c r="E9" s="68" t="s">
        <v>1348</v>
      </c>
      <c r="F9" s="68" t="s">
        <v>1736</v>
      </c>
      <c r="G9" s="68" t="s">
        <v>1737</v>
      </c>
      <c r="H9" s="68" t="s">
        <v>40</v>
      </c>
      <c r="J9" s="68" t="s">
        <v>42</v>
      </c>
      <c r="K9" s="68" t="s">
        <v>42</v>
      </c>
      <c r="L9" s="68" t="s">
        <v>790</v>
      </c>
      <c r="M9" s="68" t="s">
        <v>791</v>
      </c>
      <c r="N9" s="68">
        <v>19.424576999999999</v>
      </c>
      <c r="O9" s="68">
        <v>93.512326000000002</v>
      </c>
      <c r="P9" s="68" t="s">
        <v>757</v>
      </c>
      <c r="Q9" s="68" t="s">
        <v>776</v>
      </c>
      <c r="R9" s="399">
        <v>415</v>
      </c>
      <c r="S9" s="400">
        <v>1050</v>
      </c>
      <c r="T9" s="101"/>
      <c r="U9" s="97"/>
      <c r="V9" s="68" t="s">
        <v>797</v>
      </c>
    </row>
    <row r="10" spans="1:26" s="68" customFormat="1" ht="14.25" customHeight="1">
      <c r="A10" s="400" t="s">
        <v>2648</v>
      </c>
      <c r="B10" s="397" t="s">
        <v>357</v>
      </c>
      <c r="C10" s="397" t="s">
        <v>2547</v>
      </c>
      <c r="D10" s="431"/>
      <c r="E10" s="68">
        <v>198508</v>
      </c>
      <c r="J10" s="68" t="s">
        <v>794</v>
      </c>
      <c r="K10" s="68" t="s">
        <v>794</v>
      </c>
      <c r="L10" s="163" t="s">
        <v>794</v>
      </c>
      <c r="M10" s="68" t="s">
        <v>294</v>
      </c>
      <c r="N10" s="68">
        <v>19.378620147705099</v>
      </c>
      <c r="O10" s="68">
        <v>93.483879089355497</v>
      </c>
      <c r="P10" s="482" t="s">
        <v>795</v>
      </c>
      <c r="R10" s="399"/>
      <c r="S10" s="96"/>
      <c r="T10" s="101"/>
      <c r="U10" s="97"/>
    </row>
    <row r="11" spans="1:26" s="68" customFormat="1" ht="14.25" customHeight="1">
      <c r="A11" s="400" t="s">
        <v>2648</v>
      </c>
      <c r="B11" s="396" t="s">
        <v>357</v>
      </c>
      <c r="C11" s="68" t="s">
        <v>796</v>
      </c>
      <c r="D11" s="431" t="s">
        <v>1656</v>
      </c>
      <c r="E11" s="68">
        <v>198612</v>
      </c>
      <c r="J11" s="68" t="s">
        <v>794</v>
      </c>
      <c r="K11" s="68" t="s">
        <v>794</v>
      </c>
      <c r="L11" s="68" t="s">
        <v>794</v>
      </c>
      <c r="M11" s="68" t="s">
        <v>294</v>
      </c>
      <c r="N11" s="68">
        <v>19.195390700000001</v>
      </c>
      <c r="O11" s="68">
        <v>93.585678099999996</v>
      </c>
      <c r="P11" s="68" t="s">
        <v>795</v>
      </c>
      <c r="R11" s="95"/>
      <c r="S11" s="400"/>
      <c r="T11" s="101"/>
      <c r="U11" s="97"/>
      <c r="V11" s="68" t="s">
        <v>796</v>
      </c>
      <c r="W11" s="396"/>
    </row>
    <row r="12" spans="1:26" s="68" customFormat="1" ht="14.25" customHeight="1">
      <c r="A12" s="400" t="s">
        <v>2648</v>
      </c>
      <c r="B12" s="396" t="s">
        <v>357</v>
      </c>
      <c r="C12" s="396" t="s">
        <v>2270</v>
      </c>
      <c r="D12" s="431"/>
      <c r="E12" s="68">
        <v>198464</v>
      </c>
      <c r="F12" s="68" t="s">
        <v>2270</v>
      </c>
      <c r="J12" s="68" t="s">
        <v>794</v>
      </c>
      <c r="K12" s="68" t="s">
        <v>794</v>
      </c>
      <c r="L12" s="68" t="s">
        <v>794</v>
      </c>
      <c r="M12" s="68" t="s">
        <v>294</v>
      </c>
      <c r="N12" s="68">
        <v>19.417640689999999</v>
      </c>
      <c r="O12" s="68">
        <v>93.565246579999993</v>
      </c>
      <c r="P12" s="482" t="s">
        <v>795</v>
      </c>
      <c r="Q12" s="68" t="s">
        <v>2236</v>
      </c>
      <c r="R12" s="399"/>
      <c r="S12" s="96"/>
      <c r="T12" s="101">
        <v>43462</v>
      </c>
      <c r="U12" s="97"/>
      <c r="W12" s="68" t="s">
        <v>2271</v>
      </c>
    </row>
    <row r="13" spans="1:26" s="68" customFormat="1" ht="14.25" customHeight="1">
      <c r="A13" s="400" t="s">
        <v>2648</v>
      </c>
      <c r="B13" s="396" t="s">
        <v>357</v>
      </c>
      <c r="C13" s="396" t="s">
        <v>364</v>
      </c>
      <c r="D13" s="431" t="s">
        <v>1656</v>
      </c>
      <c r="E13" s="68">
        <v>198516</v>
      </c>
      <c r="J13" s="68" t="s">
        <v>794</v>
      </c>
      <c r="K13" s="68" t="s">
        <v>794</v>
      </c>
      <c r="L13" s="68" t="s">
        <v>794</v>
      </c>
      <c r="M13" s="68" t="s">
        <v>294</v>
      </c>
      <c r="N13" s="68">
        <v>19.249820710000002</v>
      </c>
      <c r="O13" s="68">
        <v>93.551040650000004</v>
      </c>
      <c r="P13" s="68" t="s">
        <v>795</v>
      </c>
      <c r="Q13" s="68" t="s">
        <v>776</v>
      </c>
      <c r="R13" s="95"/>
      <c r="S13" s="400"/>
      <c r="T13" s="101"/>
      <c r="U13" s="97"/>
      <c r="V13" s="68" t="s">
        <v>364</v>
      </c>
    </row>
    <row r="14" spans="1:26" s="68" customFormat="1" ht="14.25" customHeight="1">
      <c r="A14" s="400" t="s">
        <v>2648</v>
      </c>
      <c r="B14" s="396" t="s">
        <v>357</v>
      </c>
      <c r="C14" s="396" t="s">
        <v>361</v>
      </c>
      <c r="D14" s="431" t="s">
        <v>1656</v>
      </c>
      <c r="E14" s="68">
        <v>198643</v>
      </c>
      <c r="J14" s="68" t="s">
        <v>794</v>
      </c>
      <c r="K14" s="68" t="s">
        <v>794</v>
      </c>
      <c r="L14" s="68" t="s">
        <v>794</v>
      </c>
      <c r="M14" s="68" t="s">
        <v>294</v>
      </c>
      <c r="N14" s="68">
        <v>19.18865967</v>
      </c>
      <c r="O14" s="68">
        <v>93.720703130000004</v>
      </c>
      <c r="P14" s="68" t="s">
        <v>795</v>
      </c>
      <c r="Q14" s="68" t="s">
        <v>776</v>
      </c>
      <c r="R14" s="95"/>
      <c r="S14" s="400"/>
      <c r="T14" s="101"/>
      <c r="U14" s="97"/>
      <c r="V14" s="68" t="s">
        <v>361</v>
      </c>
    </row>
    <row r="15" spans="1:26" s="68" customFormat="1" ht="14.25" customHeight="1">
      <c r="A15" s="400" t="s">
        <v>2648</v>
      </c>
      <c r="B15" s="397" t="s">
        <v>357</v>
      </c>
      <c r="C15" s="397" t="s">
        <v>3126</v>
      </c>
      <c r="D15" s="431"/>
      <c r="E15" s="68">
        <v>198476</v>
      </c>
      <c r="J15" s="68" t="s">
        <v>794</v>
      </c>
      <c r="K15" s="68" t="s">
        <v>794</v>
      </c>
      <c r="L15" s="163" t="s">
        <v>794</v>
      </c>
      <c r="M15" s="68" t="s">
        <v>294</v>
      </c>
      <c r="N15" s="68">
        <v>19.483570098876999</v>
      </c>
      <c r="O15" s="68">
        <v>93.639602661132798</v>
      </c>
      <c r="P15" s="482" t="s">
        <v>795</v>
      </c>
      <c r="R15" s="95"/>
      <c r="S15" s="400"/>
      <c r="T15" s="101"/>
      <c r="U15" s="97"/>
    </row>
    <row r="16" spans="1:26" s="68" customFormat="1" ht="14.25" customHeight="1">
      <c r="A16" s="400" t="s">
        <v>2648</v>
      </c>
      <c r="B16" s="397" t="s">
        <v>357</v>
      </c>
      <c r="C16" s="397" t="s">
        <v>363</v>
      </c>
      <c r="D16" s="431" t="s">
        <v>1656</v>
      </c>
      <c r="E16" s="68">
        <v>198514</v>
      </c>
      <c r="J16" s="68" t="s">
        <v>794</v>
      </c>
      <c r="K16" s="68" t="s">
        <v>794</v>
      </c>
      <c r="L16" s="68" t="s">
        <v>794</v>
      </c>
      <c r="M16" s="68" t="s">
        <v>294</v>
      </c>
      <c r="N16" s="68">
        <v>19.221920010000002</v>
      </c>
      <c r="O16" s="68">
        <v>93.571296689999997</v>
      </c>
      <c r="P16" s="68" t="s">
        <v>795</v>
      </c>
      <c r="Q16" s="68" t="s">
        <v>776</v>
      </c>
      <c r="R16" s="95"/>
      <c r="S16" s="400"/>
      <c r="T16" s="101"/>
      <c r="U16" s="97"/>
      <c r="V16" s="68" t="s">
        <v>363</v>
      </c>
      <c r="W16" s="396"/>
    </row>
    <row r="17" spans="1:23" s="68" customFormat="1" ht="14.25" customHeight="1">
      <c r="A17" s="400" t="s">
        <v>2648</v>
      </c>
      <c r="B17" s="397" t="s">
        <v>357</v>
      </c>
      <c r="C17" s="397" t="s">
        <v>365</v>
      </c>
      <c r="D17" s="431" t="s">
        <v>1656</v>
      </c>
      <c r="E17" s="396">
        <v>198512</v>
      </c>
      <c r="F17" s="396"/>
      <c r="G17" s="396"/>
      <c r="H17" s="396"/>
      <c r="I17" s="396"/>
      <c r="J17" s="396" t="s">
        <v>794</v>
      </c>
      <c r="K17" s="68" t="s">
        <v>794</v>
      </c>
      <c r="L17" s="68" t="s">
        <v>794</v>
      </c>
      <c r="M17" s="68" t="s">
        <v>294</v>
      </c>
      <c r="N17" s="396">
        <v>19.254320140000001</v>
      </c>
      <c r="O17" s="396">
        <v>93.548591610000003</v>
      </c>
      <c r="P17" s="68" t="s">
        <v>795</v>
      </c>
      <c r="Q17" s="396" t="s">
        <v>776</v>
      </c>
      <c r="R17" s="399"/>
      <c r="S17" s="400"/>
      <c r="T17" s="412"/>
      <c r="U17" s="401"/>
      <c r="V17" s="396" t="s">
        <v>365</v>
      </c>
    </row>
    <row r="18" spans="1:23" s="68" customFormat="1" ht="14.25" customHeight="1">
      <c r="A18" s="400" t="s">
        <v>2648</v>
      </c>
      <c r="B18" s="397" t="s">
        <v>357</v>
      </c>
      <c r="C18" s="397" t="s">
        <v>358</v>
      </c>
      <c r="D18" s="431" t="s">
        <v>1656</v>
      </c>
      <c r="E18" s="402">
        <v>198657</v>
      </c>
      <c r="J18" s="68" t="s">
        <v>794</v>
      </c>
      <c r="K18" s="68" t="s">
        <v>794</v>
      </c>
      <c r="L18" s="68" t="s">
        <v>794</v>
      </c>
      <c r="M18" s="68" t="s">
        <v>294</v>
      </c>
      <c r="N18" s="396">
        <v>19.170919420000001</v>
      </c>
      <c r="O18" s="396">
        <v>93.692680359999997</v>
      </c>
      <c r="P18" s="68" t="s">
        <v>795</v>
      </c>
      <c r="Q18" s="68" t="s">
        <v>776</v>
      </c>
      <c r="R18" s="95"/>
      <c r="S18" s="96"/>
      <c r="T18" s="101"/>
      <c r="U18" s="97"/>
      <c r="V18" s="68" t="s">
        <v>358</v>
      </c>
      <c r="W18" s="396"/>
    </row>
    <row r="19" spans="1:23" s="68" customFormat="1" ht="14.25" customHeight="1">
      <c r="A19" s="403" t="s">
        <v>2648</v>
      </c>
      <c r="B19" s="403" t="s">
        <v>302</v>
      </c>
      <c r="C19" s="404" t="s">
        <v>636</v>
      </c>
      <c r="D19" s="398"/>
      <c r="E19" s="396">
        <v>196824</v>
      </c>
      <c r="J19" s="68" t="s">
        <v>794</v>
      </c>
      <c r="K19" s="68" t="s">
        <v>794</v>
      </c>
      <c r="L19" s="68" t="s">
        <v>794</v>
      </c>
      <c r="M19" s="68" t="s">
        <v>1989</v>
      </c>
      <c r="N19" s="396">
        <v>20.855012890000001</v>
      </c>
      <c r="O19" s="396">
        <v>92.91</v>
      </c>
      <c r="P19" s="482" t="s">
        <v>795</v>
      </c>
      <c r="R19" s="405"/>
      <c r="S19" s="400"/>
      <c r="T19" s="101">
        <v>43591</v>
      </c>
      <c r="U19" s="405"/>
      <c r="W19" s="399"/>
    </row>
    <row r="20" spans="1:23" s="68" customFormat="1" ht="14.25" customHeight="1">
      <c r="A20" s="400" t="s">
        <v>2648</v>
      </c>
      <c r="B20" s="396" t="s">
        <v>302</v>
      </c>
      <c r="C20" s="68" t="s">
        <v>945</v>
      </c>
      <c r="D20" s="431" t="s">
        <v>2712</v>
      </c>
      <c r="E20" s="396" t="s">
        <v>1413</v>
      </c>
      <c r="F20" s="68" t="s">
        <v>1861</v>
      </c>
      <c r="G20" s="68" t="s">
        <v>945</v>
      </c>
      <c r="J20" s="68" t="s">
        <v>794</v>
      </c>
      <c r="K20" s="68" t="s">
        <v>794</v>
      </c>
      <c r="L20" s="68" t="s">
        <v>879</v>
      </c>
      <c r="M20" s="68" t="s">
        <v>791</v>
      </c>
      <c r="N20" s="406">
        <v>20.921424999999999</v>
      </c>
      <c r="O20" s="406">
        <v>93.003204999999994</v>
      </c>
      <c r="P20" s="68" t="s">
        <v>795</v>
      </c>
      <c r="R20" s="399">
        <v>24</v>
      </c>
      <c r="S20" s="400">
        <v>140</v>
      </c>
      <c r="T20" s="101"/>
      <c r="U20" s="97" t="s">
        <v>856</v>
      </c>
      <c r="V20" s="68" t="s">
        <v>945</v>
      </c>
    </row>
    <row r="21" spans="1:23" s="68" customFormat="1" ht="14.25" customHeight="1">
      <c r="A21" s="400" t="s">
        <v>2648</v>
      </c>
      <c r="B21" s="396" t="s">
        <v>302</v>
      </c>
      <c r="C21" s="396" t="s">
        <v>944</v>
      </c>
      <c r="D21" s="431" t="s">
        <v>2712</v>
      </c>
      <c r="E21" s="397" t="s">
        <v>1412</v>
      </c>
      <c r="F21" s="396" t="s">
        <v>944</v>
      </c>
      <c r="G21" s="68" t="s">
        <v>1860</v>
      </c>
      <c r="J21" s="68" t="s">
        <v>794</v>
      </c>
      <c r="K21" s="68" t="s">
        <v>794</v>
      </c>
      <c r="L21" s="68" t="s">
        <v>879</v>
      </c>
      <c r="M21" s="68" t="s">
        <v>791</v>
      </c>
      <c r="N21" s="406">
        <v>20.896740000000001</v>
      </c>
      <c r="O21" s="406">
        <v>93.014349999999993</v>
      </c>
      <c r="P21" s="68" t="s">
        <v>795</v>
      </c>
      <c r="R21" s="399">
        <v>14</v>
      </c>
      <c r="S21" s="400">
        <v>84</v>
      </c>
      <c r="T21" s="101"/>
      <c r="U21" s="97" t="s">
        <v>856</v>
      </c>
      <c r="V21" s="68" t="s">
        <v>944</v>
      </c>
      <c r="W21" s="396"/>
    </row>
    <row r="22" spans="1:23" s="68" customFormat="1" ht="14.25" customHeight="1">
      <c r="A22" s="400" t="s">
        <v>2648</v>
      </c>
      <c r="B22" s="396" t="s">
        <v>302</v>
      </c>
      <c r="C22" s="396" t="s">
        <v>303</v>
      </c>
      <c r="D22" s="431" t="s">
        <v>1656</v>
      </c>
      <c r="E22" s="396"/>
      <c r="F22" s="396"/>
      <c r="G22" s="396"/>
      <c r="H22" s="396"/>
      <c r="I22" s="396"/>
      <c r="J22" s="396" t="s">
        <v>794</v>
      </c>
      <c r="K22" s="396" t="s">
        <v>794</v>
      </c>
      <c r="L22" s="396" t="s">
        <v>794</v>
      </c>
      <c r="M22" s="396" t="s">
        <v>294</v>
      </c>
      <c r="N22" s="396"/>
      <c r="O22" s="396"/>
      <c r="P22" s="396" t="s">
        <v>795</v>
      </c>
      <c r="Q22" s="396" t="s">
        <v>776</v>
      </c>
      <c r="R22" s="399"/>
      <c r="S22" s="400"/>
      <c r="T22" s="412"/>
      <c r="U22" s="401"/>
      <c r="V22" s="396" t="s">
        <v>303</v>
      </c>
      <c r="W22" s="396"/>
    </row>
    <row r="23" spans="1:23" s="68" customFormat="1" ht="14.25" customHeight="1">
      <c r="A23" s="400" t="s">
        <v>2648</v>
      </c>
      <c r="B23" s="396" t="s">
        <v>302</v>
      </c>
      <c r="C23" s="396" t="s">
        <v>566</v>
      </c>
      <c r="D23" s="431" t="s">
        <v>2712</v>
      </c>
      <c r="E23" s="396" t="s">
        <v>1400</v>
      </c>
      <c r="F23" s="396"/>
      <c r="G23" s="396"/>
      <c r="H23" s="396"/>
      <c r="I23" s="396"/>
      <c r="J23" s="396" t="s">
        <v>794</v>
      </c>
      <c r="K23" s="396" t="s">
        <v>794</v>
      </c>
      <c r="L23" s="396" t="s">
        <v>879</v>
      </c>
      <c r="M23" s="396" t="s">
        <v>294</v>
      </c>
      <c r="N23" s="396">
        <v>20.720213000000001</v>
      </c>
      <c r="O23" s="396">
        <v>92.961841000000007</v>
      </c>
      <c r="P23" s="396" t="s">
        <v>795</v>
      </c>
      <c r="Q23" s="396" t="s">
        <v>776</v>
      </c>
      <c r="R23" s="399">
        <v>100</v>
      </c>
      <c r="S23" s="400">
        <v>559</v>
      </c>
      <c r="T23" s="412"/>
      <c r="U23" s="401"/>
      <c r="V23" s="396" t="s">
        <v>566</v>
      </c>
      <c r="W23" s="396"/>
    </row>
    <row r="24" spans="1:23" s="68" customFormat="1" ht="14.25" customHeight="1">
      <c r="A24" s="400" t="s">
        <v>2648</v>
      </c>
      <c r="B24" s="396" t="s">
        <v>302</v>
      </c>
      <c r="C24" s="68" t="s">
        <v>927</v>
      </c>
      <c r="D24" s="431" t="s">
        <v>1656</v>
      </c>
      <c r="E24" s="68">
        <v>196946</v>
      </c>
      <c r="J24" s="68" t="s">
        <v>794</v>
      </c>
      <c r="K24" s="68" t="s">
        <v>794</v>
      </c>
      <c r="L24" s="68" t="s">
        <v>794</v>
      </c>
      <c r="M24" s="68" t="s">
        <v>294</v>
      </c>
      <c r="N24" s="68">
        <v>20.720213000000001</v>
      </c>
      <c r="O24" s="68">
        <v>92.961841000000007</v>
      </c>
      <c r="P24" s="68" t="s">
        <v>795</v>
      </c>
      <c r="R24" s="95"/>
      <c r="S24" s="96"/>
      <c r="T24" s="101"/>
      <c r="U24" s="97"/>
      <c r="V24" s="68" t="s">
        <v>566</v>
      </c>
    </row>
    <row r="25" spans="1:23" s="68" customFormat="1" ht="14.25" customHeight="1">
      <c r="A25" s="400" t="s">
        <v>2648</v>
      </c>
      <c r="B25" s="396" t="s">
        <v>302</v>
      </c>
      <c r="C25" s="396" t="s">
        <v>696</v>
      </c>
      <c r="D25" s="431" t="s">
        <v>1656</v>
      </c>
      <c r="E25" s="396">
        <v>196878</v>
      </c>
      <c r="F25" s="396"/>
      <c r="G25" s="396"/>
      <c r="H25" s="396"/>
      <c r="I25" s="396"/>
      <c r="J25" s="396" t="s">
        <v>794</v>
      </c>
      <c r="K25" s="396" t="s">
        <v>794</v>
      </c>
      <c r="L25" s="396" t="s">
        <v>794</v>
      </c>
      <c r="M25" s="396" t="s">
        <v>294</v>
      </c>
      <c r="N25" s="396">
        <v>20.627639769999998</v>
      </c>
      <c r="O25" s="396">
        <v>93.022773740000005</v>
      </c>
      <c r="P25" s="396" t="s">
        <v>795</v>
      </c>
      <c r="Q25" s="396" t="s">
        <v>776</v>
      </c>
      <c r="R25" s="399"/>
      <c r="S25" s="400"/>
      <c r="T25" s="412"/>
      <c r="U25" s="401"/>
      <c r="V25" s="396"/>
      <c r="W25" s="396"/>
    </row>
    <row r="26" spans="1:23" s="68" customFormat="1" ht="14.25" customHeight="1">
      <c r="A26" s="403" t="s">
        <v>2648</v>
      </c>
      <c r="B26" s="403" t="s">
        <v>302</v>
      </c>
      <c r="C26" s="404" t="s">
        <v>2760</v>
      </c>
      <c r="D26" s="398"/>
      <c r="E26" s="163">
        <v>196937</v>
      </c>
      <c r="J26" s="68" t="s">
        <v>2652</v>
      </c>
      <c r="K26" s="68" t="s">
        <v>2622</v>
      </c>
      <c r="L26" s="68" t="s">
        <v>2622</v>
      </c>
      <c r="N26" s="163">
        <v>20.64656067</v>
      </c>
      <c r="O26" s="163">
        <v>92.976043700000005</v>
      </c>
      <c r="P26" s="482" t="s">
        <v>1972</v>
      </c>
      <c r="R26" s="405"/>
      <c r="S26" s="400"/>
      <c r="T26" s="101">
        <v>43591</v>
      </c>
      <c r="U26" s="405"/>
      <c r="W26" s="399"/>
    </row>
    <row r="27" spans="1:23" s="68" customFormat="1" ht="14.25" customHeight="1">
      <c r="A27" s="400" t="s">
        <v>2648</v>
      </c>
      <c r="B27" s="175" t="s">
        <v>302</v>
      </c>
      <c r="C27" s="176" t="s">
        <v>2272</v>
      </c>
      <c r="D27" s="398"/>
      <c r="E27" s="171">
        <v>196933</v>
      </c>
      <c r="F27" s="171" t="s">
        <v>867</v>
      </c>
      <c r="G27" s="171"/>
      <c r="H27" s="171"/>
      <c r="I27" s="171"/>
      <c r="J27" s="171" t="s">
        <v>794</v>
      </c>
      <c r="K27" s="171" t="s">
        <v>794</v>
      </c>
      <c r="L27" s="171" t="s">
        <v>794</v>
      </c>
      <c r="M27" s="171"/>
      <c r="N27" s="171">
        <v>20.66370964</v>
      </c>
      <c r="O27" s="171">
        <v>92.973167419999996</v>
      </c>
      <c r="P27" s="171" t="s">
        <v>795</v>
      </c>
      <c r="Q27" s="171" t="s">
        <v>2236</v>
      </c>
      <c r="R27" s="172"/>
      <c r="S27" s="170"/>
      <c r="T27" s="173">
        <v>43465</v>
      </c>
      <c r="U27" s="174" t="s">
        <v>2278</v>
      </c>
      <c r="V27" s="171" t="s">
        <v>2272</v>
      </c>
      <c r="W27" s="399"/>
    </row>
    <row r="28" spans="1:23" s="68" customFormat="1" ht="14.25" customHeight="1">
      <c r="A28" s="487" t="s">
        <v>2648</v>
      </c>
      <c r="B28" s="490" t="s">
        <v>302</v>
      </c>
      <c r="C28" s="491" t="s">
        <v>3166</v>
      </c>
      <c r="D28" s="398"/>
      <c r="E28" s="396">
        <v>196940</v>
      </c>
      <c r="F28" s="396" t="s">
        <v>3166</v>
      </c>
      <c r="G28" s="396"/>
      <c r="H28" s="396"/>
      <c r="I28" s="396"/>
      <c r="J28" s="396" t="s">
        <v>794</v>
      </c>
      <c r="K28" s="396" t="s">
        <v>794</v>
      </c>
      <c r="L28" s="396" t="s">
        <v>794</v>
      </c>
      <c r="M28" s="396"/>
      <c r="N28" s="396">
        <v>92.998542785644503</v>
      </c>
      <c r="O28" s="396">
        <v>20.6563606262207</v>
      </c>
      <c r="P28" s="482"/>
      <c r="Q28" s="396" t="s">
        <v>3163</v>
      </c>
      <c r="R28" s="405"/>
      <c r="S28" s="400"/>
      <c r="T28" s="412">
        <v>43935</v>
      </c>
      <c r="U28" s="405"/>
      <c r="V28" s="396"/>
      <c r="W28" s="399"/>
    </row>
    <row r="29" spans="1:23" s="68" customFormat="1" ht="14.25" customHeight="1">
      <c r="A29" s="403" t="s">
        <v>2648</v>
      </c>
      <c r="B29" s="403" t="s">
        <v>302</v>
      </c>
      <c r="C29" s="404" t="s">
        <v>2761</v>
      </c>
      <c r="D29" s="398"/>
      <c r="E29" s="396">
        <v>196940</v>
      </c>
      <c r="F29" s="396"/>
      <c r="G29" s="396"/>
      <c r="H29" s="396"/>
      <c r="I29" s="396"/>
      <c r="J29" s="68" t="s">
        <v>2652</v>
      </c>
      <c r="K29" s="68" t="s">
        <v>2622</v>
      </c>
      <c r="L29" s="68" t="s">
        <v>2622</v>
      </c>
      <c r="M29" s="396"/>
      <c r="N29" s="396">
        <v>20.6563606262207</v>
      </c>
      <c r="O29" s="396">
        <v>92.998542785644503</v>
      </c>
      <c r="P29" s="482" t="s">
        <v>1972</v>
      </c>
      <c r="Q29" s="396"/>
      <c r="R29" s="405"/>
      <c r="S29" s="400"/>
      <c r="T29" s="412">
        <v>43591</v>
      </c>
      <c r="U29" s="405"/>
      <c r="V29" s="396"/>
      <c r="W29" s="399"/>
    </row>
    <row r="30" spans="1:23" s="68" customFormat="1" ht="14.25" customHeight="1">
      <c r="A30" s="490" t="s">
        <v>2648</v>
      </c>
      <c r="B30" s="490" t="s">
        <v>302</v>
      </c>
      <c r="C30" s="491" t="s">
        <v>2759</v>
      </c>
      <c r="D30" s="485"/>
      <c r="E30" s="396">
        <v>196942</v>
      </c>
      <c r="F30" s="396"/>
      <c r="G30" s="396"/>
      <c r="H30" s="396"/>
      <c r="I30" s="396"/>
      <c r="J30" s="482" t="s">
        <v>2652</v>
      </c>
      <c r="K30" s="482" t="s">
        <v>2622</v>
      </c>
      <c r="L30" s="482" t="s">
        <v>2622</v>
      </c>
      <c r="M30" s="396"/>
      <c r="N30" s="396">
        <v>20.6715202331543</v>
      </c>
      <c r="O30" s="396">
        <v>92.998092651367202</v>
      </c>
      <c r="P30" s="396" t="s">
        <v>1972</v>
      </c>
      <c r="Q30" s="396"/>
      <c r="R30" s="494"/>
      <c r="S30" s="400"/>
      <c r="T30" s="412">
        <v>43591</v>
      </c>
      <c r="U30" s="494"/>
      <c r="V30" s="396"/>
      <c r="W30" s="486"/>
    </row>
    <row r="31" spans="1:23" s="68" customFormat="1" ht="14.25" customHeight="1">
      <c r="A31" s="487" t="s">
        <v>2648</v>
      </c>
      <c r="B31" s="490" t="s">
        <v>302</v>
      </c>
      <c r="C31" s="491" t="s">
        <v>3157</v>
      </c>
      <c r="D31" s="398"/>
      <c r="E31" s="396">
        <v>196962</v>
      </c>
      <c r="F31" s="396" t="s">
        <v>1750</v>
      </c>
      <c r="G31" s="396"/>
      <c r="H31" s="396"/>
      <c r="I31" s="396"/>
      <c r="J31" s="396" t="s">
        <v>794</v>
      </c>
      <c r="K31" s="396" t="s">
        <v>794</v>
      </c>
      <c r="L31" s="396" t="s">
        <v>794</v>
      </c>
      <c r="M31" s="396"/>
      <c r="N31" s="396">
        <v>92.983703613281307</v>
      </c>
      <c r="O31" s="396">
        <v>20.776130676269499</v>
      </c>
      <c r="P31" s="482"/>
      <c r="Q31" s="396" t="s">
        <v>3163</v>
      </c>
      <c r="R31" s="405"/>
      <c r="S31" s="400"/>
      <c r="T31" s="412">
        <v>43935</v>
      </c>
      <c r="U31" s="405"/>
      <c r="V31" s="396"/>
      <c r="W31" s="399"/>
    </row>
    <row r="32" spans="1:23" s="68" customFormat="1" ht="14.25" customHeight="1">
      <c r="A32" s="400" t="s">
        <v>2648</v>
      </c>
      <c r="B32" s="490" t="s">
        <v>302</v>
      </c>
      <c r="C32" s="491" t="s">
        <v>2948</v>
      </c>
      <c r="D32" s="485"/>
      <c r="E32" s="482"/>
      <c r="F32" s="482"/>
      <c r="G32" s="482"/>
      <c r="H32" s="482"/>
      <c r="I32" s="482"/>
      <c r="J32" s="482" t="s">
        <v>794</v>
      </c>
      <c r="K32" s="482" t="s">
        <v>794</v>
      </c>
      <c r="L32" s="482" t="s">
        <v>794</v>
      </c>
      <c r="M32" s="482"/>
      <c r="N32" s="482"/>
      <c r="O32" s="482"/>
      <c r="P32" s="482" t="s">
        <v>795</v>
      </c>
      <c r="Q32" s="482" t="s">
        <v>2961</v>
      </c>
      <c r="R32" s="494"/>
      <c r="S32" s="487"/>
      <c r="T32" s="506">
        <v>43768</v>
      </c>
      <c r="U32" s="494"/>
      <c r="V32" s="482"/>
      <c r="W32" s="486"/>
    </row>
    <row r="33" spans="1:23" s="68" customFormat="1" ht="14.25" customHeight="1">
      <c r="A33" s="487" t="s">
        <v>2648</v>
      </c>
      <c r="B33" s="490" t="s">
        <v>302</v>
      </c>
      <c r="C33" s="491" t="s">
        <v>2968</v>
      </c>
      <c r="D33" s="485"/>
      <c r="E33" s="396">
        <v>196947</v>
      </c>
      <c r="F33" s="68" t="s">
        <v>566</v>
      </c>
      <c r="J33" s="68" t="s">
        <v>794</v>
      </c>
      <c r="K33" s="68" t="s">
        <v>794</v>
      </c>
      <c r="L33" s="68" t="s">
        <v>794</v>
      </c>
      <c r="N33" s="68">
        <v>20.7181205749512</v>
      </c>
      <c r="O33" s="68">
        <v>92.965950012207003</v>
      </c>
      <c r="P33" s="68" t="s">
        <v>795</v>
      </c>
      <c r="Q33" s="68" t="s">
        <v>2961</v>
      </c>
      <c r="R33" s="494"/>
      <c r="S33" s="400"/>
      <c r="T33" s="101">
        <v>43768</v>
      </c>
      <c r="U33" s="494"/>
      <c r="W33" s="486"/>
    </row>
    <row r="34" spans="1:23" s="68" customFormat="1" ht="14.25" customHeight="1">
      <c r="A34" s="400" t="s">
        <v>2648</v>
      </c>
      <c r="B34" s="490" t="s">
        <v>302</v>
      </c>
      <c r="C34" s="491" t="s">
        <v>3167</v>
      </c>
      <c r="D34" s="485"/>
      <c r="E34" s="482">
        <v>196919</v>
      </c>
      <c r="F34" s="482" t="s">
        <v>3168</v>
      </c>
      <c r="G34" s="482"/>
      <c r="H34" s="482"/>
      <c r="I34" s="482"/>
      <c r="J34" s="68" t="s">
        <v>794</v>
      </c>
      <c r="K34" s="68" t="s">
        <v>794</v>
      </c>
      <c r="L34" s="68" t="s">
        <v>794</v>
      </c>
      <c r="M34" s="482"/>
      <c r="N34" s="482">
        <v>92.929412841796903</v>
      </c>
      <c r="O34" s="482">
        <v>20.642980575561499</v>
      </c>
      <c r="Q34" s="482" t="s">
        <v>3163</v>
      </c>
      <c r="R34" s="494"/>
      <c r="S34" s="487"/>
      <c r="T34" s="506">
        <v>43935</v>
      </c>
      <c r="U34" s="494"/>
      <c r="V34" s="482"/>
      <c r="W34" s="486"/>
    </row>
    <row r="35" spans="1:23" s="68" customFormat="1" ht="14.25" customHeight="1">
      <c r="A35" s="400" t="s">
        <v>2648</v>
      </c>
      <c r="B35" s="482" t="s">
        <v>302</v>
      </c>
      <c r="C35" s="482" t="s">
        <v>552</v>
      </c>
      <c r="D35" s="431" t="s">
        <v>1656</v>
      </c>
      <c r="E35" s="482">
        <v>196943</v>
      </c>
      <c r="F35" s="482"/>
      <c r="G35" s="482"/>
      <c r="H35" s="482"/>
      <c r="I35" s="482"/>
      <c r="J35" s="482" t="s">
        <v>794</v>
      </c>
      <c r="K35" s="482" t="s">
        <v>794</v>
      </c>
      <c r="L35" s="482" t="s">
        <v>794</v>
      </c>
      <c r="M35" s="482" t="s">
        <v>294</v>
      </c>
      <c r="N35" s="482">
        <v>20.705930710000001</v>
      </c>
      <c r="O35" s="482">
        <v>93.001953130000004</v>
      </c>
      <c r="P35" s="482" t="s">
        <v>795</v>
      </c>
      <c r="Q35" s="482" t="s">
        <v>776</v>
      </c>
      <c r="R35" s="486"/>
      <c r="S35" s="487"/>
      <c r="T35" s="506"/>
      <c r="U35" s="488"/>
      <c r="V35" s="482" t="s">
        <v>552</v>
      </c>
      <c r="W35" s="482"/>
    </row>
    <row r="36" spans="1:23" s="68" customFormat="1" ht="14.25" customHeight="1">
      <c r="A36" s="490" t="s">
        <v>2648</v>
      </c>
      <c r="B36" s="490" t="s">
        <v>302</v>
      </c>
      <c r="C36" s="491" t="s">
        <v>2756</v>
      </c>
      <c r="D36" s="485"/>
      <c r="E36" s="482">
        <v>196943</v>
      </c>
      <c r="F36" s="482"/>
      <c r="G36" s="482"/>
      <c r="H36" s="482"/>
      <c r="I36" s="482"/>
      <c r="J36" s="482" t="s">
        <v>2652</v>
      </c>
      <c r="K36" s="482" t="s">
        <v>2622</v>
      </c>
      <c r="L36" s="482" t="s">
        <v>2622</v>
      </c>
      <c r="M36" s="482"/>
      <c r="N36" s="482">
        <v>20.705930710000001</v>
      </c>
      <c r="O36" s="482">
        <v>93.001953130000004</v>
      </c>
      <c r="P36" s="482" t="s">
        <v>1972</v>
      </c>
      <c r="Q36" s="482"/>
      <c r="R36" s="494"/>
      <c r="S36" s="487"/>
      <c r="T36" s="506">
        <v>43591</v>
      </c>
      <c r="U36" s="494"/>
      <c r="V36" s="482"/>
      <c r="W36" s="486"/>
    </row>
    <row r="37" spans="1:23" s="68" customFormat="1" ht="14.25" customHeight="1">
      <c r="A37" s="487" t="s">
        <v>2648</v>
      </c>
      <c r="B37" s="167" t="s">
        <v>302</v>
      </c>
      <c r="C37" s="168" t="s">
        <v>635</v>
      </c>
      <c r="D37" s="398" t="s">
        <v>1656</v>
      </c>
      <c r="E37" s="163">
        <v>196825</v>
      </c>
      <c r="F37" s="163"/>
      <c r="G37" s="163"/>
      <c r="H37" s="163"/>
      <c r="I37" s="163"/>
      <c r="J37" s="482" t="s">
        <v>794</v>
      </c>
      <c r="K37" s="482" t="s">
        <v>794</v>
      </c>
      <c r="L37" s="482" t="s">
        <v>794</v>
      </c>
      <c r="M37" s="163" t="s">
        <v>1989</v>
      </c>
      <c r="N37" s="163">
        <v>20.851089479999999</v>
      </c>
      <c r="O37" s="163">
        <v>92.916893009999995</v>
      </c>
      <c r="P37" s="482" t="s">
        <v>795</v>
      </c>
      <c r="Q37" s="163" t="s">
        <v>922</v>
      </c>
      <c r="R37" s="164"/>
      <c r="S37" s="162"/>
      <c r="T37" s="165">
        <v>43011</v>
      </c>
      <c r="U37" s="166" t="s">
        <v>923</v>
      </c>
      <c r="V37" s="163"/>
      <c r="W37" s="399"/>
    </row>
    <row r="38" spans="1:23" s="68" customFormat="1" ht="14.25" customHeight="1">
      <c r="A38" s="400" t="s">
        <v>2648</v>
      </c>
      <c r="B38" s="482" t="s">
        <v>302</v>
      </c>
      <c r="C38" s="482" t="s">
        <v>514</v>
      </c>
      <c r="D38" s="431" t="s">
        <v>1656</v>
      </c>
      <c r="E38" s="482">
        <v>196983</v>
      </c>
      <c r="F38" s="482"/>
      <c r="G38" s="482"/>
      <c r="H38" s="482"/>
      <c r="I38" s="482"/>
      <c r="J38" s="68" t="s">
        <v>794</v>
      </c>
      <c r="K38" s="68" t="s">
        <v>794</v>
      </c>
      <c r="L38" s="68" t="s">
        <v>794</v>
      </c>
      <c r="M38" s="482" t="s">
        <v>294</v>
      </c>
      <c r="N38" s="482">
        <v>20.644098280000001</v>
      </c>
      <c r="O38" s="482">
        <v>93.036460880000007</v>
      </c>
      <c r="P38" s="68" t="s">
        <v>795</v>
      </c>
      <c r="Q38" s="482" t="s">
        <v>776</v>
      </c>
      <c r="R38" s="486"/>
      <c r="S38" s="487"/>
      <c r="T38" s="506"/>
      <c r="U38" s="488"/>
      <c r="V38" s="482"/>
      <c r="W38" s="482"/>
    </row>
    <row r="39" spans="1:23" s="68" customFormat="1" ht="14.25" customHeight="1">
      <c r="A39" s="487" t="s">
        <v>2648</v>
      </c>
      <c r="B39" s="482" t="s">
        <v>302</v>
      </c>
      <c r="C39" s="482" t="s">
        <v>556</v>
      </c>
      <c r="D39" s="431" t="s">
        <v>2712</v>
      </c>
      <c r="E39" s="68" t="s">
        <v>1397</v>
      </c>
      <c r="F39" s="68" t="s">
        <v>556</v>
      </c>
      <c r="G39" s="68" t="s">
        <v>1749</v>
      </c>
      <c r="J39" s="68" t="s">
        <v>794</v>
      </c>
      <c r="K39" s="482" t="s">
        <v>794</v>
      </c>
      <c r="L39" s="482" t="s">
        <v>879</v>
      </c>
      <c r="M39" s="68" t="s">
        <v>791</v>
      </c>
      <c r="N39" s="68">
        <v>20.713259999999998</v>
      </c>
      <c r="O39" s="68">
        <v>93.014089999999996</v>
      </c>
      <c r="P39" s="68" t="s">
        <v>795</v>
      </c>
      <c r="Q39" s="68" t="s">
        <v>776</v>
      </c>
      <c r="R39" s="486">
        <v>116</v>
      </c>
      <c r="S39" s="400">
        <v>802</v>
      </c>
      <c r="T39" s="101"/>
      <c r="U39" s="488"/>
      <c r="V39" s="68" t="s">
        <v>556</v>
      </c>
      <c r="W39" s="482"/>
    </row>
    <row r="40" spans="1:23" s="68" customFormat="1" ht="14.25" customHeight="1">
      <c r="A40" s="400" t="s">
        <v>2648</v>
      </c>
      <c r="B40" s="175" t="s">
        <v>302</v>
      </c>
      <c r="C40" s="176" t="s">
        <v>554</v>
      </c>
      <c r="D40" s="485" t="s">
        <v>1656</v>
      </c>
      <c r="E40" s="171">
        <v>196973</v>
      </c>
      <c r="F40" s="171"/>
      <c r="G40" s="171"/>
      <c r="H40" s="171"/>
      <c r="I40" s="171"/>
      <c r="J40" s="171" t="s">
        <v>794</v>
      </c>
      <c r="K40" s="171" t="s">
        <v>794</v>
      </c>
      <c r="L40" s="171" t="s">
        <v>794</v>
      </c>
      <c r="M40" s="171" t="s">
        <v>294</v>
      </c>
      <c r="N40" s="171">
        <v>20.709970469999998</v>
      </c>
      <c r="O40" s="171">
        <v>93.015357969999997</v>
      </c>
      <c r="P40" s="171" t="s">
        <v>795</v>
      </c>
      <c r="Q40" s="171" t="s">
        <v>776</v>
      </c>
      <c r="R40" s="172"/>
      <c r="S40" s="170"/>
      <c r="T40" s="173"/>
      <c r="U40" s="174"/>
      <c r="V40" s="171"/>
      <c r="W40" s="486"/>
    </row>
    <row r="41" spans="1:23" s="68" customFormat="1" ht="14.25" customHeight="1">
      <c r="A41" s="400" t="s">
        <v>2648</v>
      </c>
      <c r="B41" s="167" t="s">
        <v>302</v>
      </c>
      <c r="C41" s="168" t="s">
        <v>607</v>
      </c>
      <c r="D41" s="485" t="s">
        <v>1656</v>
      </c>
      <c r="E41" s="163">
        <v>196883</v>
      </c>
      <c r="F41" s="163"/>
      <c r="G41" s="163"/>
      <c r="H41" s="163"/>
      <c r="I41" s="163"/>
      <c r="J41" s="68" t="s">
        <v>794</v>
      </c>
      <c r="K41" s="68" t="s">
        <v>794</v>
      </c>
      <c r="L41" s="396" t="s">
        <v>794</v>
      </c>
      <c r="M41" s="163" t="s">
        <v>1989</v>
      </c>
      <c r="N41" s="163">
        <v>20.803529739999998</v>
      </c>
      <c r="O41" s="163">
        <v>92.929466250000004</v>
      </c>
      <c r="P41" s="396" t="s">
        <v>795</v>
      </c>
      <c r="Q41" s="163"/>
      <c r="R41" s="164"/>
      <c r="S41" s="162"/>
      <c r="T41" s="165"/>
      <c r="U41" s="166"/>
      <c r="V41" s="163" t="s">
        <v>607</v>
      </c>
      <c r="W41" s="486"/>
    </row>
    <row r="42" spans="1:23" s="68" customFormat="1" ht="14.25" customHeight="1">
      <c r="A42" s="490" t="s">
        <v>2648</v>
      </c>
      <c r="B42" s="490" t="s">
        <v>302</v>
      </c>
      <c r="C42" s="491" t="s">
        <v>2755</v>
      </c>
      <c r="D42" s="485"/>
      <c r="E42" s="396"/>
      <c r="F42" s="396"/>
      <c r="G42" s="396"/>
      <c r="H42" s="396"/>
      <c r="I42" s="396"/>
      <c r="J42" s="396" t="s">
        <v>2652</v>
      </c>
      <c r="K42" s="396" t="s">
        <v>2622</v>
      </c>
      <c r="L42" s="396" t="s">
        <v>2622</v>
      </c>
      <c r="M42" s="396"/>
      <c r="N42" s="396"/>
      <c r="O42" s="396"/>
      <c r="P42" s="482" t="s">
        <v>1972</v>
      </c>
      <c r="Q42" s="396"/>
      <c r="R42" s="494"/>
      <c r="S42" s="400"/>
      <c r="T42" s="412">
        <v>43591</v>
      </c>
      <c r="U42" s="494"/>
      <c r="V42" s="396"/>
      <c r="W42" s="486"/>
    </row>
    <row r="43" spans="1:23" s="68" customFormat="1" ht="14.25" customHeight="1">
      <c r="A43" s="400" t="s">
        <v>2648</v>
      </c>
      <c r="B43" s="167" t="s">
        <v>302</v>
      </c>
      <c r="C43" s="168" t="s">
        <v>547</v>
      </c>
      <c r="D43" s="431" t="s">
        <v>2712</v>
      </c>
      <c r="E43" s="163" t="s">
        <v>1396</v>
      </c>
      <c r="F43" s="163" t="s">
        <v>552</v>
      </c>
      <c r="G43" s="163" t="s">
        <v>547</v>
      </c>
      <c r="H43" s="163"/>
      <c r="I43" s="163"/>
      <c r="J43" s="396" t="s">
        <v>794</v>
      </c>
      <c r="K43" s="396" t="s">
        <v>794</v>
      </c>
      <c r="L43" s="396" t="s">
        <v>879</v>
      </c>
      <c r="M43" s="396" t="s">
        <v>791</v>
      </c>
      <c r="N43" s="163">
        <v>93.009900000000002</v>
      </c>
      <c r="O43" s="163">
        <v>20.696819999999999</v>
      </c>
      <c r="P43" s="396" t="s">
        <v>795</v>
      </c>
      <c r="Q43" s="163" t="s">
        <v>776</v>
      </c>
      <c r="R43" s="399">
        <v>236</v>
      </c>
      <c r="S43" s="400">
        <v>1524</v>
      </c>
      <c r="T43" s="165"/>
      <c r="U43" s="166"/>
      <c r="V43" s="163" t="s">
        <v>924</v>
      </c>
      <c r="W43" s="486"/>
    </row>
    <row r="44" spans="1:23" s="68" customFormat="1" ht="14.25" customHeight="1">
      <c r="A44" s="487" t="s">
        <v>2648</v>
      </c>
      <c r="B44" s="490" t="s">
        <v>302</v>
      </c>
      <c r="C44" s="491" t="s">
        <v>2718</v>
      </c>
      <c r="D44" s="485"/>
      <c r="E44" s="68">
        <v>196906</v>
      </c>
      <c r="J44" s="68" t="s">
        <v>794</v>
      </c>
      <c r="K44" s="68" t="s">
        <v>794</v>
      </c>
      <c r="L44" s="68" t="s">
        <v>794</v>
      </c>
      <c r="N44" s="68">
        <v>20.680830001831101</v>
      </c>
      <c r="O44" s="68">
        <v>92.917633056640597</v>
      </c>
      <c r="P44" s="68" t="s">
        <v>795</v>
      </c>
      <c r="R44" s="494"/>
      <c r="S44" s="96"/>
      <c r="T44" s="101">
        <v>43591</v>
      </c>
      <c r="U44" s="494"/>
      <c r="W44" s="486"/>
    </row>
    <row r="45" spans="1:23" s="68" customFormat="1" ht="14.25" customHeight="1">
      <c r="A45" s="487" t="s">
        <v>2648</v>
      </c>
      <c r="B45" s="482" t="s">
        <v>302</v>
      </c>
      <c r="C45" s="482" t="s">
        <v>2221</v>
      </c>
      <c r="D45" s="431"/>
      <c r="E45" s="396">
        <v>196804</v>
      </c>
      <c r="F45" s="396"/>
      <c r="G45" s="396"/>
      <c r="H45" s="396"/>
      <c r="I45" s="396"/>
      <c r="J45" s="396" t="s">
        <v>794</v>
      </c>
      <c r="K45" s="396" t="s">
        <v>794</v>
      </c>
      <c r="L45" s="396" t="s">
        <v>794</v>
      </c>
      <c r="M45" s="396"/>
      <c r="N45" s="396">
        <v>20.896429059999999</v>
      </c>
      <c r="O45" s="396">
        <v>92.940193179999994</v>
      </c>
      <c r="P45" s="482" t="s">
        <v>795</v>
      </c>
      <c r="Q45" s="396"/>
      <c r="R45" s="486"/>
      <c r="S45" s="400"/>
      <c r="T45" s="412"/>
      <c r="U45" s="488"/>
      <c r="V45" s="396" t="s">
        <v>2213</v>
      </c>
      <c r="W45" s="482"/>
    </row>
    <row r="46" spans="1:23" s="68" customFormat="1" ht="14.25" customHeight="1">
      <c r="A46" s="400" t="s">
        <v>2648</v>
      </c>
      <c r="B46" s="396" t="s">
        <v>302</v>
      </c>
      <c r="C46" s="396" t="s">
        <v>2222</v>
      </c>
      <c r="D46" s="431"/>
      <c r="E46" s="396">
        <v>196816</v>
      </c>
      <c r="F46" s="396"/>
      <c r="G46" s="396"/>
      <c r="H46" s="396"/>
      <c r="I46" s="396"/>
      <c r="J46" s="482" t="s">
        <v>794</v>
      </c>
      <c r="K46" s="482" t="s">
        <v>794</v>
      </c>
      <c r="L46" s="482" t="s">
        <v>794</v>
      </c>
      <c r="M46" s="396"/>
      <c r="N46" s="396">
        <v>20.727590559999999</v>
      </c>
      <c r="O46" s="396">
        <v>92.969352720000003</v>
      </c>
      <c r="P46" s="396" t="s">
        <v>795</v>
      </c>
      <c r="Q46" s="396"/>
      <c r="R46" s="399"/>
      <c r="S46" s="400"/>
      <c r="T46" s="412"/>
      <c r="U46" s="401"/>
      <c r="V46" s="396" t="s">
        <v>2215</v>
      </c>
      <c r="W46" s="396"/>
    </row>
    <row r="47" spans="1:23" s="68" customFormat="1" ht="14.25" customHeight="1">
      <c r="A47" s="490" t="s">
        <v>2648</v>
      </c>
      <c r="B47" s="490" t="s">
        <v>302</v>
      </c>
      <c r="C47" s="491" t="s">
        <v>2805</v>
      </c>
      <c r="D47" s="485"/>
      <c r="J47" s="482" t="s">
        <v>2652</v>
      </c>
      <c r="K47" s="482" t="s">
        <v>2622</v>
      </c>
      <c r="L47" s="482" t="s">
        <v>2622</v>
      </c>
      <c r="P47" s="68" t="s">
        <v>1972</v>
      </c>
      <c r="R47" s="494"/>
      <c r="S47" s="400"/>
      <c r="T47" s="101">
        <v>43591</v>
      </c>
      <c r="U47" s="494"/>
      <c r="W47" s="486"/>
    </row>
    <row r="48" spans="1:23" s="68" customFormat="1" ht="14.25" customHeight="1">
      <c r="A48" s="400" t="s">
        <v>2648</v>
      </c>
      <c r="B48" s="396" t="s">
        <v>302</v>
      </c>
      <c r="C48" s="396" t="s">
        <v>2280</v>
      </c>
      <c r="D48" s="431"/>
      <c r="E48" s="396">
        <v>196938</v>
      </c>
      <c r="F48" s="396" t="s">
        <v>2276</v>
      </c>
      <c r="G48" s="396"/>
      <c r="H48" s="396"/>
      <c r="I48" s="396"/>
      <c r="J48" s="396" t="s">
        <v>794</v>
      </c>
      <c r="K48" s="396" t="s">
        <v>794</v>
      </c>
      <c r="L48" s="396" t="s">
        <v>794</v>
      </c>
      <c r="M48" s="396"/>
      <c r="N48" s="396">
        <v>20.640909189999999</v>
      </c>
      <c r="O48" s="396">
        <v>92.979751590000006</v>
      </c>
      <c r="P48" s="396" t="s">
        <v>795</v>
      </c>
      <c r="Q48" s="396" t="s">
        <v>2236</v>
      </c>
      <c r="R48" s="399"/>
      <c r="S48" s="400"/>
      <c r="T48" s="412">
        <v>43465</v>
      </c>
      <c r="U48" s="401" t="s">
        <v>2278</v>
      </c>
      <c r="V48" s="396" t="s">
        <v>2274</v>
      </c>
      <c r="W48" s="396"/>
    </row>
    <row r="49" spans="1:23" s="68" customFormat="1" ht="14.25" customHeight="1">
      <c r="A49" s="400" t="s">
        <v>2648</v>
      </c>
      <c r="B49" s="396" t="s">
        <v>302</v>
      </c>
      <c r="C49" s="396" t="s">
        <v>645</v>
      </c>
      <c r="D49" s="431" t="s">
        <v>2712</v>
      </c>
      <c r="E49" s="396" t="s">
        <v>1411</v>
      </c>
      <c r="F49" s="396" t="s">
        <v>1755</v>
      </c>
      <c r="G49" s="396" t="s">
        <v>1756</v>
      </c>
      <c r="H49" s="396"/>
      <c r="I49" s="396"/>
      <c r="J49" s="68" t="s">
        <v>794</v>
      </c>
      <c r="K49" s="68" t="s">
        <v>794</v>
      </c>
      <c r="L49" s="68" t="s">
        <v>817</v>
      </c>
      <c r="M49" s="396" t="s">
        <v>791</v>
      </c>
      <c r="N49" s="396">
        <v>20.886997999999998</v>
      </c>
      <c r="O49" s="396">
        <v>93.006497999999993</v>
      </c>
      <c r="P49" s="68" t="s">
        <v>795</v>
      </c>
      <c r="Q49" s="396" t="s">
        <v>776</v>
      </c>
      <c r="R49" s="399">
        <v>97</v>
      </c>
      <c r="S49" s="400">
        <v>557</v>
      </c>
      <c r="T49" s="412"/>
      <c r="U49" s="401"/>
      <c r="V49" s="396" t="s">
        <v>645</v>
      </c>
    </row>
    <row r="50" spans="1:23" s="68" customFormat="1" ht="14.25" customHeight="1">
      <c r="A50" s="490" t="s">
        <v>2648</v>
      </c>
      <c r="B50" s="490" t="s">
        <v>302</v>
      </c>
      <c r="C50" s="491" t="s">
        <v>2762</v>
      </c>
      <c r="D50" s="485"/>
      <c r="E50" s="68">
        <v>196865</v>
      </c>
      <c r="J50" s="68" t="s">
        <v>2652</v>
      </c>
      <c r="K50" s="68" t="s">
        <v>2622</v>
      </c>
      <c r="L50" s="68" t="s">
        <v>2622</v>
      </c>
      <c r="N50" s="68">
        <v>20.8122158050537</v>
      </c>
      <c r="O50" s="68">
        <v>93.061012268066406</v>
      </c>
      <c r="P50" s="68" t="s">
        <v>1972</v>
      </c>
      <c r="R50" s="494"/>
      <c r="S50" s="96"/>
      <c r="T50" s="101">
        <v>43591</v>
      </c>
      <c r="U50" s="494"/>
      <c r="W50" s="486"/>
    </row>
    <row r="51" spans="1:23" s="68" customFormat="1" ht="14.25" customHeight="1">
      <c r="A51" s="400" t="s">
        <v>2648</v>
      </c>
      <c r="B51" s="396" t="s">
        <v>302</v>
      </c>
      <c r="C51" s="396" t="s">
        <v>654</v>
      </c>
      <c r="D51" s="431" t="s">
        <v>1656</v>
      </c>
      <c r="E51" s="396">
        <v>196807</v>
      </c>
      <c r="F51" s="396"/>
      <c r="G51" s="396"/>
      <c r="H51" s="396"/>
      <c r="I51" s="396"/>
      <c r="J51" s="396" t="s">
        <v>794</v>
      </c>
      <c r="K51" s="396" t="s">
        <v>794</v>
      </c>
      <c r="L51" s="396" t="s">
        <v>794</v>
      </c>
      <c r="M51" s="396" t="s">
        <v>1989</v>
      </c>
      <c r="N51" s="396">
        <v>20.895059589999999</v>
      </c>
      <c r="O51" s="396">
        <v>92.90735626</v>
      </c>
      <c r="P51" s="396" t="s">
        <v>795</v>
      </c>
      <c r="Q51" s="396" t="s">
        <v>922</v>
      </c>
      <c r="R51" s="399"/>
      <c r="S51" s="400"/>
      <c r="T51" s="412">
        <v>43011</v>
      </c>
      <c r="U51" s="401" t="s">
        <v>923</v>
      </c>
      <c r="V51" s="396"/>
      <c r="W51" s="396"/>
    </row>
    <row r="52" spans="1:23" s="68" customFormat="1" ht="14.25" customHeight="1">
      <c r="A52" s="487" t="s">
        <v>2648</v>
      </c>
      <c r="B52" s="482" t="s">
        <v>302</v>
      </c>
      <c r="C52" s="482" t="s">
        <v>615</v>
      </c>
      <c r="D52" s="431" t="s">
        <v>1656</v>
      </c>
      <c r="E52" s="396">
        <v>196882</v>
      </c>
      <c r="J52" s="482" t="s">
        <v>794</v>
      </c>
      <c r="K52" s="482" t="s">
        <v>794</v>
      </c>
      <c r="L52" s="482" t="s">
        <v>794</v>
      </c>
      <c r="M52" s="68" t="s">
        <v>1989</v>
      </c>
      <c r="N52" s="68">
        <v>20.807970050000002</v>
      </c>
      <c r="O52" s="68">
        <v>92.929046630000002</v>
      </c>
      <c r="P52" s="68" t="s">
        <v>795</v>
      </c>
      <c r="Q52" s="68" t="s">
        <v>922</v>
      </c>
      <c r="R52" s="486"/>
      <c r="S52" s="400"/>
      <c r="T52" s="101">
        <v>43011</v>
      </c>
      <c r="U52" s="488" t="s">
        <v>923</v>
      </c>
      <c r="W52" s="482"/>
    </row>
    <row r="53" spans="1:23" s="68" customFormat="1" ht="14.25" customHeight="1">
      <c r="A53" s="487" t="s">
        <v>2648</v>
      </c>
      <c r="B53" s="482" t="s">
        <v>302</v>
      </c>
      <c r="C53" s="482" t="s">
        <v>697</v>
      </c>
      <c r="D53" s="431" t="s">
        <v>1656</v>
      </c>
      <c r="E53" s="68">
        <v>196875</v>
      </c>
      <c r="J53" s="68" t="s">
        <v>794</v>
      </c>
      <c r="K53" s="68" t="s">
        <v>794</v>
      </c>
      <c r="L53" s="68" t="s">
        <v>794</v>
      </c>
      <c r="M53" s="68" t="s">
        <v>294</v>
      </c>
      <c r="N53" s="68">
        <v>20.60802078</v>
      </c>
      <c r="O53" s="68">
        <v>93.035400390000007</v>
      </c>
      <c r="P53" s="482" t="s">
        <v>795</v>
      </c>
      <c r="Q53" s="68" t="s">
        <v>776</v>
      </c>
      <c r="R53" s="486"/>
      <c r="S53" s="400"/>
      <c r="T53" s="101"/>
      <c r="U53" s="488"/>
      <c r="W53" s="482"/>
    </row>
    <row r="54" spans="1:23" s="68" customFormat="1" ht="14.25" customHeight="1">
      <c r="A54" s="487" t="s">
        <v>2648</v>
      </c>
      <c r="B54" s="482" t="s">
        <v>302</v>
      </c>
      <c r="C54" s="482" t="s">
        <v>695</v>
      </c>
      <c r="D54" s="431" t="s">
        <v>1656</v>
      </c>
      <c r="E54" s="68">
        <v>196971</v>
      </c>
      <c r="J54" s="482" t="s">
        <v>794</v>
      </c>
      <c r="K54" s="482" t="s">
        <v>794</v>
      </c>
      <c r="L54" s="482" t="s">
        <v>794</v>
      </c>
      <c r="M54" s="68" t="s">
        <v>294</v>
      </c>
      <c r="N54" s="68">
        <v>20.716699599999998</v>
      </c>
      <c r="O54" s="68">
        <v>92.997863769999995</v>
      </c>
      <c r="P54" s="68" t="s">
        <v>795</v>
      </c>
      <c r="Q54" s="68" t="s">
        <v>776</v>
      </c>
      <c r="R54" s="486"/>
      <c r="S54" s="400"/>
      <c r="T54" s="101"/>
      <c r="U54" s="488"/>
      <c r="W54" s="482"/>
    </row>
    <row r="55" spans="1:23" s="68" customFormat="1" ht="14.25" customHeight="1">
      <c r="A55" s="487" t="s">
        <v>2648</v>
      </c>
      <c r="B55" s="482" t="s">
        <v>302</v>
      </c>
      <c r="C55" s="482" t="s">
        <v>916</v>
      </c>
      <c r="D55" s="431" t="s">
        <v>1656</v>
      </c>
      <c r="E55" s="482">
        <v>196926</v>
      </c>
      <c r="F55" s="482"/>
      <c r="G55" s="482"/>
      <c r="H55" s="482"/>
      <c r="I55" s="482"/>
      <c r="J55" s="482" t="s">
        <v>794</v>
      </c>
      <c r="K55" s="482" t="s">
        <v>794</v>
      </c>
      <c r="L55" s="482" t="s">
        <v>794</v>
      </c>
      <c r="M55" s="482" t="s">
        <v>294</v>
      </c>
      <c r="N55" s="482">
        <v>20.644800190000002</v>
      </c>
      <c r="O55" s="482">
        <v>92.945426940000004</v>
      </c>
      <c r="P55" s="482" t="s">
        <v>795</v>
      </c>
      <c r="Q55" s="482"/>
      <c r="R55" s="486"/>
      <c r="S55" s="487"/>
      <c r="T55" s="506"/>
      <c r="U55" s="488"/>
      <c r="V55" s="482" t="s">
        <v>916</v>
      </c>
      <c r="W55" s="482"/>
    </row>
    <row r="56" spans="1:23" s="68" customFormat="1" ht="14.25" customHeight="1">
      <c r="A56" s="487" t="s">
        <v>2648</v>
      </c>
      <c r="B56" s="482" t="s">
        <v>302</v>
      </c>
      <c r="C56" s="482" t="s">
        <v>610</v>
      </c>
      <c r="D56" s="431" t="s">
        <v>2712</v>
      </c>
      <c r="E56" s="482" t="s">
        <v>1403</v>
      </c>
      <c r="F56" s="482" t="s">
        <v>1752</v>
      </c>
      <c r="G56" s="482" t="s">
        <v>614</v>
      </c>
      <c r="H56" s="482"/>
      <c r="I56" s="482"/>
      <c r="J56" s="482" t="s">
        <v>794</v>
      </c>
      <c r="K56" s="482" t="s">
        <v>794</v>
      </c>
      <c r="L56" s="482" t="s">
        <v>879</v>
      </c>
      <c r="M56" s="482" t="s">
        <v>791</v>
      </c>
      <c r="N56" s="482">
        <v>20.805734000000001</v>
      </c>
      <c r="O56" s="482">
        <v>92.982675999999998</v>
      </c>
      <c r="P56" s="482" t="s">
        <v>795</v>
      </c>
      <c r="Q56" s="482" t="s">
        <v>776</v>
      </c>
      <c r="R56" s="486">
        <v>18</v>
      </c>
      <c r="S56" s="487">
        <v>157</v>
      </c>
      <c r="T56" s="506"/>
      <c r="U56" s="488"/>
      <c r="V56" s="482" t="s">
        <v>610</v>
      </c>
      <c r="W56" s="482"/>
    </row>
    <row r="57" spans="1:23" s="68" customFormat="1" ht="14.25" customHeight="1">
      <c r="A57" s="400" t="s">
        <v>2648</v>
      </c>
      <c r="B57" s="490" t="s">
        <v>302</v>
      </c>
      <c r="C57" s="491" t="s">
        <v>3169</v>
      </c>
      <c r="D57" s="485"/>
      <c r="E57" s="482">
        <v>196925</v>
      </c>
      <c r="F57" s="482" t="s">
        <v>3170</v>
      </c>
      <c r="G57" s="482"/>
      <c r="H57" s="482"/>
      <c r="I57" s="482"/>
      <c r="J57" s="482" t="s">
        <v>794</v>
      </c>
      <c r="K57" s="482" t="s">
        <v>794</v>
      </c>
      <c r="L57" s="482" t="s">
        <v>794</v>
      </c>
      <c r="M57" s="482"/>
      <c r="N57" s="482">
        <v>92.934356689453097</v>
      </c>
      <c r="O57" s="482">
        <v>20.657760620117202</v>
      </c>
      <c r="P57" s="482"/>
      <c r="Q57" s="482" t="s">
        <v>3163</v>
      </c>
      <c r="R57" s="494"/>
      <c r="S57" s="487"/>
      <c r="T57" s="506">
        <v>43935</v>
      </c>
      <c r="U57" s="494"/>
      <c r="V57" s="482"/>
      <c r="W57" s="486"/>
    </row>
    <row r="58" spans="1:23" s="68" customFormat="1" ht="14.25" customHeight="1">
      <c r="A58" s="487" t="s">
        <v>2648</v>
      </c>
      <c r="B58" s="482" t="s">
        <v>302</v>
      </c>
      <c r="C58" s="482" t="s">
        <v>596</v>
      </c>
      <c r="D58" s="431" t="s">
        <v>1656</v>
      </c>
      <c r="E58" s="68">
        <v>196887</v>
      </c>
      <c r="J58" s="482" t="s">
        <v>794</v>
      </c>
      <c r="K58" s="482" t="s">
        <v>794</v>
      </c>
      <c r="L58" s="482" t="s">
        <v>794</v>
      </c>
      <c r="M58" s="68" t="s">
        <v>1989</v>
      </c>
      <c r="N58" s="68">
        <v>20.785770419999999</v>
      </c>
      <c r="O58" s="68">
        <v>92.931426999999999</v>
      </c>
      <c r="P58" s="68" t="s">
        <v>795</v>
      </c>
      <c r="Q58" s="68" t="s">
        <v>922</v>
      </c>
      <c r="R58" s="486"/>
      <c r="S58" s="96"/>
      <c r="T58" s="101">
        <v>43011</v>
      </c>
      <c r="U58" s="488" t="s">
        <v>923</v>
      </c>
      <c r="W58" s="482"/>
    </row>
    <row r="59" spans="1:23" s="68" customFormat="1" ht="14.25" customHeight="1">
      <c r="A59" s="487" t="s">
        <v>2648</v>
      </c>
      <c r="B59" s="490" t="s">
        <v>302</v>
      </c>
      <c r="C59" s="491" t="s">
        <v>2940</v>
      </c>
      <c r="D59" s="485"/>
      <c r="E59" s="482"/>
      <c r="F59" s="482"/>
      <c r="G59" s="482"/>
      <c r="H59" s="482"/>
      <c r="I59" s="482"/>
      <c r="J59" s="68" t="s">
        <v>794</v>
      </c>
      <c r="K59" s="68" t="s">
        <v>794</v>
      </c>
      <c r="L59" s="68" t="s">
        <v>794</v>
      </c>
      <c r="M59" s="482"/>
      <c r="N59" s="482"/>
      <c r="O59" s="482"/>
      <c r="P59" s="68" t="s">
        <v>795</v>
      </c>
      <c r="Q59" s="482" t="s">
        <v>2961</v>
      </c>
      <c r="R59" s="494"/>
      <c r="S59" s="487"/>
      <c r="T59" s="506">
        <v>43768</v>
      </c>
      <c r="U59" s="494"/>
      <c r="V59" s="482"/>
      <c r="W59" s="486"/>
    </row>
    <row r="60" spans="1:23" s="68" customFormat="1" ht="14.25" customHeight="1">
      <c r="A60" s="490" t="s">
        <v>2648</v>
      </c>
      <c r="B60" s="490" t="s">
        <v>302</v>
      </c>
      <c r="C60" s="491" t="s">
        <v>2757</v>
      </c>
      <c r="D60" s="398"/>
      <c r="E60" s="482" t="s">
        <v>2785</v>
      </c>
      <c r="F60" s="482"/>
      <c r="G60" s="482"/>
      <c r="H60" s="482"/>
      <c r="I60" s="482"/>
      <c r="J60" s="482" t="s">
        <v>2652</v>
      </c>
      <c r="K60" s="482" t="s">
        <v>2622</v>
      </c>
      <c r="L60" s="482" t="s">
        <v>2622</v>
      </c>
      <c r="M60" s="482"/>
      <c r="N60" s="482"/>
      <c r="O60" s="482"/>
      <c r="P60" s="482" t="s">
        <v>1972</v>
      </c>
      <c r="Q60" s="482"/>
      <c r="R60" s="494"/>
      <c r="S60" s="487"/>
      <c r="T60" s="506">
        <v>43591</v>
      </c>
      <c r="U60" s="494"/>
      <c r="V60" s="482"/>
      <c r="W60" s="486"/>
    </row>
    <row r="61" spans="1:23" s="68" customFormat="1" ht="14.25" customHeight="1">
      <c r="A61" s="400" t="s">
        <v>2648</v>
      </c>
      <c r="B61" s="396" t="s">
        <v>302</v>
      </c>
      <c r="C61" s="396" t="s">
        <v>555</v>
      </c>
      <c r="D61" s="431" t="s">
        <v>1656</v>
      </c>
      <c r="E61" s="68">
        <v>196944</v>
      </c>
      <c r="F61" s="68" t="s">
        <v>552</v>
      </c>
      <c r="J61" s="68" t="s">
        <v>794</v>
      </c>
      <c r="K61" s="68" t="s">
        <v>794</v>
      </c>
      <c r="L61" s="68" t="s">
        <v>794</v>
      </c>
      <c r="M61" s="68" t="s">
        <v>294</v>
      </c>
      <c r="N61" s="68">
        <v>20.71134949</v>
      </c>
      <c r="O61" s="396">
        <v>92.980506899999995</v>
      </c>
      <c r="P61" s="68" t="s">
        <v>795</v>
      </c>
      <c r="Q61" s="68" t="s">
        <v>922</v>
      </c>
      <c r="R61" s="399"/>
      <c r="S61" s="400"/>
      <c r="T61" s="101">
        <v>43011</v>
      </c>
      <c r="U61" s="97" t="s">
        <v>923</v>
      </c>
    </row>
    <row r="62" spans="1:23" s="68" customFormat="1" ht="14.25" customHeight="1">
      <c r="A62" s="490" t="s">
        <v>2648</v>
      </c>
      <c r="B62" s="490" t="s">
        <v>302</v>
      </c>
      <c r="C62" s="491" t="s">
        <v>2754</v>
      </c>
      <c r="D62" s="485"/>
      <c r="E62" s="68">
        <v>220632</v>
      </c>
      <c r="J62" s="68" t="s">
        <v>2652</v>
      </c>
      <c r="K62" s="68" t="s">
        <v>2622</v>
      </c>
      <c r="L62" s="68" t="s">
        <v>2622</v>
      </c>
      <c r="N62" s="68">
        <v>20.746028900146499</v>
      </c>
      <c r="O62" s="68">
        <v>92.839714050292997</v>
      </c>
      <c r="P62" s="482" t="s">
        <v>1972</v>
      </c>
      <c r="R62" s="494"/>
      <c r="S62" s="400"/>
      <c r="T62" s="101">
        <v>43591</v>
      </c>
      <c r="U62" s="494"/>
      <c r="W62" s="486"/>
    </row>
    <row r="63" spans="1:23" s="68" customFormat="1" ht="14.25" customHeight="1">
      <c r="A63" s="400" t="s">
        <v>2648</v>
      </c>
      <c r="B63" s="175" t="s">
        <v>302</v>
      </c>
      <c r="C63" s="176" t="s">
        <v>691</v>
      </c>
      <c r="D63" s="398" t="s">
        <v>1656</v>
      </c>
      <c r="E63" s="171">
        <v>196884</v>
      </c>
      <c r="F63" s="171"/>
      <c r="G63" s="171"/>
      <c r="H63" s="171"/>
      <c r="I63" s="171"/>
      <c r="J63" s="482" t="s">
        <v>794</v>
      </c>
      <c r="K63" s="482" t="s">
        <v>794</v>
      </c>
      <c r="L63" s="482" t="s">
        <v>794</v>
      </c>
      <c r="M63" s="171" t="s">
        <v>294</v>
      </c>
      <c r="N63" s="171">
        <v>20.786739350000001</v>
      </c>
      <c r="O63" s="171">
        <v>92.944313050000005</v>
      </c>
      <c r="P63" s="482" t="s">
        <v>795</v>
      </c>
      <c r="Q63" s="171" t="s">
        <v>776</v>
      </c>
      <c r="R63" s="172"/>
      <c r="S63" s="170"/>
      <c r="T63" s="173"/>
      <c r="U63" s="174"/>
      <c r="V63" s="171"/>
      <c r="W63" s="399"/>
    </row>
    <row r="64" spans="1:23" s="68" customFormat="1" ht="14.25" customHeight="1">
      <c r="A64" s="400" t="s">
        <v>2648</v>
      </c>
      <c r="B64" s="167" t="s">
        <v>302</v>
      </c>
      <c r="C64" s="168" t="s">
        <v>2223</v>
      </c>
      <c r="D64" s="485"/>
      <c r="E64" s="163">
        <v>196813</v>
      </c>
      <c r="F64" s="163" t="s">
        <v>2223</v>
      </c>
      <c r="G64" s="163"/>
      <c r="H64" s="163"/>
      <c r="I64" s="163"/>
      <c r="J64" s="163" t="s">
        <v>794</v>
      </c>
      <c r="K64" s="163" t="s">
        <v>794</v>
      </c>
      <c r="L64" s="163" t="s">
        <v>794</v>
      </c>
      <c r="M64" s="163"/>
      <c r="N64" s="163">
        <v>20.883239750000001</v>
      </c>
      <c r="O64" s="163">
        <v>92.936859130000002</v>
      </c>
      <c r="P64" s="163" t="s">
        <v>795</v>
      </c>
      <c r="Q64" s="163"/>
      <c r="R64" s="164"/>
      <c r="S64" s="162"/>
      <c r="T64" s="165"/>
      <c r="U64" s="166"/>
      <c r="V64" s="163" t="s">
        <v>2216</v>
      </c>
      <c r="W64" s="486"/>
    </row>
    <row r="65" spans="1:23" s="68" customFormat="1" ht="14.25" customHeight="1">
      <c r="A65" s="400" t="s">
        <v>2648</v>
      </c>
      <c r="B65" s="482" t="s">
        <v>302</v>
      </c>
      <c r="C65" s="482" t="s">
        <v>616</v>
      </c>
      <c r="D65" s="431" t="s">
        <v>1656</v>
      </c>
      <c r="E65" s="489">
        <v>196881</v>
      </c>
      <c r="F65" s="489"/>
      <c r="J65" s="482" t="s">
        <v>794</v>
      </c>
      <c r="K65" s="68" t="s">
        <v>794</v>
      </c>
      <c r="L65" s="482" t="s">
        <v>794</v>
      </c>
      <c r="M65" s="68" t="s">
        <v>1989</v>
      </c>
      <c r="N65" s="68">
        <v>20.809240339999999</v>
      </c>
      <c r="O65" s="68">
        <v>92.923919679999997</v>
      </c>
      <c r="P65" s="68" t="s">
        <v>795</v>
      </c>
      <c r="Q65" s="68" t="s">
        <v>922</v>
      </c>
      <c r="R65" s="486"/>
      <c r="S65" s="400"/>
      <c r="T65" s="101">
        <v>43011</v>
      </c>
      <c r="U65" s="97" t="s">
        <v>923</v>
      </c>
      <c r="W65" s="396"/>
    </row>
    <row r="66" spans="1:23" s="68" customFormat="1" ht="14.25" customHeight="1">
      <c r="A66" s="487" t="s">
        <v>2648</v>
      </c>
      <c r="B66" s="482" t="s">
        <v>302</v>
      </c>
      <c r="C66" s="482" t="s">
        <v>939</v>
      </c>
      <c r="D66" s="431" t="s">
        <v>2712</v>
      </c>
      <c r="E66" s="396" t="s">
        <v>1410</v>
      </c>
      <c r="F66" s="396" t="s">
        <v>1754</v>
      </c>
      <c r="G66" s="396" t="s">
        <v>940</v>
      </c>
      <c r="H66" s="396" t="s">
        <v>40</v>
      </c>
      <c r="I66" s="396"/>
      <c r="J66" s="482" t="s">
        <v>42</v>
      </c>
      <c r="K66" s="482" t="s">
        <v>42</v>
      </c>
      <c r="L66" s="482" t="s">
        <v>793</v>
      </c>
      <c r="M66" s="68" t="s">
        <v>791</v>
      </c>
      <c r="N66" s="396">
        <v>20.865687000000001</v>
      </c>
      <c r="O66" s="396">
        <v>92.965980999999999</v>
      </c>
      <c r="P66" s="68" t="s">
        <v>757</v>
      </c>
      <c r="Q66" s="68" t="s">
        <v>776</v>
      </c>
      <c r="R66" s="486">
        <v>85</v>
      </c>
      <c r="S66" s="96">
        <v>546</v>
      </c>
      <c r="T66" s="101"/>
      <c r="U66" s="488"/>
      <c r="V66" s="68" t="s">
        <v>940</v>
      </c>
      <c r="W66" s="482"/>
    </row>
    <row r="67" spans="1:23" s="68" customFormat="1" ht="14.25" customHeight="1">
      <c r="A67" s="400" t="s">
        <v>2648</v>
      </c>
      <c r="B67" s="490" t="s">
        <v>302</v>
      </c>
      <c r="C67" s="491" t="s">
        <v>2947</v>
      </c>
      <c r="D67" s="398"/>
      <c r="E67" s="482"/>
      <c r="F67" s="482"/>
      <c r="G67" s="482"/>
      <c r="H67" s="482"/>
      <c r="I67" s="482"/>
      <c r="J67" s="68" t="s">
        <v>794</v>
      </c>
      <c r="K67" s="482" t="s">
        <v>794</v>
      </c>
      <c r="L67" s="396" t="s">
        <v>794</v>
      </c>
      <c r="M67" s="482"/>
      <c r="N67" s="482"/>
      <c r="O67" s="482"/>
      <c r="P67" s="68" t="s">
        <v>795</v>
      </c>
      <c r="Q67" s="482" t="s">
        <v>2961</v>
      </c>
      <c r="R67" s="494"/>
      <c r="S67" s="487"/>
      <c r="T67" s="506">
        <v>43768</v>
      </c>
      <c r="U67" s="494"/>
      <c r="V67" s="482"/>
      <c r="W67" s="486"/>
    </row>
    <row r="68" spans="1:23" s="68" customFormat="1" ht="14.25" customHeight="1">
      <c r="A68" s="400" t="s">
        <v>2648</v>
      </c>
      <c r="B68" s="154" t="s">
        <v>302</v>
      </c>
      <c r="C68" s="154" t="s">
        <v>536</v>
      </c>
      <c r="D68" s="485" t="s">
        <v>1656</v>
      </c>
      <c r="E68" s="150">
        <v>196930</v>
      </c>
      <c r="F68" s="150"/>
      <c r="G68" s="150"/>
      <c r="H68" s="150"/>
      <c r="I68" s="150"/>
      <c r="J68" s="68" t="s">
        <v>794</v>
      </c>
      <c r="K68" s="68" t="s">
        <v>794</v>
      </c>
      <c r="L68" s="68" t="s">
        <v>794</v>
      </c>
      <c r="M68" s="150" t="s">
        <v>1988</v>
      </c>
      <c r="N68" s="150">
        <v>20.681715010000001</v>
      </c>
      <c r="O68" s="150">
        <v>92.94140625</v>
      </c>
      <c r="P68" s="68" t="s">
        <v>795</v>
      </c>
      <c r="Q68" s="150" t="s">
        <v>922</v>
      </c>
      <c r="R68" s="151"/>
      <c r="S68" s="149"/>
      <c r="T68" s="152">
        <v>43011</v>
      </c>
      <c r="U68" s="153" t="s">
        <v>923</v>
      </c>
      <c r="V68" s="150"/>
    </row>
    <row r="69" spans="1:23" s="68" customFormat="1" ht="14.25" customHeight="1">
      <c r="A69" s="400" t="s">
        <v>2648</v>
      </c>
      <c r="B69" s="482" t="s">
        <v>302</v>
      </c>
      <c r="C69" s="482" t="s">
        <v>656</v>
      </c>
      <c r="D69" s="431" t="s">
        <v>1656</v>
      </c>
      <c r="E69" s="484">
        <v>196787</v>
      </c>
      <c r="F69" s="484"/>
      <c r="G69" s="396"/>
      <c r="H69" s="396"/>
      <c r="I69" s="396"/>
      <c r="J69" s="482" t="s">
        <v>794</v>
      </c>
      <c r="K69" s="482" t="s">
        <v>794</v>
      </c>
      <c r="L69" s="482" t="s">
        <v>794</v>
      </c>
      <c r="M69" s="396" t="s">
        <v>791</v>
      </c>
      <c r="N69" s="396">
        <v>20.90377045</v>
      </c>
      <c r="O69" s="396">
        <v>93.004432679999994</v>
      </c>
      <c r="P69" s="396" t="s">
        <v>795</v>
      </c>
      <c r="Q69" s="396" t="s">
        <v>776</v>
      </c>
      <c r="R69" s="486"/>
      <c r="S69" s="400"/>
      <c r="T69" s="412"/>
      <c r="U69" s="401"/>
      <c r="V69" s="396" t="s">
        <v>656</v>
      </c>
      <c r="W69" s="396"/>
    </row>
    <row r="70" spans="1:23" s="68" customFormat="1" ht="14.25" customHeight="1">
      <c r="A70" s="490" t="s">
        <v>2648</v>
      </c>
      <c r="B70" s="490" t="s">
        <v>302</v>
      </c>
      <c r="C70" s="491" t="s">
        <v>2758</v>
      </c>
      <c r="D70" s="485"/>
      <c r="E70" s="396" t="s">
        <v>2786</v>
      </c>
      <c r="F70" s="396"/>
      <c r="G70" s="396"/>
      <c r="H70" s="396"/>
      <c r="I70" s="396"/>
      <c r="J70" s="396" t="s">
        <v>2652</v>
      </c>
      <c r="K70" s="396" t="s">
        <v>2622</v>
      </c>
      <c r="L70" s="396" t="s">
        <v>2622</v>
      </c>
      <c r="M70" s="396"/>
      <c r="N70" s="482"/>
      <c r="O70" s="482"/>
      <c r="P70" s="396" t="s">
        <v>1972</v>
      </c>
      <c r="Q70" s="396"/>
      <c r="R70" s="494"/>
      <c r="S70" s="400"/>
      <c r="T70" s="412">
        <v>43591</v>
      </c>
      <c r="U70" s="494"/>
      <c r="V70" s="396"/>
      <c r="W70" s="486"/>
    </row>
    <row r="71" spans="1:23" s="68" customFormat="1" ht="14.25" customHeight="1">
      <c r="A71" s="400" t="s">
        <v>2648</v>
      </c>
      <c r="B71" s="167" t="s">
        <v>302</v>
      </c>
      <c r="C71" s="168" t="s">
        <v>333</v>
      </c>
      <c r="D71" s="485" t="s">
        <v>1656</v>
      </c>
      <c r="E71" s="163"/>
      <c r="F71" s="163"/>
      <c r="G71" s="163"/>
      <c r="H71" s="163"/>
      <c r="I71" s="163"/>
      <c r="J71" s="482" t="s">
        <v>794</v>
      </c>
      <c r="K71" s="163" t="s">
        <v>794</v>
      </c>
      <c r="L71" s="482" t="s">
        <v>794</v>
      </c>
      <c r="M71" s="163" t="s">
        <v>1989</v>
      </c>
      <c r="N71" s="163"/>
      <c r="O71" s="163"/>
      <c r="P71" s="68" t="s">
        <v>795</v>
      </c>
      <c r="Q71" s="163" t="s">
        <v>922</v>
      </c>
      <c r="R71" s="164"/>
      <c r="S71" s="162"/>
      <c r="T71" s="165">
        <v>43011</v>
      </c>
      <c r="U71" s="166" t="s">
        <v>923</v>
      </c>
      <c r="V71" s="163"/>
      <c r="W71" s="486"/>
    </row>
    <row r="72" spans="1:23" s="68" customFormat="1" ht="14.25" customHeight="1">
      <c r="A72" s="400" t="s">
        <v>2648</v>
      </c>
      <c r="B72" s="482" t="s">
        <v>302</v>
      </c>
      <c r="C72" s="482" t="s">
        <v>1130</v>
      </c>
      <c r="D72" s="431" t="s">
        <v>1656</v>
      </c>
      <c r="E72" s="396">
        <v>196759</v>
      </c>
      <c r="F72" s="396"/>
      <c r="G72" s="396"/>
      <c r="H72" s="396"/>
      <c r="I72" s="396"/>
      <c r="J72" s="68" t="s">
        <v>794</v>
      </c>
      <c r="K72" s="68" t="s">
        <v>794</v>
      </c>
      <c r="L72" s="396" t="s">
        <v>794</v>
      </c>
      <c r="M72" s="396" t="s">
        <v>1989</v>
      </c>
      <c r="N72" s="482">
        <v>0</v>
      </c>
      <c r="O72" s="482">
        <v>0</v>
      </c>
      <c r="P72" s="396" t="s">
        <v>795</v>
      </c>
      <c r="Q72" s="396"/>
      <c r="R72" s="486"/>
      <c r="S72" s="400"/>
      <c r="T72" s="412"/>
      <c r="U72" s="401"/>
      <c r="V72" s="396" t="s">
        <v>1130</v>
      </c>
      <c r="W72" s="396"/>
    </row>
    <row r="73" spans="1:23" s="68" customFormat="1" ht="14.25" customHeight="1">
      <c r="A73" s="400" t="s">
        <v>2648</v>
      </c>
      <c r="B73" s="490" t="s">
        <v>302</v>
      </c>
      <c r="C73" s="491" t="s">
        <v>1987</v>
      </c>
      <c r="D73" s="485" t="s">
        <v>1656</v>
      </c>
      <c r="E73" s="523">
        <v>196821</v>
      </c>
      <c r="F73" s="512" t="s">
        <v>2911</v>
      </c>
      <c r="J73" s="68" t="s">
        <v>794</v>
      </c>
      <c r="K73" s="68" t="s">
        <v>794</v>
      </c>
      <c r="L73" s="68" t="s">
        <v>794</v>
      </c>
      <c r="M73" s="68" t="s">
        <v>294</v>
      </c>
      <c r="N73" s="68">
        <v>20.879186630248999</v>
      </c>
      <c r="O73" s="68">
        <v>92.938163757324205</v>
      </c>
      <c r="P73" s="68" t="s">
        <v>795</v>
      </c>
      <c r="Q73" s="68" t="s">
        <v>922</v>
      </c>
      <c r="R73" s="494"/>
      <c r="S73" s="487"/>
      <c r="T73" s="101">
        <v>43011</v>
      </c>
      <c r="U73" s="97" t="s">
        <v>923</v>
      </c>
      <c r="W73" s="396"/>
    </row>
    <row r="74" spans="1:23" s="68" customFormat="1" ht="14.25" customHeight="1">
      <c r="A74" s="400" t="s">
        <v>2648</v>
      </c>
      <c r="B74" s="490" t="s">
        <v>302</v>
      </c>
      <c r="C74" s="491" t="s">
        <v>336</v>
      </c>
      <c r="D74" s="485" t="s">
        <v>1656</v>
      </c>
      <c r="E74" s="68">
        <v>196815</v>
      </c>
      <c r="J74" s="68" t="s">
        <v>794</v>
      </c>
      <c r="K74" s="68" t="s">
        <v>794</v>
      </c>
      <c r="L74" s="68" t="s">
        <v>794</v>
      </c>
      <c r="M74" s="68" t="s">
        <v>1986</v>
      </c>
      <c r="N74" s="482">
        <v>0</v>
      </c>
      <c r="O74" s="482">
        <v>0</v>
      </c>
      <c r="P74" s="68" t="s">
        <v>795</v>
      </c>
      <c r="Q74" s="68" t="s">
        <v>922</v>
      </c>
      <c r="R74" s="494"/>
      <c r="S74" s="96"/>
      <c r="T74" s="101">
        <v>43011</v>
      </c>
      <c r="U74" s="97" t="s">
        <v>923</v>
      </c>
      <c r="W74" s="396"/>
    </row>
    <row r="75" spans="1:23" s="68" customFormat="1" ht="14.25" customHeight="1">
      <c r="A75" s="400" t="s">
        <v>2648</v>
      </c>
      <c r="B75" s="490" t="s">
        <v>302</v>
      </c>
      <c r="C75" s="491" t="s">
        <v>2227</v>
      </c>
      <c r="D75" s="485"/>
      <c r="E75" s="68">
        <v>196889</v>
      </c>
      <c r="J75" s="68" t="s">
        <v>794</v>
      </c>
      <c r="K75" s="68" t="s">
        <v>794</v>
      </c>
      <c r="L75" s="68" t="s">
        <v>794</v>
      </c>
      <c r="N75" s="482">
        <v>20.785549159999999</v>
      </c>
      <c r="O75" s="482">
        <v>92.971076969999999</v>
      </c>
      <c r="P75" s="68" t="s">
        <v>795</v>
      </c>
      <c r="R75" s="494"/>
      <c r="S75" s="400"/>
      <c r="T75" s="101"/>
      <c r="U75" s="97"/>
      <c r="V75" s="68" t="s">
        <v>2220</v>
      </c>
    </row>
    <row r="76" spans="1:23" s="68" customFormat="1" ht="14.25" customHeight="1">
      <c r="A76" s="400" t="s">
        <v>2648</v>
      </c>
      <c r="B76" s="490" t="s">
        <v>302</v>
      </c>
      <c r="C76" s="491" t="s">
        <v>2281</v>
      </c>
      <c r="D76" s="485"/>
      <c r="E76" s="396">
        <v>196939</v>
      </c>
      <c r="F76" s="396" t="s">
        <v>2276</v>
      </c>
      <c r="G76" s="396"/>
      <c r="H76" s="396"/>
      <c r="I76" s="396"/>
      <c r="J76" s="482" t="s">
        <v>794</v>
      </c>
      <c r="K76" s="482" t="s">
        <v>794</v>
      </c>
      <c r="L76" s="482" t="s">
        <v>794</v>
      </c>
      <c r="M76" s="396"/>
      <c r="N76" s="396">
        <v>20.648920059999998</v>
      </c>
      <c r="O76" s="482">
        <v>92.967460630000005</v>
      </c>
      <c r="P76" s="396" t="s">
        <v>795</v>
      </c>
      <c r="Q76" s="396" t="s">
        <v>2236</v>
      </c>
      <c r="R76" s="494"/>
      <c r="S76" s="400"/>
      <c r="T76" s="412">
        <v>43465</v>
      </c>
      <c r="U76" s="401" t="s">
        <v>2278</v>
      </c>
      <c r="V76" s="396" t="s">
        <v>2275</v>
      </c>
      <c r="W76" s="396"/>
    </row>
    <row r="77" spans="1:23" s="68" customFormat="1" ht="14.25" customHeight="1">
      <c r="A77" s="400" t="s">
        <v>2648</v>
      </c>
      <c r="B77" s="490" t="s">
        <v>302</v>
      </c>
      <c r="C77" s="491" t="s">
        <v>653</v>
      </c>
      <c r="D77" s="485" t="s">
        <v>1656</v>
      </c>
      <c r="E77" s="68">
        <v>196814</v>
      </c>
      <c r="J77" s="68" t="s">
        <v>794</v>
      </c>
      <c r="K77" s="396" t="s">
        <v>794</v>
      </c>
      <c r="L77" s="396" t="s">
        <v>794</v>
      </c>
      <c r="M77" s="68" t="s">
        <v>294</v>
      </c>
      <c r="N77" s="68">
        <v>20.894269940000001</v>
      </c>
      <c r="O77" s="68">
        <v>92.920730590000005</v>
      </c>
      <c r="P77" s="68" t="s">
        <v>795</v>
      </c>
      <c r="Q77" s="68" t="s">
        <v>922</v>
      </c>
      <c r="R77" s="494"/>
      <c r="S77" s="487"/>
      <c r="T77" s="101">
        <v>43011</v>
      </c>
      <c r="U77" s="97" t="s">
        <v>923</v>
      </c>
      <c r="W77" s="396"/>
    </row>
    <row r="78" spans="1:23" s="68" customFormat="1" ht="14.25" customHeight="1">
      <c r="A78" s="400" t="s">
        <v>2648</v>
      </c>
      <c r="B78" s="482" t="s">
        <v>302</v>
      </c>
      <c r="C78" s="482" t="s">
        <v>2214</v>
      </c>
      <c r="D78" s="431"/>
      <c r="J78" s="68" t="s">
        <v>794</v>
      </c>
      <c r="K78" s="396" t="s">
        <v>794</v>
      </c>
      <c r="L78" s="396" t="s">
        <v>794</v>
      </c>
      <c r="N78" s="482">
        <v>20.889249800000002</v>
      </c>
      <c r="O78" s="482">
        <v>92.939201350000005</v>
      </c>
      <c r="P78" s="68" t="s">
        <v>795</v>
      </c>
      <c r="R78" s="399"/>
      <c r="S78" s="400"/>
      <c r="T78" s="101"/>
      <c r="U78" s="97"/>
      <c r="V78" s="68" t="s">
        <v>2214</v>
      </c>
    </row>
    <row r="79" spans="1:23" s="68" customFormat="1" ht="14.25" customHeight="1">
      <c r="A79" s="400" t="s">
        <v>2648</v>
      </c>
      <c r="B79" s="482" t="s">
        <v>302</v>
      </c>
      <c r="C79" s="482" t="s">
        <v>694</v>
      </c>
      <c r="D79" s="431" t="s">
        <v>1656</v>
      </c>
      <c r="E79" s="68">
        <v>196929</v>
      </c>
      <c r="J79" s="68" t="s">
        <v>794</v>
      </c>
      <c r="K79" s="68" t="s">
        <v>794</v>
      </c>
      <c r="L79" s="68" t="s">
        <v>794</v>
      </c>
      <c r="M79" s="68" t="s">
        <v>294</v>
      </c>
      <c r="N79" s="498">
        <v>20.67705917</v>
      </c>
      <c r="O79" s="498">
        <v>92.953247070000003</v>
      </c>
      <c r="P79" s="68" t="s">
        <v>795</v>
      </c>
      <c r="Q79" s="68" t="s">
        <v>776</v>
      </c>
      <c r="R79" s="486"/>
      <c r="S79" s="96"/>
      <c r="T79" s="101"/>
      <c r="U79" s="97"/>
    </row>
    <row r="80" spans="1:23" s="68" customFormat="1" ht="14.25" customHeight="1">
      <c r="A80" s="400" t="s">
        <v>2648</v>
      </c>
      <c r="B80" s="482" t="s">
        <v>302</v>
      </c>
      <c r="C80" s="482" t="s">
        <v>693</v>
      </c>
      <c r="D80" s="431" t="s">
        <v>1656</v>
      </c>
      <c r="E80" s="68">
        <v>196927</v>
      </c>
      <c r="F80" s="68" t="s">
        <v>693</v>
      </c>
      <c r="J80" s="482" t="s">
        <v>794</v>
      </c>
      <c r="K80" s="482" t="s">
        <v>794</v>
      </c>
      <c r="L80" s="482" t="s">
        <v>794</v>
      </c>
      <c r="M80" s="68" t="s">
        <v>294</v>
      </c>
      <c r="N80" s="68">
        <v>20.697889329999999</v>
      </c>
      <c r="O80" s="482">
        <v>92.951232910000002</v>
      </c>
      <c r="P80" s="68" t="s">
        <v>795</v>
      </c>
      <c r="Q80" s="68" t="s">
        <v>776</v>
      </c>
      <c r="R80" s="486"/>
      <c r="S80" s="96"/>
      <c r="T80" s="101">
        <v>43465</v>
      </c>
      <c r="U80" s="97" t="s">
        <v>2278</v>
      </c>
      <c r="V80" s="68" t="s">
        <v>2277</v>
      </c>
      <c r="W80" s="396"/>
    </row>
    <row r="81" spans="1:23" s="68" customFormat="1" ht="14.25" customHeight="1">
      <c r="A81" s="400" t="s">
        <v>2648</v>
      </c>
      <c r="B81" s="484" t="s">
        <v>302</v>
      </c>
      <c r="C81" s="484" t="s">
        <v>2224</v>
      </c>
      <c r="D81" s="431"/>
      <c r="E81" s="68">
        <v>220647</v>
      </c>
      <c r="J81" s="482" t="s">
        <v>794</v>
      </c>
      <c r="K81" s="68" t="s">
        <v>794</v>
      </c>
      <c r="L81" s="482" t="s">
        <v>794</v>
      </c>
      <c r="N81" s="482">
        <v>20.754142761230501</v>
      </c>
      <c r="O81" s="482">
        <v>92.960021972656307</v>
      </c>
      <c r="P81" s="68" t="s">
        <v>795</v>
      </c>
      <c r="R81" s="490"/>
      <c r="S81" s="491"/>
      <c r="T81" s="101"/>
      <c r="U81" s="97"/>
      <c r="V81" s="68" t="s">
        <v>2217</v>
      </c>
    </row>
    <row r="82" spans="1:23" s="68" customFormat="1" ht="14.25" customHeight="1">
      <c r="A82" s="400" t="s">
        <v>2648</v>
      </c>
      <c r="B82" s="484" t="s">
        <v>302</v>
      </c>
      <c r="C82" s="484" t="s">
        <v>2225</v>
      </c>
      <c r="D82" s="431"/>
      <c r="E82" s="68">
        <v>196755</v>
      </c>
      <c r="J82" s="482" t="s">
        <v>794</v>
      </c>
      <c r="K82" s="68" t="s">
        <v>794</v>
      </c>
      <c r="L82" s="482" t="s">
        <v>794</v>
      </c>
      <c r="N82" s="482">
        <v>20.932960510000001</v>
      </c>
      <c r="O82" s="482">
        <v>92.930267330000007</v>
      </c>
      <c r="P82" s="68" t="s">
        <v>795</v>
      </c>
      <c r="R82" s="486"/>
      <c r="S82" s="400"/>
      <c r="T82" s="101"/>
      <c r="U82" s="97"/>
      <c r="V82" s="68" t="s">
        <v>2218</v>
      </c>
    </row>
    <row r="83" spans="1:23" s="68" customFormat="1" ht="14.25" customHeight="1">
      <c r="A83" s="400" t="s">
        <v>2648</v>
      </c>
      <c r="B83" s="403" t="s">
        <v>302</v>
      </c>
      <c r="C83" s="404" t="s">
        <v>343</v>
      </c>
      <c r="D83" s="485" t="s">
        <v>1656</v>
      </c>
      <c r="J83" s="68" t="s">
        <v>794</v>
      </c>
      <c r="K83" s="68" t="s">
        <v>794</v>
      </c>
      <c r="L83" s="68" t="s">
        <v>794</v>
      </c>
      <c r="M83" s="68" t="s">
        <v>294</v>
      </c>
      <c r="P83" s="482" t="s">
        <v>795</v>
      </c>
      <c r="Q83" s="68" t="s">
        <v>776</v>
      </c>
      <c r="R83" s="494"/>
      <c r="S83" s="400"/>
      <c r="T83" s="101"/>
      <c r="U83" s="488"/>
      <c r="W83" s="482"/>
    </row>
    <row r="84" spans="1:23" s="68" customFormat="1" ht="14.25" customHeight="1">
      <c r="A84" s="400" t="s">
        <v>2648</v>
      </c>
      <c r="B84" s="490" t="s">
        <v>302</v>
      </c>
      <c r="C84" s="491" t="s">
        <v>630</v>
      </c>
      <c r="D84" s="485" t="s">
        <v>1656</v>
      </c>
      <c r="E84" s="68">
        <v>196880</v>
      </c>
      <c r="F84" s="489"/>
      <c r="J84" s="68" t="s">
        <v>794</v>
      </c>
      <c r="K84" s="68" t="s">
        <v>794</v>
      </c>
      <c r="L84" s="68" t="s">
        <v>794</v>
      </c>
      <c r="M84" s="68" t="s">
        <v>1989</v>
      </c>
      <c r="N84" s="68">
        <v>20.831729889999998</v>
      </c>
      <c r="O84" s="484">
        <v>92.919639590000003</v>
      </c>
      <c r="P84" s="68" t="s">
        <v>795</v>
      </c>
      <c r="Q84" s="68" t="s">
        <v>922</v>
      </c>
      <c r="R84" s="494"/>
      <c r="S84" s="400"/>
      <c r="T84" s="101">
        <v>43011</v>
      </c>
      <c r="U84" s="97" t="s">
        <v>923</v>
      </c>
      <c r="W84" s="396"/>
    </row>
    <row r="85" spans="1:23" s="68" customFormat="1" ht="14.25" customHeight="1">
      <c r="A85" s="400" t="s">
        <v>2648</v>
      </c>
      <c r="B85" s="490" t="s">
        <v>302</v>
      </c>
      <c r="C85" s="491" t="s">
        <v>3173</v>
      </c>
      <c r="D85" s="485"/>
      <c r="E85" s="482">
        <v>196959</v>
      </c>
      <c r="F85" s="482" t="s">
        <v>1750</v>
      </c>
      <c r="G85" s="482"/>
      <c r="H85" s="482"/>
      <c r="I85" s="482"/>
      <c r="J85" s="68" t="s">
        <v>794</v>
      </c>
      <c r="K85" s="68" t="s">
        <v>794</v>
      </c>
      <c r="L85" s="482" t="s">
        <v>794</v>
      </c>
      <c r="M85" s="482"/>
      <c r="N85" s="482">
        <v>92.981712341308594</v>
      </c>
      <c r="O85" s="482">
        <v>20.772109985351602</v>
      </c>
      <c r="P85" s="482"/>
      <c r="Q85" s="482" t="s">
        <v>3163</v>
      </c>
      <c r="R85" s="494"/>
      <c r="S85" s="487"/>
      <c r="T85" s="506">
        <v>43935</v>
      </c>
      <c r="U85" s="494"/>
      <c r="V85" s="482"/>
      <c r="W85" s="486"/>
    </row>
    <row r="86" spans="1:23" s="68" customFormat="1" ht="14.25" customHeight="1">
      <c r="A86" s="400" t="s">
        <v>2648</v>
      </c>
      <c r="B86" s="403" t="s">
        <v>302</v>
      </c>
      <c r="C86" s="404" t="s">
        <v>593</v>
      </c>
      <c r="D86" s="431" t="s">
        <v>2712</v>
      </c>
      <c r="E86" s="68" t="s">
        <v>1402</v>
      </c>
      <c r="F86" s="68" t="s">
        <v>1750</v>
      </c>
      <c r="G86" s="68" t="s">
        <v>1751</v>
      </c>
      <c r="J86" s="68" t="s">
        <v>794</v>
      </c>
      <c r="K86" s="68" t="s">
        <v>794</v>
      </c>
      <c r="L86" s="68" t="s">
        <v>879</v>
      </c>
      <c r="M86" s="68" t="s">
        <v>791</v>
      </c>
      <c r="N86" s="68">
        <v>20.78332</v>
      </c>
      <c r="O86" s="68">
        <v>92.987399999999994</v>
      </c>
      <c r="P86" s="68" t="s">
        <v>795</v>
      </c>
      <c r="Q86" s="68" t="s">
        <v>776</v>
      </c>
      <c r="R86" s="486">
        <v>144</v>
      </c>
      <c r="S86" s="96">
        <v>1006</v>
      </c>
      <c r="T86" s="101"/>
      <c r="U86" s="97"/>
      <c r="V86" s="68" t="s">
        <v>593</v>
      </c>
      <c r="W86" s="396"/>
    </row>
    <row r="87" spans="1:23" s="68" customFormat="1" ht="14.25" customHeight="1">
      <c r="A87" s="400" t="s">
        <v>2648</v>
      </c>
      <c r="B87" s="484" t="s">
        <v>302</v>
      </c>
      <c r="C87" s="484" t="s">
        <v>595</v>
      </c>
      <c r="D87" s="431" t="s">
        <v>1656</v>
      </c>
      <c r="E87" s="68">
        <v>196869</v>
      </c>
      <c r="J87" s="482" t="s">
        <v>794</v>
      </c>
      <c r="K87" s="482" t="s">
        <v>794</v>
      </c>
      <c r="L87" s="482" t="s">
        <v>794</v>
      </c>
      <c r="M87" s="68" t="s">
        <v>294</v>
      </c>
      <c r="N87" s="498">
        <v>20.785699839999999</v>
      </c>
      <c r="O87" s="498">
        <v>92.986633299999994</v>
      </c>
      <c r="P87" s="68" t="s">
        <v>795</v>
      </c>
      <c r="Q87" s="68" t="s">
        <v>776</v>
      </c>
      <c r="R87" s="486"/>
      <c r="S87" s="400"/>
      <c r="T87" s="101"/>
      <c r="U87" s="488"/>
      <c r="V87" s="68" t="s">
        <v>595</v>
      </c>
      <c r="W87" s="482"/>
    </row>
    <row r="88" spans="1:23" s="68" customFormat="1" ht="14.25" customHeight="1">
      <c r="A88" s="400" t="s">
        <v>2648</v>
      </c>
      <c r="B88" s="490" t="s">
        <v>302</v>
      </c>
      <c r="C88" s="491" t="s">
        <v>3172</v>
      </c>
      <c r="D88" s="485"/>
      <c r="E88" s="68">
        <v>196960</v>
      </c>
      <c r="F88" s="482" t="s">
        <v>1750</v>
      </c>
      <c r="J88" s="482" t="s">
        <v>794</v>
      </c>
      <c r="K88" s="482" t="s">
        <v>794</v>
      </c>
      <c r="L88" s="482" t="s">
        <v>794</v>
      </c>
      <c r="N88" s="68">
        <v>92.978729248046903</v>
      </c>
      <c r="O88" s="68">
        <v>20.768480300903299</v>
      </c>
      <c r="Q88" s="68" t="s">
        <v>3163</v>
      </c>
      <c r="R88" s="494"/>
      <c r="S88" s="400"/>
      <c r="T88" s="101">
        <v>43935</v>
      </c>
      <c r="U88" s="494"/>
      <c r="W88" s="486"/>
    </row>
    <row r="89" spans="1:23" s="68" customFormat="1" ht="14.25" customHeight="1">
      <c r="A89" s="400" t="s">
        <v>2648</v>
      </c>
      <c r="B89" s="490" t="s">
        <v>302</v>
      </c>
      <c r="C89" s="491" t="s">
        <v>946</v>
      </c>
      <c r="D89" s="431" t="s">
        <v>2712</v>
      </c>
      <c r="E89" s="68" t="s">
        <v>1414</v>
      </c>
      <c r="F89" s="68" t="s">
        <v>1861</v>
      </c>
      <c r="G89" s="68" t="s">
        <v>1862</v>
      </c>
      <c r="J89" s="68" t="s">
        <v>794</v>
      </c>
      <c r="K89" s="68" t="s">
        <v>794</v>
      </c>
      <c r="L89" s="68" t="s">
        <v>879</v>
      </c>
      <c r="M89" s="68" t="s">
        <v>791</v>
      </c>
      <c r="N89" s="68">
        <v>20.929649000000001</v>
      </c>
      <c r="O89" s="68">
        <v>93.000815000000003</v>
      </c>
      <c r="P89" s="68" t="s">
        <v>795</v>
      </c>
      <c r="R89" s="486">
        <v>63</v>
      </c>
      <c r="S89" s="96">
        <v>414</v>
      </c>
      <c r="T89" s="101"/>
      <c r="U89" s="488" t="s">
        <v>856</v>
      </c>
      <c r="V89" s="68" t="s">
        <v>946</v>
      </c>
      <c r="W89" s="482"/>
    </row>
    <row r="90" spans="1:23" s="68" customFormat="1" ht="14.25" customHeight="1">
      <c r="A90" s="400" t="s">
        <v>2648</v>
      </c>
      <c r="B90" s="484" t="s">
        <v>302</v>
      </c>
      <c r="C90" s="484" t="s">
        <v>690</v>
      </c>
      <c r="D90" s="431" t="s">
        <v>1656</v>
      </c>
      <c r="E90" s="482">
        <v>196823</v>
      </c>
      <c r="F90" s="484"/>
      <c r="G90" s="482"/>
      <c r="H90" s="482"/>
      <c r="I90" s="482"/>
      <c r="J90" s="68" t="s">
        <v>794</v>
      </c>
      <c r="K90" s="68" t="s">
        <v>794</v>
      </c>
      <c r="L90" s="482" t="s">
        <v>794</v>
      </c>
      <c r="M90" s="482" t="s">
        <v>791</v>
      </c>
      <c r="N90" s="482">
        <v>20.85956955</v>
      </c>
      <c r="O90" s="482">
        <v>92.941146849999996</v>
      </c>
      <c r="P90" s="68" t="s">
        <v>795</v>
      </c>
      <c r="Q90" s="482" t="s">
        <v>776</v>
      </c>
      <c r="R90" s="486"/>
      <c r="S90" s="487"/>
      <c r="T90" s="506"/>
      <c r="U90" s="488"/>
      <c r="V90" s="482"/>
      <c r="W90" s="482"/>
    </row>
    <row r="91" spans="1:23" s="68" customFormat="1" ht="14.25" customHeight="1">
      <c r="A91" s="400" t="s">
        <v>2648</v>
      </c>
      <c r="B91" s="484" t="s">
        <v>302</v>
      </c>
      <c r="C91" s="484" t="s">
        <v>638</v>
      </c>
      <c r="D91" s="431" t="s">
        <v>1656</v>
      </c>
      <c r="E91" s="68">
        <v>196817</v>
      </c>
      <c r="J91" s="482" t="s">
        <v>794</v>
      </c>
      <c r="K91" s="68" t="s">
        <v>794</v>
      </c>
      <c r="L91" s="482" t="s">
        <v>794</v>
      </c>
      <c r="M91" s="68" t="s">
        <v>791</v>
      </c>
      <c r="N91" s="396">
        <v>20.864519120000001</v>
      </c>
      <c r="O91" s="396">
        <v>92.940399170000006</v>
      </c>
      <c r="P91" s="68" t="s">
        <v>795</v>
      </c>
      <c r="Q91" s="68" t="s">
        <v>922</v>
      </c>
      <c r="R91" s="486"/>
      <c r="S91" s="96"/>
      <c r="T91" s="101">
        <v>43011</v>
      </c>
      <c r="U91" s="97" t="s">
        <v>923</v>
      </c>
    </row>
    <row r="92" spans="1:23" s="68" customFormat="1" ht="14.25" customHeight="1">
      <c r="A92" s="400" t="s">
        <v>2648</v>
      </c>
      <c r="B92" s="490" t="s">
        <v>302</v>
      </c>
      <c r="C92" s="491" t="s">
        <v>1990</v>
      </c>
      <c r="D92" s="485" t="s">
        <v>1656</v>
      </c>
      <c r="E92" s="68">
        <v>196818</v>
      </c>
      <c r="J92" s="68" t="s">
        <v>794</v>
      </c>
      <c r="K92" s="68" t="s">
        <v>794</v>
      </c>
      <c r="L92" s="68" t="s">
        <v>794</v>
      </c>
      <c r="M92" s="68" t="s">
        <v>791</v>
      </c>
      <c r="N92" s="482">
        <v>20.871345520019499</v>
      </c>
      <c r="O92" s="482">
        <v>92.938713073730497</v>
      </c>
      <c r="P92" s="68" t="s">
        <v>795</v>
      </c>
      <c r="Q92" s="68" t="s">
        <v>922</v>
      </c>
      <c r="R92" s="494"/>
      <c r="S92" s="96"/>
      <c r="T92" s="101">
        <v>43011</v>
      </c>
      <c r="U92" s="97" t="s">
        <v>923</v>
      </c>
    </row>
    <row r="93" spans="1:23" s="68" customFormat="1" ht="14.25" customHeight="1">
      <c r="A93" s="400" t="s">
        <v>2648</v>
      </c>
      <c r="B93" s="490" t="s">
        <v>302</v>
      </c>
      <c r="C93" s="491" t="s">
        <v>2719</v>
      </c>
      <c r="D93" s="485"/>
      <c r="E93" s="68">
        <v>196911</v>
      </c>
      <c r="J93" s="68" t="s">
        <v>2652</v>
      </c>
      <c r="K93" s="68" t="s">
        <v>2622</v>
      </c>
      <c r="L93" s="68" t="s">
        <v>2622</v>
      </c>
      <c r="N93" s="68">
        <v>20.674160003662099</v>
      </c>
      <c r="O93" s="68">
        <v>92.9078369140625</v>
      </c>
      <c r="P93" s="482" t="s">
        <v>1972</v>
      </c>
      <c r="R93" s="494"/>
      <c r="S93" s="96"/>
      <c r="T93" s="101">
        <v>43591</v>
      </c>
      <c r="U93" s="494"/>
      <c r="W93" s="486"/>
    </row>
    <row r="94" spans="1:23" s="68" customFormat="1" ht="14.25" customHeight="1">
      <c r="A94" s="400" t="s">
        <v>2648</v>
      </c>
      <c r="B94" s="484" t="s">
        <v>302</v>
      </c>
      <c r="C94" s="484" t="s">
        <v>614</v>
      </c>
      <c r="D94" s="431" t="s">
        <v>1656</v>
      </c>
      <c r="E94" s="396">
        <v>196873</v>
      </c>
      <c r="F94" s="484"/>
      <c r="G94" s="396"/>
      <c r="H94" s="396"/>
      <c r="I94" s="396"/>
      <c r="J94" s="396" t="s">
        <v>794</v>
      </c>
      <c r="K94" s="396" t="s">
        <v>794</v>
      </c>
      <c r="L94" s="396" t="s">
        <v>794</v>
      </c>
      <c r="M94" s="396" t="s">
        <v>294</v>
      </c>
      <c r="N94" s="396">
        <v>20.8064003</v>
      </c>
      <c r="O94" s="396">
        <v>92.982147220000002</v>
      </c>
      <c r="P94" s="396" t="s">
        <v>795</v>
      </c>
      <c r="Q94" s="396" t="s">
        <v>776</v>
      </c>
      <c r="R94" s="486"/>
      <c r="S94" s="400"/>
      <c r="T94" s="412"/>
      <c r="U94" s="488"/>
      <c r="V94" s="396" t="s">
        <v>614</v>
      </c>
      <c r="W94" s="482"/>
    </row>
    <row r="95" spans="1:23" s="68" customFormat="1" ht="14.25" customHeight="1">
      <c r="A95" s="400" t="s">
        <v>2648</v>
      </c>
      <c r="B95" s="403" t="s">
        <v>302</v>
      </c>
      <c r="C95" s="404" t="s">
        <v>2942</v>
      </c>
      <c r="D95" s="485"/>
      <c r="E95" s="68">
        <v>196894</v>
      </c>
      <c r="F95" s="68" t="s">
        <v>2226</v>
      </c>
      <c r="J95" s="68" t="s">
        <v>794</v>
      </c>
      <c r="K95" s="68" t="s">
        <v>794</v>
      </c>
      <c r="L95" s="68" t="s">
        <v>794</v>
      </c>
      <c r="N95" s="68">
        <v>20.7489204406738</v>
      </c>
      <c r="O95" s="68">
        <v>92.958816528320298</v>
      </c>
      <c r="P95" s="396" t="s">
        <v>795</v>
      </c>
      <c r="Q95" s="68" t="s">
        <v>2961</v>
      </c>
      <c r="R95" s="494"/>
      <c r="S95" s="400"/>
      <c r="T95" s="101">
        <v>43768</v>
      </c>
      <c r="U95" s="494"/>
      <c r="W95" s="486"/>
    </row>
    <row r="96" spans="1:23" s="68" customFormat="1" ht="14.25" customHeight="1">
      <c r="A96" s="400" t="s">
        <v>2648</v>
      </c>
      <c r="B96" s="167" t="s">
        <v>302</v>
      </c>
      <c r="C96" s="168" t="s">
        <v>2543</v>
      </c>
      <c r="D96" s="485"/>
      <c r="E96" s="163">
        <v>196673</v>
      </c>
      <c r="F96" s="163"/>
      <c r="G96" s="163"/>
      <c r="H96" s="163"/>
      <c r="I96" s="163"/>
      <c r="J96" s="68" t="s">
        <v>2652</v>
      </c>
      <c r="K96" s="68" t="s">
        <v>2622</v>
      </c>
      <c r="L96" s="163" t="s">
        <v>2622</v>
      </c>
      <c r="M96" s="163"/>
      <c r="N96" s="482">
        <v>20.7240200042725</v>
      </c>
      <c r="O96" s="482">
        <v>92.848838806152301</v>
      </c>
      <c r="P96" s="68" t="s">
        <v>1972</v>
      </c>
      <c r="Q96" s="163"/>
      <c r="R96" s="164"/>
      <c r="S96" s="162"/>
      <c r="T96" s="165"/>
      <c r="U96" s="166"/>
      <c r="V96" s="163"/>
      <c r="W96" s="486"/>
    </row>
    <row r="97" spans="1:23" s="68" customFormat="1" ht="14.25" customHeight="1">
      <c r="A97" s="487" t="s">
        <v>2648</v>
      </c>
      <c r="B97" s="490" t="s">
        <v>302</v>
      </c>
      <c r="C97" s="491" t="s">
        <v>950</v>
      </c>
      <c r="D97" s="485" t="s">
        <v>1656</v>
      </c>
      <c r="E97" s="68">
        <v>196767</v>
      </c>
      <c r="J97" s="68" t="s">
        <v>794</v>
      </c>
      <c r="K97" s="396" t="s">
        <v>794</v>
      </c>
      <c r="L97" s="396" t="s">
        <v>794</v>
      </c>
      <c r="M97" s="68" t="s">
        <v>294</v>
      </c>
      <c r="N97" s="68">
        <v>21.006929400000001</v>
      </c>
      <c r="O97" s="68">
        <v>92.981040949999993</v>
      </c>
      <c r="P97" s="482" t="s">
        <v>795</v>
      </c>
      <c r="R97" s="494"/>
      <c r="S97" s="96"/>
      <c r="T97" s="101"/>
      <c r="U97" s="488"/>
      <c r="V97" s="68" t="s">
        <v>950</v>
      </c>
      <c r="W97" s="482"/>
    </row>
    <row r="98" spans="1:23" s="68" customFormat="1" ht="14.25" customHeight="1">
      <c r="A98" s="400" t="s">
        <v>2648</v>
      </c>
      <c r="B98" s="484" t="s">
        <v>302</v>
      </c>
      <c r="C98" s="484" t="s">
        <v>692</v>
      </c>
      <c r="D98" s="431" t="s">
        <v>1656</v>
      </c>
      <c r="E98" s="68">
        <v>196886</v>
      </c>
      <c r="F98" s="482"/>
      <c r="J98" s="68" t="s">
        <v>794</v>
      </c>
      <c r="K98" s="68" t="s">
        <v>794</v>
      </c>
      <c r="L98" s="396" t="s">
        <v>794</v>
      </c>
      <c r="M98" s="68" t="s">
        <v>294</v>
      </c>
      <c r="N98" s="68">
        <v>20.803710939999998</v>
      </c>
      <c r="O98" s="68">
        <v>92.946136469999999</v>
      </c>
      <c r="P98" s="396" t="s">
        <v>795</v>
      </c>
      <c r="Q98" s="68" t="s">
        <v>776</v>
      </c>
      <c r="R98" s="95"/>
      <c r="S98" s="400"/>
      <c r="T98" s="101"/>
      <c r="U98" s="97"/>
      <c r="W98" s="396"/>
    </row>
    <row r="99" spans="1:23" s="68" customFormat="1" ht="14.25" customHeight="1">
      <c r="A99" s="400" t="s">
        <v>2648</v>
      </c>
      <c r="B99" s="490" t="s">
        <v>302</v>
      </c>
      <c r="C99" s="491" t="s">
        <v>935</v>
      </c>
      <c r="D99" s="485" t="s">
        <v>1656</v>
      </c>
      <c r="E99" s="68">
        <v>196885</v>
      </c>
      <c r="J99" s="68" t="s">
        <v>794</v>
      </c>
      <c r="K99" s="68" t="s">
        <v>794</v>
      </c>
      <c r="L99" s="68" t="s">
        <v>794</v>
      </c>
      <c r="N99" s="68">
        <v>20.80635071</v>
      </c>
      <c r="O99" s="68">
        <v>92.948310849999999</v>
      </c>
      <c r="P99" s="482" t="s">
        <v>795</v>
      </c>
      <c r="Q99" s="68" t="s">
        <v>922</v>
      </c>
      <c r="R99" s="494"/>
      <c r="S99" s="96"/>
      <c r="T99" s="101">
        <v>43011</v>
      </c>
      <c r="U99" s="488" t="s">
        <v>923</v>
      </c>
      <c r="W99" s="482"/>
    </row>
    <row r="100" spans="1:23" s="68" customFormat="1" ht="14.25" customHeight="1">
      <c r="A100" s="400" t="s">
        <v>2648</v>
      </c>
      <c r="B100" s="490" t="s">
        <v>302</v>
      </c>
      <c r="C100" s="491" t="s">
        <v>2941</v>
      </c>
      <c r="D100" s="485"/>
      <c r="J100" s="68" t="s">
        <v>794</v>
      </c>
      <c r="K100" s="68" t="s">
        <v>794</v>
      </c>
      <c r="L100" s="68" t="s">
        <v>794</v>
      </c>
      <c r="P100" s="482" t="s">
        <v>795</v>
      </c>
      <c r="Q100" s="68" t="s">
        <v>2961</v>
      </c>
      <c r="R100" s="494"/>
      <c r="S100" s="400"/>
      <c r="T100" s="101">
        <v>43768</v>
      </c>
      <c r="U100" s="494"/>
      <c r="W100" s="486"/>
    </row>
    <row r="101" spans="1:23" s="68" customFormat="1" ht="14.25" customHeight="1">
      <c r="A101" s="400" t="s">
        <v>2648</v>
      </c>
      <c r="B101" s="490" t="s">
        <v>302</v>
      </c>
      <c r="C101" s="491" t="s">
        <v>2279</v>
      </c>
      <c r="D101" s="485"/>
      <c r="E101" s="396">
        <v>196932</v>
      </c>
      <c r="F101" s="68" t="s">
        <v>867</v>
      </c>
      <c r="J101" s="68" t="s">
        <v>794</v>
      </c>
      <c r="K101" s="68" t="s">
        <v>794</v>
      </c>
      <c r="L101" s="68" t="s">
        <v>794</v>
      </c>
      <c r="N101" s="396">
        <v>20.655569</v>
      </c>
      <c r="O101" s="396">
        <v>92.959709000000004</v>
      </c>
      <c r="P101" s="482" t="s">
        <v>795</v>
      </c>
      <c r="Q101" s="68" t="s">
        <v>2236</v>
      </c>
      <c r="R101" s="494"/>
      <c r="S101" s="400"/>
      <c r="T101" s="101">
        <v>43465</v>
      </c>
      <c r="U101" s="97" t="s">
        <v>2278</v>
      </c>
      <c r="V101" s="68" t="s">
        <v>2273</v>
      </c>
    </row>
    <row r="102" spans="1:23" s="68" customFormat="1" ht="14.25" customHeight="1">
      <c r="A102" s="400" t="s">
        <v>2648</v>
      </c>
      <c r="B102" s="490" t="s">
        <v>302</v>
      </c>
      <c r="C102" s="491" t="s">
        <v>3158</v>
      </c>
      <c r="D102" s="485"/>
      <c r="E102" s="68">
        <v>196963</v>
      </c>
      <c r="F102" s="68" t="s">
        <v>1750</v>
      </c>
      <c r="J102" s="68" t="s">
        <v>794</v>
      </c>
      <c r="K102" s="68" t="s">
        <v>794</v>
      </c>
      <c r="L102" s="68" t="s">
        <v>794</v>
      </c>
      <c r="N102" s="68">
        <v>92.985267639160199</v>
      </c>
      <c r="O102" s="68">
        <v>20.7800903320313</v>
      </c>
      <c r="Q102" s="68" t="s">
        <v>3163</v>
      </c>
      <c r="R102" s="494"/>
      <c r="S102" s="96"/>
      <c r="T102" s="101">
        <v>43935</v>
      </c>
      <c r="U102" s="494"/>
      <c r="W102" s="486"/>
    </row>
    <row r="103" spans="1:23" s="68" customFormat="1" ht="14.25" customHeight="1">
      <c r="A103" s="400" t="s">
        <v>2648</v>
      </c>
      <c r="B103" s="484" t="s">
        <v>302</v>
      </c>
      <c r="C103" s="484" t="s">
        <v>2226</v>
      </c>
      <c r="D103" s="431"/>
      <c r="E103" s="68">
        <v>196893</v>
      </c>
      <c r="J103" s="68" t="s">
        <v>794</v>
      </c>
      <c r="K103" s="68" t="s">
        <v>794</v>
      </c>
      <c r="L103" s="396" t="s">
        <v>794</v>
      </c>
      <c r="N103" s="68">
        <v>20.760820389999999</v>
      </c>
      <c r="O103" s="68">
        <v>92.960083010000005</v>
      </c>
      <c r="P103" s="482" t="s">
        <v>795</v>
      </c>
      <c r="R103" s="95"/>
      <c r="S103" s="400"/>
      <c r="T103" s="101"/>
      <c r="U103" s="401"/>
      <c r="V103" s="68" t="s">
        <v>2219</v>
      </c>
      <c r="W103" s="396"/>
    </row>
    <row r="104" spans="1:23" s="68" customFormat="1" ht="14.25" customHeight="1">
      <c r="A104" s="96" t="s">
        <v>2648</v>
      </c>
      <c r="B104" s="484" t="s">
        <v>302</v>
      </c>
      <c r="C104" s="484" t="s">
        <v>349</v>
      </c>
      <c r="D104" s="431" t="s">
        <v>1656</v>
      </c>
      <c r="E104" s="396"/>
      <c r="J104" s="68" t="s">
        <v>794</v>
      </c>
      <c r="K104" s="68" t="s">
        <v>794</v>
      </c>
      <c r="L104" s="68" t="s">
        <v>794</v>
      </c>
      <c r="M104" s="68" t="s">
        <v>294</v>
      </c>
      <c r="N104" s="396"/>
      <c r="O104" s="396"/>
      <c r="P104" s="396" t="s">
        <v>795</v>
      </c>
      <c r="Q104" s="68" t="s">
        <v>922</v>
      </c>
      <c r="R104" s="486"/>
      <c r="S104" s="400"/>
      <c r="T104" s="101">
        <v>43011</v>
      </c>
      <c r="U104" s="97" t="s">
        <v>923</v>
      </c>
      <c r="W104" s="396"/>
    </row>
    <row r="105" spans="1:23" s="68" customFormat="1" ht="14.25" customHeight="1">
      <c r="A105" s="487" t="s">
        <v>2648</v>
      </c>
      <c r="B105" s="484" t="s">
        <v>302</v>
      </c>
      <c r="C105" s="484" t="s">
        <v>928</v>
      </c>
      <c r="D105" s="431" t="s">
        <v>1656</v>
      </c>
      <c r="E105" s="68">
        <v>196950</v>
      </c>
      <c r="F105" s="396"/>
      <c r="J105" s="68" t="s">
        <v>794</v>
      </c>
      <c r="K105" s="396" t="s">
        <v>794</v>
      </c>
      <c r="L105" s="396" t="s">
        <v>794</v>
      </c>
      <c r="M105" s="68" t="s">
        <v>1989</v>
      </c>
      <c r="N105" s="68">
        <v>20.720500950000002</v>
      </c>
      <c r="O105" s="68">
        <v>92.937339780000002</v>
      </c>
      <c r="P105" s="68" t="s">
        <v>795</v>
      </c>
      <c r="R105" s="486"/>
      <c r="S105" s="400"/>
      <c r="T105" s="101"/>
      <c r="U105" s="488"/>
      <c r="V105" s="68" t="s">
        <v>928</v>
      </c>
      <c r="W105" s="482"/>
    </row>
    <row r="106" spans="1:23" s="68" customFormat="1" ht="14.25" customHeight="1">
      <c r="A106" s="400" t="s">
        <v>2648</v>
      </c>
      <c r="B106" s="490" t="s">
        <v>302</v>
      </c>
      <c r="C106" s="491" t="s">
        <v>2959</v>
      </c>
      <c r="D106" s="485"/>
      <c r="E106" s="68">
        <v>196949</v>
      </c>
      <c r="F106" s="482" t="s">
        <v>566</v>
      </c>
      <c r="J106" s="68" t="s">
        <v>794</v>
      </c>
      <c r="K106" s="68" t="s">
        <v>794</v>
      </c>
      <c r="L106" s="68" t="s">
        <v>794</v>
      </c>
      <c r="N106" s="68">
        <v>20.728960037231399</v>
      </c>
      <c r="O106" s="68">
        <v>92.936019897460895</v>
      </c>
      <c r="P106" s="482" t="s">
        <v>795</v>
      </c>
      <c r="Q106" s="68" t="s">
        <v>2961</v>
      </c>
      <c r="R106" s="494"/>
      <c r="S106" s="400"/>
      <c r="T106" s="101">
        <v>43768</v>
      </c>
      <c r="U106" s="494"/>
      <c r="W106" s="486"/>
    </row>
    <row r="107" spans="1:23" s="68" customFormat="1" ht="14.25" customHeight="1">
      <c r="A107" s="400" t="s">
        <v>2648</v>
      </c>
      <c r="B107" s="484" t="s">
        <v>302</v>
      </c>
      <c r="C107" s="484" t="s">
        <v>2784</v>
      </c>
      <c r="D107" s="431"/>
      <c r="E107" s="68">
        <v>196923</v>
      </c>
      <c r="J107" s="68" t="s">
        <v>2652</v>
      </c>
      <c r="K107" s="68" t="s">
        <v>2622</v>
      </c>
      <c r="L107" s="68" t="s">
        <v>2622</v>
      </c>
      <c r="N107" s="68">
        <v>20.675489425659201</v>
      </c>
      <c r="O107" s="68">
        <v>92.916961669921903</v>
      </c>
      <c r="P107" s="68" t="s">
        <v>1972</v>
      </c>
      <c r="R107" s="399"/>
      <c r="S107" s="400"/>
      <c r="T107" s="101"/>
      <c r="U107" s="488"/>
    </row>
    <row r="108" spans="1:23" s="68" customFormat="1" ht="14.25" customHeight="1">
      <c r="A108" s="400" t="s">
        <v>2648</v>
      </c>
      <c r="B108" s="484" t="s">
        <v>302</v>
      </c>
      <c r="C108" s="484" t="s">
        <v>2008</v>
      </c>
      <c r="D108" s="431"/>
      <c r="E108" s="396">
        <v>196828</v>
      </c>
      <c r="F108" s="396" t="s">
        <v>1754</v>
      </c>
      <c r="G108" s="396"/>
      <c r="H108" s="396"/>
      <c r="I108" s="396"/>
      <c r="J108" s="68" t="s">
        <v>794</v>
      </c>
      <c r="K108" s="396" t="s">
        <v>794</v>
      </c>
      <c r="L108" s="396" t="s">
        <v>794</v>
      </c>
      <c r="N108" s="68">
        <v>20.860509870000001</v>
      </c>
      <c r="O108" s="68">
        <v>92.966751099999996</v>
      </c>
      <c r="P108" s="482" t="s">
        <v>795</v>
      </c>
      <c r="R108" s="399"/>
      <c r="S108" s="400"/>
      <c r="T108" s="101">
        <v>43297</v>
      </c>
      <c r="U108" s="97"/>
    </row>
    <row r="109" spans="1:23" s="68" customFormat="1" ht="14.25" customHeight="1">
      <c r="A109" s="487" t="s">
        <v>2648</v>
      </c>
      <c r="B109" s="490" t="s">
        <v>302</v>
      </c>
      <c r="C109" s="491" t="s">
        <v>2960</v>
      </c>
      <c r="D109" s="485"/>
      <c r="E109" s="68">
        <v>196948</v>
      </c>
      <c r="F109" s="68" t="s">
        <v>566</v>
      </c>
      <c r="J109" s="68" t="s">
        <v>794</v>
      </c>
      <c r="K109" s="68" t="s">
        <v>794</v>
      </c>
      <c r="L109" s="68" t="s">
        <v>794</v>
      </c>
      <c r="N109" s="482">
        <v>0</v>
      </c>
      <c r="O109" s="482">
        <v>0</v>
      </c>
      <c r="P109" s="482" t="s">
        <v>795</v>
      </c>
      <c r="Q109" s="68" t="s">
        <v>2961</v>
      </c>
      <c r="R109" s="494"/>
      <c r="S109" s="400"/>
      <c r="T109" s="101">
        <v>43768</v>
      </c>
      <c r="U109" s="494"/>
      <c r="W109" s="486"/>
    </row>
    <row r="110" spans="1:23" s="68" customFormat="1" ht="14.25" customHeight="1">
      <c r="A110" s="400" t="s">
        <v>2648</v>
      </c>
      <c r="B110" s="490" t="s">
        <v>302</v>
      </c>
      <c r="C110" s="491" t="s">
        <v>573</v>
      </c>
      <c r="D110" s="431" t="s">
        <v>2712</v>
      </c>
      <c r="E110" s="68" t="s">
        <v>1401</v>
      </c>
      <c r="F110" s="68" t="s">
        <v>566</v>
      </c>
      <c r="G110" s="68" t="s">
        <v>573</v>
      </c>
      <c r="J110" s="68" t="s">
        <v>794</v>
      </c>
      <c r="K110" s="68" t="s">
        <v>794</v>
      </c>
      <c r="L110" s="68" t="s">
        <v>879</v>
      </c>
      <c r="M110" s="68" t="s">
        <v>791</v>
      </c>
      <c r="N110" s="68">
        <v>20.727589999999999</v>
      </c>
      <c r="O110" s="68">
        <v>92.969350000000006</v>
      </c>
      <c r="P110" s="482" t="s">
        <v>795</v>
      </c>
      <c r="Q110" s="68" t="s">
        <v>776</v>
      </c>
      <c r="R110" s="95">
        <v>112</v>
      </c>
      <c r="S110" s="400">
        <v>738</v>
      </c>
      <c r="T110" s="101"/>
      <c r="U110" s="97"/>
      <c r="V110" s="68" t="s">
        <v>573</v>
      </c>
    </row>
    <row r="111" spans="1:23" s="68" customFormat="1" ht="14.25" customHeight="1">
      <c r="A111" s="400" t="s">
        <v>2648</v>
      </c>
      <c r="B111" s="490" t="s">
        <v>302</v>
      </c>
      <c r="C111" s="491" t="s">
        <v>569</v>
      </c>
      <c r="D111" s="485" t="s">
        <v>1656</v>
      </c>
      <c r="E111" s="68">
        <v>196951</v>
      </c>
      <c r="J111" s="68" t="s">
        <v>794</v>
      </c>
      <c r="K111" s="68" t="s">
        <v>794</v>
      </c>
      <c r="L111" s="68" t="s">
        <v>794</v>
      </c>
      <c r="M111" s="68" t="s">
        <v>294</v>
      </c>
      <c r="N111" s="68">
        <v>20.723630910000001</v>
      </c>
      <c r="O111" s="68">
        <v>92.974327090000003</v>
      </c>
      <c r="P111" s="68" t="s">
        <v>795</v>
      </c>
      <c r="Q111" s="68" t="s">
        <v>776</v>
      </c>
      <c r="R111" s="494"/>
      <c r="S111" s="400"/>
      <c r="T111" s="101"/>
      <c r="U111" s="97"/>
      <c r="V111" s="68" t="s">
        <v>569</v>
      </c>
    </row>
    <row r="112" spans="1:23" s="68" customFormat="1" ht="14.25" customHeight="1">
      <c r="A112" s="400" t="s">
        <v>2648</v>
      </c>
      <c r="B112" s="490" t="s">
        <v>302</v>
      </c>
      <c r="C112" s="491" t="s">
        <v>3171</v>
      </c>
      <c r="D112" s="485"/>
      <c r="E112" s="68">
        <v>196920</v>
      </c>
      <c r="F112" s="68" t="s">
        <v>3168</v>
      </c>
      <c r="J112" s="68" t="s">
        <v>794</v>
      </c>
      <c r="K112" s="68" t="s">
        <v>794</v>
      </c>
      <c r="L112" s="68" t="s">
        <v>794</v>
      </c>
      <c r="N112" s="68">
        <v>92.928596496582003</v>
      </c>
      <c r="O112" s="68">
        <v>20.649574279785199</v>
      </c>
      <c r="P112" s="482"/>
      <c r="Q112" s="68" t="s">
        <v>3163</v>
      </c>
      <c r="R112" s="494"/>
      <c r="S112" s="96"/>
      <c r="T112" s="101">
        <v>43935</v>
      </c>
      <c r="U112" s="494"/>
      <c r="W112" s="486"/>
    </row>
    <row r="113" spans="1:23" s="68" customFormat="1" ht="14.25" customHeight="1">
      <c r="A113" s="490" t="s">
        <v>2648</v>
      </c>
      <c r="B113" s="490" t="s">
        <v>302</v>
      </c>
      <c r="C113" s="491" t="s">
        <v>2763</v>
      </c>
      <c r="D113" s="485"/>
      <c r="E113" s="68">
        <v>196981</v>
      </c>
      <c r="J113" s="68" t="s">
        <v>2652</v>
      </c>
      <c r="K113" s="68" t="s">
        <v>2622</v>
      </c>
      <c r="L113" s="68" t="s">
        <v>2622</v>
      </c>
      <c r="N113" s="68">
        <v>20.656810760498001</v>
      </c>
      <c r="O113" s="68">
        <v>93.029953002929702</v>
      </c>
      <c r="P113" s="68" t="s">
        <v>1972</v>
      </c>
      <c r="R113" s="494"/>
      <c r="S113" s="400"/>
      <c r="T113" s="101">
        <v>43591</v>
      </c>
      <c r="U113" s="494"/>
      <c r="W113" s="486"/>
    </row>
    <row r="114" spans="1:23" s="68" customFormat="1" ht="14.25" customHeight="1">
      <c r="A114" s="400" t="s">
        <v>2648</v>
      </c>
      <c r="B114" s="396" t="s">
        <v>312</v>
      </c>
      <c r="C114" s="396" t="s">
        <v>872</v>
      </c>
      <c r="D114" s="431" t="s">
        <v>1656</v>
      </c>
      <c r="E114" s="68">
        <v>197171</v>
      </c>
      <c r="F114" s="512" t="s">
        <v>516</v>
      </c>
      <c r="J114" s="68" t="s">
        <v>794</v>
      </c>
      <c r="K114" s="68" t="s">
        <v>794</v>
      </c>
      <c r="L114" s="68" t="s">
        <v>794</v>
      </c>
      <c r="N114" s="68">
        <v>20.225250240000001</v>
      </c>
      <c r="O114" s="68">
        <v>93.418876650000001</v>
      </c>
      <c r="P114" s="482" t="s">
        <v>795</v>
      </c>
      <c r="R114" s="95"/>
      <c r="S114" s="400"/>
      <c r="T114" s="101"/>
      <c r="U114" s="97"/>
      <c r="V114" s="68" t="s">
        <v>873</v>
      </c>
    </row>
    <row r="115" spans="1:23" s="68" customFormat="1" ht="14.25" customHeight="1">
      <c r="A115" s="96" t="s">
        <v>2648</v>
      </c>
      <c r="B115" s="482" t="s">
        <v>312</v>
      </c>
      <c r="C115" s="482" t="s">
        <v>2601</v>
      </c>
      <c r="D115" s="431"/>
      <c r="E115" s="68">
        <v>197034</v>
      </c>
      <c r="J115" s="68" t="s">
        <v>794</v>
      </c>
      <c r="K115" s="396" t="s">
        <v>794</v>
      </c>
      <c r="L115" s="396" t="s">
        <v>794</v>
      </c>
      <c r="N115" s="482">
        <v>20.437318801879901</v>
      </c>
      <c r="O115" s="482">
        <v>93.302917480468807</v>
      </c>
      <c r="P115" s="482" t="s">
        <v>795</v>
      </c>
      <c r="R115" s="486"/>
      <c r="S115" s="96"/>
      <c r="T115" s="101"/>
      <c r="U115" s="488"/>
      <c r="W115" s="482"/>
    </row>
    <row r="116" spans="1:23" s="68" customFormat="1" ht="14.25" customHeight="1">
      <c r="A116" s="400" t="s">
        <v>2648</v>
      </c>
      <c r="B116" s="396" t="s">
        <v>312</v>
      </c>
      <c r="C116" s="396" t="s">
        <v>2598</v>
      </c>
      <c r="D116" s="431"/>
      <c r="E116" s="68">
        <v>197020</v>
      </c>
      <c r="J116" s="68" t="s">
        <v>794</v>
      </c>
      <c r="K116" s="68" t="s">
        <v>794</v>
      </c>
      <c r="L116" s="68" t="s">
        <v>794</v>
      </c>
      <c r="N116" s="482">
        <v>20.404491424560501</v>
      </c>
      <c r="O116" s="482">
        <v>93.321144104003906</v>
      </c>
      <c r="P116" s="482" t="s">
        <v>795</v>
      </c>
      <c r="R116" s="95"/>
      <c r="S116" s="96"/>
      <c r="T116" s="101"/>
      <c r="U116" s="97"/>
      <c r="W116" s="396"/>
    </row>
    <row r="117" spans="1:23" s="68" customFormat="1" ht="14.25" customHeight="1">
      <c r="A117" s="487" t="s">
        <v>2648</v>
      </c>
      <c r="B117" s="482" t="s">
        <v>312</v>
      </c>
      <c r="C117" s="482" t="s">
        <v>2616</v>
      </c>
      <c r="D117" s="431"/>
      <c r="E117" s="68">
        <v>220651</v>
      </c>
      <c r="J117" s="68" t="s">
        <v>794</v>
      </c>
      <c r="K117" s="68" t="s">
        <v>794</v>
      </c>
      <c r="L117" s="68" t="s">
        <v>794</v>
      </c>
      <c r="N117" s="482">
        <v>20.494003295898398</v>
      </c>
      <c r="O117" s="482">
        <v>93.324035644531307</v>
      </c>
      <c r="P117" s="482" t="s">
        <v>795</v>
      </c>
      <c r="R117" s="486"/>
      <c r="S117" s="400"/>
      <c r="T117" s="101"/>
      <c r="U117" s="488"/>
      <c r="W117" s="482"/>
    </row>
    <row r="118" spans="1:23" s="68" customFormat="1" ht="14.25" customHeight="1">
      <c r="A118" s="400" t="s">
        <v>2648</v>
      </c>
      <c r="B118" s="396" t="s">
        <v>312</v>
      </c>
      <c r="C118" s="396" t="s">
        <v>895</v>
      </c>
      <c r="D118" s="431" t="s">
        <v>2712</v>
      </c>
      <c r="E118" s="68" t="s">
        <v>1389</v>
      </c>
      <c r="F118" s="68" t="s">
        <v>876</v>
      </c>
      <c r="G118" s="68" t="s">
        <v>895</v>
      </c>
      <c r="J118" s="68" t="s">
        <v>794</v>
      </c>
      <c r="K118" s="68" t="s">
        <v>794</v>
      </c>
      <c r="L118" s="68" t="s">
        <v>879</v>
      </c>
      <c r="M118" s="68" t="s">
        <v>791</v>
      </c>
      <c r="N118" s="68">
        <v>20.480898</v>
      </c>
      <c r="O118" s="68">
        <v>93.299485000000004</v>
      </c>
      <c r="P118" s="482" t="s">
        <v>795</v>
      </c>
      <c r="R118" s="399">
        <v>87</v>
      </c>
      <c r="S118" s="400">
        <v>444</v>
      </c>
      <c r="T118" s="101"/>
      <c r="U118" s="97" t="s">
        <v>856</v>
      </c>
      <c r="V118" s="68" t="s">
        <v>895</v>
      </c>
      <c r="W118" s="396"/>
    </row>
    <row r="119" spans="1:23" s="68" customFormat="1" ht="14.25" customHeight="1">
      <c r="A119" s="400" t="s">
        <v>2648</v>
      </c>
      <c r="B119" s="396" t="s">
        <v>312</v>
      </c>
      <c r="C119" s="396" t="s">
        <v>2610</v>
      </c>
      <c r="D119" s="431"/>
      <c r="E119" s="68">
        <v>197090</v>
      </c>
      <c r="J119" s="68" t="s">
        <v>794</v>
      </c>
      <c r="K119" s="396" t="s">
        <v>794</v>
      </c>
      <c r="L119" s="396" t="s">
        <v>794</v>
      </c>
      <c r="N119" s="482">
        <v>20.445030212402301</v>
      </c>
      <c r="O119" s="482">
        <v>93.312812805175795</v>
      </c>
      <c r="P119" s="482" t="s">
        <v>795</v>
      </c>
      <c r="R119" s="95"/>
      <c r="S119" s="400"/>
      <c r="T119" s="101"/>
      <c r="U119" s="97"/>
    </row>
    <row r="120" spans="1:23" s="68" customFormat="1" ht="14.25" customHeight="1">
      <c r="A120" s="400" t="s">
        <v>2648</v>
      </c>
      <c r="B120" s="396" t="s">
        <v>312</v>
      </c>
      <c r="C120" s="396" t="s">
        <v>462</v>
      </c>
      <c r="D120" s="431" t="s">
        <v>1656</v>
      </c>
      <c r="E120" s="68">
        <v>196994</v>
      </c>
      <c r="J120" s="68" t="s">
        <v>794</v>
      </c>
      <c r="K120" s="396" t="s">
        <v>794</v>
      </c>
      <c r="L120" s="396" t="s">
        <v>794</v>
      </c>
      <c r="M120" s="68" t="s">
        <v>885</v>
      </c>
      <c r="N120" s="68">
        <v>20.394809720000001</v>
      </c>
      <c r="O120" s="68">
        <v>93.251609799999997</v>
      </c>
      <c r="P120" s="482" t="s">
        <v>795</v>
      </c>
      <c r="Q120" s="68" t="s">
        <v>776</v>
      </c>
      <c r="R120" s="95"/>
      <c r="S120" s="96"/>
      <c r="T120" s="101"/>
      <c r="U120" s="97"/>
      <c r="V120" s="68" t="s">
        <v>886</v>
      </c>
    </row>
    <row r="121" spans="1:23" s="68" customFormat="1" ht="14.25" customHeight="1">
      <c r="A121" s="400" t="s">
        <v>2648</v>
      </c>
      <c r="B121" s="396" t="s">
        <v>312</v>
      </c>
      <c r="C121" s="396" t="s">
        <v>313</v>
      </c>
      <c r="D121" s="431" t="s">
        <v>1656</v>
      </c>
      <c r="E121" s="482">
        <v>197174</v>
      </c>
      <c r="J121" s="68" t="s">
        <v>794</v>
      </c>
      <c r="K121" s="68" t="s">
        <v>794</v>
      </c>
      <c r="L121" s="68" t="s">
        <v>794</v>
      </c>
      <c r="M121" s="68" t="s">
        <v>294</v>
      </c>
      <c r="N121" s="482">
        <v>0</v>
      </c>
      <c r="O121" s="482">
        <v>0</v>
      </c>
      <c r="P121" s="68" t="s">
        <v>795</v>
      </c>
      <c r="Q121" s="68" t="s">
        <v>776</v>
      </c>
      <c r="R121" s="95"/>
      <c r="S121" s="400"/>
      <c r="T121" s="101" t="s">
        <v>801</v>
      </c>
      <c r="U121" s="97"/>
    </row>
    <row r="122" spans="1:23" s="68" customFormat="1" ht="14.25" customHeight="1">
      <c r="A122" s="400" t="s">
        <v>2648</v>
      </c>
      <c r="B122" s="396" t="s">
        <v>312</v>
      </c>
      <c r="C122" s="396" t="s">
        <v>2614</v>
      </c>
      <c r="D122" s="431"/>
      <c r="E122" s="68">
        <v>197099</v>
      </c>
      <c r="J122" s="68" t="s">
        <v>794</v>
      </c>
      <c r="K122" s="68" t="s">
        <v>794</v>
      </c>
      <c r="L122" s="68" t="s">
        <v>794</v>
      </c>
      <c r="N122" s="482">
        <v>20.424299240112301</v>
      </c>
      <c r="O122" s="482">
        <v>93.337341308593807</v>
      </c>
      <c r="P122" s="482" t="s">
        <v>795</v>
      </c>
      <c r="R122" s="95"/>
      <c r="S122" s="400"/>
      <c r="T122" s="101"/>
      <c r="U122" s="97"/>
    </row>
    <row r="123" spans="1:23" s="68" customFormat="1" ht="14.25" customHeight="1">
      <c r="A123" s="487" t="s">
        <v>2648</v>
      </c>
      <c r="B123" s="482" t="s">
        <v>312</v>
      </c>
      <c r="C123" s="482" t="s">
        <v>867</v>
      </c>
      <c r="D123" s="431" t="s">
        <v>1656</v>
      </c>
      <c r="E123" s="68">
        <v>197176</v>
      </c>
      <c r="F123" s="68" t="s">
        <v>516</v>
      </c>
      <c r="J123" s="68" t="s">
        <v>794</v>
      </c>
      <c r="K123" s="68" t="s">
        <v>794</v>
      </c>
      <c r="L123" s="68" t="s">
        <v>794</v>
      </c>
      <c r="M123" s="68" t="s">
        <v>791</v>
      </c>
      <c r="N123" s="396">
        <v>20.203340529999998</v>
      </c>
      <c r="O123" s="396">
        <v>93.426139829999997</v>
      </c>
      <c r="P123" s="482" t="s">
        <v>795</v>
      </c>
      <c r="R123" s="486"/>
      <c r="S123" s="400"/>
      <c r="T123" s="101"/>
      <c r="U123" s="482"/>
      <c r="V123" s="68" t="s">
        <v>868</v>
      </c>
      <c r="W123" s="482"/>
    </row>
    <row r="124" spans="1:23" s="68" customFormat="1" ht="14.25" customHeight="1">
      <c r="A124" s="400" t="s">
        <v>2648</v>
      </c>
      <c r="B124" s="482" t="s">
        <v>312</v>
      </c>
      <c r="C124" s="482" t="s">
        <v>2619</v>
      </c>
      <c r="D124" s="431"/>
      <c r="E124" s="68">
        <v>197111</v>
      </c>
      <c r="J124" s="68" t="s">
        <v>794</v>
      </c>
      <c r="K124" s="68" t="s">
        <v>794</v>
      </c>
      <c r="L124" s="68" t="s">
        <v>794</v>
      </c>
      <c r="N124" s="482">
        <v>20.382389068603501</v>
      </c>
      <c r="O124" s="482">
        <v>93.373863220214801</v>
      </c>
      <c r="P124" s="482" t="s">
        <v>795</v>
      </c>
      <c r="R124" s="399"/>
      <c r="S124" s="400"/>
      <c r="T124" s="101"/>
      <c r="U124" s="97"/>
      <c r="W124" s="396"/>
    </row>
    <row r="125" spans="1:23" s="68" customFormat="1" ht="14.25" customHeight="1">
      <c r="A125" s="490" t="s">
        <v>2648</v>
      </c>
      <c r="B125" s="490" t="s">
        <v>312</v>
      </c>
      <c r="C125" s="491" t="s">
        <v>2725</v>
      </c>
      <c r="D125" s="485"/>
      <c r="E125" s="396"/>
      <c r="F125" s="396"/>
      <c r="G125" s="396"/>
      <c r="H125" s="396"/>
      <c r="I125" s="396"/>
      <c r="J125" s="68" t="s">
        <v>2652</v>
      </c>
      <c r="K125" s="68" t="s">
        <v>2622</v>
      </c>
      <c r="L125" s="68" t="s">
        <v>2622</v>
      </c>
      <c r="M125" s="396"/>
      <c r="N125" s="396"/>
      <c r="O125" s="396"/>
      <c r="P125" s="68" t="s">
        <v>1972</v>
      </c>
      <c r="Q125" s="396"/>
      <c r="R125" s="494"/>
      <c r="S125" s="400"/>
      <c r="T125" s="412">
        <v>43591</v>
      </c>
      <c r="U125" s="494"/>
      <c r="V125" s="396"/>
      <c r="W125" s="486"/>
    </row>
    <row r="126" spans="1:23" s="68" customFormat="1" ht="14.25" customHeight="1">
      <c r="A126" s="400" t="s">
        <v>2648</v>
      </c>
      <c r="B126" s="482" t="s">
        <v>312</v>
      </c>
      <c r="C126" s="482" t="s">
        <v>2607</v>
      </c>
      <c r="D126" s="431"/>
      <c r="E126" s="396">
        <v>197042</v>
      </c>
      <c r="F126" s="396"/>
      <c r="G126" s="396"/>
      <c r="H126" s="396"/>
      <c r="I126" s="396"/>
      <c r="J126" s="396" t="s">
        <v>794</v>
      </c>
      <c r="K126" s="396" t="s">
        <v>794</v>
      </c>
      <c r="L126" s="396" t="s">
        <v>794</v>
      </c>
      <c r="M126" s="396"/>
      <c r="N126" s="482">
        <v>20.478410720825199</v>
      </c>
      <c r="O126" s="482">
        <v>93.28662109375</v>
      </c>
      <c r="P126" s="396" t="s">
        <v>795</v>
      </c>
      <c r="Q126" s="396"/>
      <c r="R126" s="399"/>
      <c r="S126" s="400"/>
      <c r="T126" s="412"/>
      <c r="U126" s="401"/>
      <c r="V126" s="396"/>
      <c r="W126" s="396"/>
    </row>
    <row r="127" spans="1:23" s="68" customFormat="1" ht="14.25" customHeight="1">
      <c r="A127" s="400" t="s">
        <v>2648</v>
      </c>
      <c r="B127" s="482" t="s">
        <v>312</v>
      </c>
      <c r="C127" s="482" t="s">
        <v>464</v>
      </c>
      <c r="D127" s="431" t="s">
        <v>1656</v>
      </c>
      <c r="E127" s="68">
        <v>196996</v>
      </c>
      <c r="J127" s="68" t="s">
        <v>794</v>
      </c>
      <c r="K127" s="68" t="s">
        <v>794</v>
      </c>
      <c r="L127" s="68" t="s">
        <v>794</v>
      </c>
      <c r="M127" s="68" t="s">
        <v>294</v>
      </c>
      <c r="N127" s="68">
        <v>20.398889539999999</v>
      </c>
      <c r="O127" s="68">
        <v>93.25405121</v>
      </c>
      <c r="P127" s="482" t="s">
        <v>795</v>
      </c>
      <c r="Q127" s="68" t="s">
        <v>776</v>
      </c>
      <c r="R127" s="95"/>
      <c r="S127" s="96"/>
      <c r="T127" s="101"/>
      <c r="U127" s="97"/>
      <c r="V127" s="68" t="s">
        <v>464</v>
      </c>
    </row>
    <row r="128" spans="1:23" s="68" customFormat="1" ht="14.25" customHeight="1">
      <c r="A128" s="400" t="s">
        <v>2648</v>
      </c>
      <c r="B128" s="482" t="s">
        <v>312</v>
      </c>
      <c r="C128" s="482" t="s">
        <v>2608</v>
      </c>
      <c r="D128" s="431"/>
      <c r="E128" s="68">
        <v>197043</v>
      </c>
      <c r="J128" s="68" t="s">
        <v>794</v>
      </c>
      <c r="K128" s="68" t="s">
        <v>794</v>
      </c>
      <c r="L128" s="68" t="s">
        <v>794</v>
      </c>
      <c r="N128" s="482">
        <v>20.481389999389599</v>
      </c>
      <c r="O128" s="482">
        <v>93.283447265625</v>
      </c>
      <c r="P128" s="482" t="s">
        <v>795</v>
      </c>
      <c r="R128" s="95"/>
      <c r="S128" s="400"/>
      <c r="T128" s="101"/>
      <c r="U128" s="97"/>
    </row>
    <row r="129" spans="1:23" s="68" customFormat="1" ht="14.25" customHeight="1">
      <c r="A129" s="400" t="s">
        <v>2648</v>
      </c>
      <c r="B129" s="482" t="s">
        <v>312</v>
      </c>
      <c r="C129" s="482" t="s">
        <v>444</v>
      </c>
      <c r="D129" s="431" t="s">
        <v>1656</v>
      </c>
      <c r="E129" s="482">
        <v>220671</v>
      </c>
      <c r="J129" s="68" t="s">
        <v>794</v>
      </c>
      <c r="K129" s="68" t="s">
        <v>794</v>
      </c>
      <c r="L129" s="68" t="s">
        <v>794</v>
      </c>
      <c r="M129" s="68" t="s">
        <v>294</v>
      </c>
      <c r="N129" s="482">
        <v>20.218471529999999</v>
      </c>
      <c r="O129" s="482">
        <v>93.424331670000001</v>
      </c>
      <c r="P129" s="482" t="s">
        <v>795</v>
      </c>
      <c r="Q129" s="68" t="s">
        <v>776</v>
      </c>
      <c r="R129" s="399"/>
      <c r="S129" s="400"/>
      <c r="T129" s="101"/>
      <c r="U129" s="97"/>
      <c r="V129" s="68" t="s">
        <v>870</v>
      </c>
      <c r="W129" s="396"/>
    </row>
    <row r="130" spans="1:23" s="68" customFormat="1" ht="14.25" customHeight="1">
      <c r="A130" s="400" t="s">
        <v>2648</v>
      </c>
      <c r="B130" s="482" t="s">
        <v>312</v>
      </c>
      <c r="C130" s="482" t="s">
        <v>2596</v>
      </c>
      <c r="D130" s="431"/>
      <c r="E130" s="68">
        <v>197017</v>
      </c>
      <c r="J130" s="68" t="s">
        <v>794</v>
      </c>
      <c r="K130" s="396" t="s">
        <v>794</v>
      </c>
      <c r="L130" s="396" t="s">
        <v>794</v>
      </c>
      <c r="N130" s="482">
        <v>20.3927307128906</v>
      </c>
      <c r="O130" s="482">
        <v>93.304817199707003</v>
      </c>
      <c r="P130" s="482" t="s">
        <v>795</v>
      </c>
      <c r="R130" s="399"/>
      <c r="S130" s="96"/>
      <c r="T130" s="101"/>
      <c r="U130" s="97"/>
    </row>
    <row r="131" spans="1:23" s="68" customFormat="1" ht="14.25" customHeight="1">
      <c r="A131" s="487" t="s">
        <v>2648</v>
      </c>
      <c r="B131" s="490" t="s">
        <v>312</v>
      </c>
      <c r="C131" s="491" t="s">
        <v>2720</v>
      </c>
      <c r="D131" s="485"/>
      <c r="E131" s="68">
        <v>197065</v>
      </c>
      <c r="J131" s="68" t="s">
        <v>2652</v>
      </c>
      <c r="K131" s="68" t="s">
        <v>2622</v>
      </c>
      <c r="L131" s="68" t="s">
        <v>2622</v>
      </c>
      <c r="N131" s="68">
        <v>20.593980789184599</v>
      </c>
      <c r="O131" s="68">
        <v>93.261528015136705</v>
      </c>
      <c r="P131" s="68" t="s">
        <v>1972</v>
      </c>
      <c r="R131" s="494"/>
      <c r="S131" s="400"/>
      <c r="T131" s="101">
        <v>43591</v>
      </c>
      <c r="U131" s="494"/>
      <c r="W131" s="486"/>
    </row>
    <row r="132" spans="1:23" s="68" customFormat="1" ht="14.25" customHeight="1">
      <c r="A132" s="400" t="s">
        <v>2648</v>
      </c>
      <c r="B132" s="482" t="s">
        <v>312</v>
      </c>
      <c r="C132" s="482" t="s">
        <v>2606</v>
      </c>
      <c r="D132" s="431"/>
      <c r="E132" s="68">
        <v>197041</v>
      </c>
      <c r="J132" s="68" t="s">
        <v>794</v>
      </c>
      <c r="K132" s="68" t="s">
        <v>794</v>
      </c>
      <c r="L132" s="68" t="s">
        <v>794</v>
      </c>
      <c r="N132" s="482">
        <v>20.4733695983887</v>
      </c>
      <c r="O132" s="482">
        <v>93.291687011718807</v>
      </c>
      <c r="P132" s="68" t="s">
        <v>795</v>
      </c>
      <c r="R132" s="399"/>
      <c r="S132" s="400"/>
      <c r="T132" s="101"/>
      <c r="U132" s="97"/>
      <c r="W132" s="396"/>
    </row>
    <row r="133" spans="1:23" s="68" customFormat="1" ht="14.25" customHeight="1">
      <c r="A133" s="490" t="s">
        <v>2648</v>
      </c>
      <c r="B133" s="490" t="s">
        <v>312</v>
      </c>
      <c r="C133" s="491" t="s">
        <v>2744</v>
      </c>
      <c r="D133" s="485"/>
      <c r="J133" s="68" t="s">
        <v>2652</v>
      </c>
      <c r="K133" s="68" t="s">
        <v>2622</v>
      </c>
      <c r="L133" s="68" t="s">
        <v>2622</v>
      </c>
      <c r="P133" s="68" t="s">
        <v>1972</v>
      </c>
      <c r="R133" s="494"/>
      <c r="S133" s="400"/>
      <c r="T133" s="101">
        <v>43591</v>
      </c>
      <c r="U133" s="494"/>
      <c r="W133" s="486"/>
    </row>
    <row r="134" spans="1:23" s="68" customFormat="1" ht="14.25" customHeight="1">
      <c r="A134" s="400" t="s">
        <v>2648</v>
      </c>
      <c r="B134" s="482" t="s">
        <v>312</v>
      </c>
      <c r="C134" s="482" t="s">
        <v>2617</v>
      </c>
      <c r="D134" s="431"/>
      <c r="E134" s="68">
        <v>197103</v>
      </c>
      <c r="J134" s="68" t="s">
        <v>794</v>
      </c>
      <c r="K134" s="68" t="s">
        <v>794</v>
      </c>
      <c r="L134" s="68" t="s">
        <v>794</v>
      </c>
      <c r="N134" s="482">
        <v>20.476139068603501</v>
      </c>
      <c r="O134" s="482">
        <v>93.338516235351605</v>
      </c>
      <c r="P134" s="68" t="s">
        <v>795</v>
      </c>
      <c r="R134" s="95"/>
      <c r="S134" s="96"/>
      <c r="T134" s="101"/>
      <c r="U134" s="97"/>
    </row>
    <row r="135" spans="1:23" s="68" customFormat="1" ht="14.25" customHeight="1">
      <c r="A135" s="400" t="s">
        <v>2648</v>
      </c>
      <c r="B135" s="482" t="s">
        <v>312</v>
      </c>
      <c r="C135" s="482" t="s">
        <v>2600</v>
      </c>
      <c r="D135" s="431"/>
      <c r="E135" s="68">
        <v>197028</v>
      </c>
      <c r="J135" s="68" t="s">
        <v>794</v>
      </c>
      <c r="K135" s="68" t="s">
        <v>794</v>
      </c>
      <c r="L135" s="68" t="s">
        <v>794</v>
      </c>
      <c r="N135" s="482">
        <v>20.4226398468018</v>
      </c>
      <c r="O135" s="482">
        <v>93.307182312011705</v>
      </c>
      <c r="P135" s="482" t="s">
        <v>795</v>
      </c>
      <c r="R135" s="95"/>
      <c r="S135" s="96"/>
      <c r="T135" s="101"/>
      <c r="U135" s="97"/>
    </row>
    <row r="136" spans="1:23" s="68" customFormat="1" ht="14.25" customHeight="1">
      <c r="A136" s="400" t="s">
        <v>2648</v>
      </c>
      <c r="B136" s="482" t="s">
        <v>312</v>
      </c>
      <c r="C136" s="482" t="s">
        <v>2599</v>
      </c>
      <c r="D136" s="431"/>
      <c r="E136" s="68">
        <v>197027</v>
      </c>
      <c r="J136" s="68" t="s">
        <v>794</v>
      </c>
      <c r="K136" s="68" t="s">
        <v>794</v>
      </c>
      <c r="L136" s="68" t="s">
        <v>794</v>
      </c>
      <c r="N136" s="482">
        <v>20.428560256958001</v>
      </c>
      <c r="O136" s="482">
        <v>93.305938720703097</v>
      </c>
      <c r="P136" s="482" t="s">
        <v>795</v>
      </c>
      <c r="R136" s="399"/>
      <c r="S136" s="96"/>
      <c r="T136" s="101"/>
      <c r="U136" s="97"/>
      <c r="W136" s="396"/>
    </row>
    <row r="137" spans="1:23" s="68" customFormat="1" ht="14.25" customHeight="1">
      <c r="A137" s="400" t="s">
        <v>2648</v>
      </c>
      <c r="B137" s="482" t="s">
        <v>312</v>
      </c>
      <c r="C137" s="482" t="s">
        <v>882</v>
      </c>
      <c r="D137" s="431" t="s">
        <v>2712</v>
      </c>
      <c r="E137" s="395" t="s">
        <v>1381</v>
      </c>
      <c r="F137" s="396" t="s">
        <v>1746</v>
      </c>
      <c r="G137" s="68" t="s">
        <v>1746</v>
      </c>
      <c r="J137" s="68" t="s">
        <v>794</v>
      </c>
      <c r="K137" s="68" t="s">
        <v>794</v>
      </c>
      <c r="L137" s="68" t="s">
        <v>879</v>
      </c>
      <c r="M137" s="68" t="s">
        <v>791</v>
      </c>
      <c r="N137" s="497">
        <v>20.377523</v>
      </c>
      <c r="O137" s="407">
        <v>93.271642</v>
      </c>
      <c r="P137" s="482" t="s">
        <v>795</v>
      </c>
      <c r="Q137" s="396"/>
      <c r="R137" s="399">
        <v>19</v>
      </c>
      <c r="S137" s="400">
        <v>142</v>
      </c>
      <c r="T137" s="412"/>
      <c r="U137" s="97" t="s">
        <v>856</v>
      </c>
      <c r="V137" s="68" t="s">
        <v>882</v>
      </c>
      <c r="W137" s="396"/>
    </row>
    <row r="138" spans="1:23" s="68" customFormat="1" ht="14.25" customHeight="1">
      <c r="A138" s="400" t="s">
        <v>2648</v>
      </c>
      <c r="B138" s="482" t="s">
        <v>312</v>
      </c>
      <c r="C138" s="482" t="s">
        <v>658</v>
      </c>
      <c r="D138" s="431"/>
      <c r="E138" s="68">
        <v>197110</v>
      </c>
      <c r="F138" s="68" t="s">
        <v>2690</v>
      </c>
      <c r="J138" s="68" t="s">
        <v>794</v>
      </c>
      <c r="K138" s="68" t="s">
        <v>794</v>
      </c>
      <c r="L138" s="68" t="s">
        <v>794</v>
      </c>
      <c r="N138" s="482">
        <v>0</v>
      </c>
      <c r="O138" s="482">
        <v>0</v>
      </c>
      <c r="P138" s="482" t="s">
        <v>795</v>
      </c>
      <c r="R138" s="399"/>
      <c r="S138" s="400"/>
      <c r="T138" s="101"/>
      <c r="U138" s="97"/>
      <c r="W138" s="396"/>
    </row>
    <row r="139" spans="1:23" s="68" customFormat="1" ht="14.25" customHeight="1">
      <c r="A139" s="490" t="s">
        <v>2648</v>
      </c>
      <c r="B139" s="490" t="s">
        <v>312</v>
      </c>
      <c r="C139" s="491" t="s">
        <v>2724</v>
      </c>
      <c r="D139" s="485"/>
      <c r="E139" s="68">
        <v>197051</v>
      </c>
      <c r="J139" s="68" t="s">
        <v>2652</v>
      </c>
      <c r="K139" s="68" t="s">
        <v>2622</v>
      </c>
      <c r="L139" s="396" t="s">
        <v>2622</v>
      </c>
      <c r="N139" s="68">
        <v>20.599809646606399</v>
      </c>
      <c r="O139" s="68">
        <v>93.265541076660199</v>
      </c>
      <c r="P139" s="482" t="s">
        <v>1972</v>
      </c>
      <c r="R139" s="494"/>
      <c r="S139" s="96"/>
      <c r="T139" s="101">
        <v>43591</v>
      </c>
      <c r="U139" s="494"/>
      <c r="W139" s="486"/>
    </row>
    <row r="140" spans="1:23" s="68" customFormat="1" ht="14.25" customHeight="1">
      <c r="A140" s="400" t="s">
        <v>2648</v>
      </c>
      <c r="B140" s="484" t="s">
        <v>312</v>
      </c>
      <c r="C140" s="71" t="s">
        <v>876</v>
      </c>
      <c r="D140" s="431"/>
      <c r="E140" s="396">
        <v>197149</v>
      </c>
      <c r="F140" s="396" t="s">
        <v>876</v>
      </c>
      <c r="G140" s="396"/>
      <c r="H140" s="396"/>
      <c r="I140" s="396"/>
      <c r="J140" s="68" t="s">
        <v>794</v>
      </c>
      <c r="K140" s="396" t="s">
        <v>794</v>
      </c>
      <c r="L140" s="396" t="s">
        <v>794</v>
      </c>
      <c r="M140" s="396"/>
      <c r="N140" s="482">
        <v>20.466840744018601</v>
      </c>
      <c r="O140" s="482">
        <v>93.304931640625</v>
      </c>
      <c r="P140" s="482" t="s">
        <v>795</v>
      </c>
      <c r="Q140" s="396"/>
      <c r="R140" s="399"/>
      <c r="S140" s="400"/>
      <c r="T140" s="412"/>
      <c r="U140" s="401"/>
      <c r="V140" s="396"/>
      <c r="W140" s="396"/>
    </row>
    <row r="141" spans="1:23" s="68" customFormat="1" ht="14.25" customHeight="1">
      <c r="A141" s="400" t="s">
        <v>2648</v>
      </c>
      <c r="B141" s="397" t="s">
        <v>312</v>
      </c>
      <c r="C141" s="397" t="s">
        <v>891</v>
      </c>
      <c r="D141" s="431" t="s">
        <v>2712</v>
      </c>
      <c r="E141" s="68" t="s">
        <v>1385</v>
      </c>
      <c r="F141" s="396" t="s">
        <v>1852</v>
      </c>
      <c r="G141" s="68" t="s">
        <v>1853</v>
      </c>
      <c r="J141" s="68" t="s">
        <v>794</v>
      </c>
      <c r="K141" s="396" t="s">
        <v>794</v>
      </c>
      <c r="L141" s="396" t="s">
        <v>879</v>
      </c>
      <c r="M141" s="68" t="s">
        <v>791</v>
      </c>
      <c r="N141" s="68">
        <v>20.407971</v>
      </c>
      <c r="O141" s="68">
        <v>93.313627999999994</v>
      </c>
      <c r="P141" s="68" t="s">
        <v>795</v>
      </c>
      <c r="R141" s="399">
        <v>228</v>
      </c>
      <c r="S141" s="400">
        <v>1377</v>
      </c>
      <c r="T141" s="101"/>
      <c r="U141" s="97" t="s">
        <v>856</v>
      </c>
      <c r="V141" s="68" t="s">
        <v>891</v>
      </c>
      <c r="W141" s="396"/>
    </row>
    <row r="142" spans="1:23" s="68" customFormat="1" ht="14.25" customHeight="1">
      <c r="A142" s="400" t="s">
        <v>2648</v>
      </c>
      <c r="B142" s="397" t="s">
        <v>312</v>
      </c>
      <c r="C142" s="397" t="s">
        <v>465</v>
      </c>
      <c r="D142" s="431" t="s">
        <v>2712</v>
      </c>
      <c r="E142" s="68" t="s">
        <v>1383</v>
      </c>
      <c r="F142" s="68" t="s">
        <v>462</v>
      </c>
      <c r="G142" s="68" t="s">
        <v>465</v>
      </c>
      <c r="J142" s="68" t="s">
        <v>794</v>
      </c>
      <c r="K142" s="68" t="s">
        <v>794</v>
      </c>
      <c r="L142" s="68" t="s">
        <v>879</v>
      </c>
      <c r="M142" s="68" t="s">
        <v>791</v>
      </c>
      <c r="N142" s="396">
        <v>20.39902</v>
      </c>
      <c r="O142" s="396">
        <v>93.249669999999995</v>
      </c>
      <c r="P142" s="68" t="s">
        <v>795</v>
      </c>
      <c r="Q142" s="68" t="s">
        <v>776</v>
      </c>
      <c r="R142" s="399">
        <v>86</v>
      </c>
      <c r="S142" s="400">
        <v>476</v>
      </c>
      <c r="T142" s="101"/>
      <c r="U142" s="97"/>
      <c r="V142" s="68" t="s">
        <v>890</v>
      </c>
    </row>
    <row r="143" spans="1:23" s="68" customFormat="1" ht="14.25" customHeight="1">
      <c r="A143" s="400" t="s">
        <v>2648</v>
      </c>
      <c r="B143" s="397" t="s">
        <v>312</v>
      </c>
      <c r="C143" s="397" t="s">
        <v>2605</v>
      </c>
      <c r="D143" s="431"/>
      <c r="E143" s="396">
        <v>197039</v>
      </c>
      <c r="F143" s="396"/>
      <c r="G143" s="396"/>
      <c r="H143" s="396"/>
      <c r="I143" s="396"/>
      <c r="J143" s="68" t="s">
        <v>794</v>
      </c>
      <c r="K143" s="68" t="s">
        <v>794</v>
      </c>
      <c r="L143" s="68" t="s">
        <v>794</v>
      </c>
      <c r="M143" s="396"/>
      <c r="N143" s="482">
        <v>20.463020324706999</v>
      </c>
      <c r="O143" s="482">
        <v>93.296417236328097</v>
      </c>
      <c r="P143" s="482" t="s">
        <v>795</v>
      </c>
      <c r="Q143" s="396"/>
      <c r="R143" s="399"/>
      <c r="S143" s="400"/>
      <c r="T143" s="412"/>
      <c r="U143" s="401"/>
      <c r="V143" s="396"/>
      <c r="W143" s="396"/>
    </row>
    <row r="144" spans="1:23" s="68" customFormat="1" ht="14.25" customHeight="1">
      <c r="A144" s="400" t="s">
        <v>2648</v>
      </c>
      <c r="B144" s="397" t="s">
        <v>312</v>
      </c>
      <c r="C144" s="397" t="s">
        <v>1855</v>
      </c>
      <c r="D144" s="431"/>
      <c r="E144" s="68">
        <v>197023</v>
      </c>
      <c r="F144" s="396"/>
      <c r="J144" s="68" t="s">
        <v>794</v>
      </c>
      <c r="K144" s="68" t="s">
        <v>794</v>
      </c>
      <c r="L144" s="68" t="s">
        <v>794</v>
      </c>
      <c r="N144" s="482">
        <v>20.410850524902301</v>
      </c>
      <c r="O144" s="482">
        <v>93.315032958984403</v>
      </c>
      <c r="P144" s="482" t="s">
        <v>795</v>
      </c>
      <c r="R144" s="399"/>
      <c r="S144" s="400"/>
      <c r="T144" s="101"/>
      <c r="U144" s="97"/>
      <c r="W144" s="396"/>
    </row>
    <row r="145" spans="1:23" s="68" customFormat="1" ht="14.25" customHeight="1">
      <c r="A145" s="400" t="s">
        <v>2648</v>
      </c>
      <c r="B145" s="397" t="s">
        <v>312</v>
      </c>
      <c r="C145" s="397" t="s">
        <v>2597</v>
      </c>
      <c r="D145" s="431"/>
      <c r="E145" s="68">
        <v>197022</v>
      </c>
      <c r="J145" s="68" t="s">
        <v>794</v>
      </c>
      <c r="K145" s="68" t="s">
        <v>794</v>
      </c>
      <c r="L145" s="68" t="s">
        <v>794</v>
      </c>
      <c r="N145" s="482">
        <v>20.406982421875</v>
      </c>
      <c r="O145" s="482">
        <v>93.312507629394503</v>
      </c>
      <c r="P145" s="482" t="s">
        <v>795</v>
      </c>
      <c r="R145" s="95"/>
      <c r="S145" s="400"/>
      <c r="T145" s="101"/>
      <c r="U145" s="97"/>
    </row>
    <row r="146" spans="1:23" s="68" customFormat="1" ht="14.25" customHeight="1">
      <c r="A146" s="400" t="s">
        <v>2648</v>
      </c>
      <c r="B146" s="397" t="s">
        <v>312</v>
      </c>
      <c r="C146" s="397" t="s">
        <v>2618</v>
      </c>
      <c r="D146" s="431"/>
      <c r="E146" s="68">
        <v>197114</v>
      </c>
      <c r="F146" s="68" t="s">
        <v>2690</v>
      </c>
      <c r="J146" s="68" t="s">
        <v>794</v>
      </c>
      <c r="K146" s="68" t="s">
        <v>794</v>
      </c>
      <c r="L146" s="68" t="s">
        <v>794</v>
      </c>
      <c r="N146" s="482">
        <v>20.410079956054702</v>
      </c>
      <c r="O146" s="482">
        <v>93.37109375</v>
      </c>
      <c r="P146" s="482" t="s">
        <v>795</v>
      </c>
      <c r="R146" s="95"/>
      <c r="S146" s="400"/>
      <c r="T146" s="101"/>
      <c r="U146" s="97"/>
      <c r="W146" s="396"/>
    </row>
    <row r="147" spans="1:23" s="68" customFormat="1" ht="14.25" customHeight="1">
      <c r="A147" s="400" t="s">
        <v>2648</v>
      </c>
      <c r="B147" s="397" t="s">
        <v>312</v>
      </c>
      <c r="C147" s="397" t="s">
        <v>892</v>
      </c>
      <c r="D147" s="431" t="s">
        <v>2712</v>
      </c>
      <c r="E147" s="68" t="s">
        <v>1387</v>
      </c>
      <c r="F147" s="396" t="s">
        <v>1854</v>
      </c>
      <c r="G147" s="68" t="s">
        <v>1855</v>
      </c>
      <c r="J147" s="68" t="s">
        <v>794</v>
      </c>
      <c r="K147" s="68" t="s">
        <v>794</v>
      </c>
      <c r="L147" s="68" t="s">
        <v>879</v>
      </c>
      <c r="M147" s="68" t="s">
        <v>294</v>
      </c>
      <c r="N147" s="68">
        <v>20.409645000000001</v>
      </c>
      <c r="O147" s="68">
        <v>93.314695</v>
      </c>
      <c r="P147" s="482" t="s">
        <v>795</v>
      </c>
      <c r="R147" s="95">
        <v>18</v>
      </c>
      <c r="S147" s="400">
        <v>72</v>
      </c>
      <c r="T147" s="101"/>
      <c r="U147" s="97" t="s">
        <v>856</v>
      </c>
      <c r="V147" s="68" t="s">
        <v>892</v>
      </c>
    </row>
    <row r="148" spans="1:23" s="68" customFormat="1" ht="14.25" customHeight="1">
      <c r="A148" s="487" t="s">
        <v>2648</v>
      </c>
      <c r="B148" s="482" t="s">
        <v>312</v>
      </c>
      <c r="C148" s="484" t="s">
        <v>490</v>
      </c>
      <c r="D148" s="431" t="s">
        <v>1656</v>
      </c>
      <c r="E148" s="68">
        <v>197067</v>
      </c>
      <c r="J148" s="68" t="s">
        <v>794</v>
      </c>
      <c r="K148" s="68" t="s">
        <v>794</v>
      </c>
      <c r="L148" s="68" t="s">
        <v>794</v>
      </c>
      <c r="M148" s="68" t="s">
        <v>294</v>
      </c>
      <c r="N148" s="68">
        <v>20.51997948</v>
      </c>
      <c r="O148" s="68">
        <v>93.277252200000007</v>
      </c>
      <c r="P148" s="482" t="s">
        <v>795</v>
      </c>
      <c r="Q148" s="68" t="s">
        <v>776</v>
      </c>
      <c r="R148" s="486"/>
      <c r="S148" s="400"/>
      <c r="T148" s="101"/>
      <c r="U148" s="488"/>
      <c r="W148" s="482"/>
    </row>
    <row r="149" spans="1:23" s="68" customFormat="1" ht="14.25" customHeight="1">
      <c r="A149" s="487" t="s">
        <v>2648</v>
      </c>
      <c r="B149" s="484" t="s">
        <v>312</v>
      </c>
      <c r="C149" s="484" t="s">
        <v>1133</v>
      </c>
      <c r="D149" s="431" t="s">
        <v>1656</v>
      </c>
      <c r="E149" s="68">
        <v>196999</v>
      </c>
      <c r="J149" s="68" t="s">
        <v>794</v>
      </c>
      <c r="K149" s="68" t="s">
        <v>794</v>
      </c>
      <c r="L149" s="68" t="s">
        <v>794</v>
      </c>
      <c r="M149" s="68" t="s">
        <v>791</v>
      </c>
      <c r="N149" s="482">
        <v>0</v>
      </c>
      <c r="O149" s="482">
        <v>0</v>
      </c>
      <c r="P149" s="482" t="s">
        <v>795</v>
      </c>
      <c r="R149" s="486"/>
      <c r="S149" s="96"/>
      <c r="T149" s="101"/>
      <c r="U149" s="488"/>
      <c r="W149" s="482"/>
    </row>
    <row r="150" spans="1:23" s="68" customFormat="1" ht="14.25" customHeight="1">
      <c r="A150" s="400" t="s">
        <v>2648</v>
      </c>
      <c r="B150" s="484" t="s">
        <v>312</v>
      </c>
      <c r="C150" s="484" t="s">
        <v>463</v>
      </c>
      <c r="D150" s="431" t="s">
        <v>1656</v>
      </c>
      <c r="E150" s="396">
        <v>196998</v>
      </c>
      <c r="F150" s="396"/>
      <c r="G150" s="396"/>
      <c r="H150" s="396"/>
      <c r="I150" s="396"/>
      <c r="J150" s="396" t="s">
        <v>794</v>
      </c>
      <c r="K150" s="396" t="s">
        <v>794</v>
      </c>
      <c r="L150" s="396" t="s">
        <v>794</v>
      </c>
      <c r="M150" s="396" t="s">
        <v>294</v>
      </c>
      <c r="N150" s="396">
        <v>20.396680830000001</v>
      </c>
      <c r="O150" s="396">
        <v>93.252868649999996</v>
      </c>
      <c r="P150" s="68" t="s">
        <v>795</v>
      </c>
      <c r="Q150" s="396" t="s">
        <v>776</v>
      </c>
      <c r="R150" s="399"/>
      <c r="S150" s="400"/>
      <c r="T150" s="412"/>
      <c r="U150" s="401"/>
      <c r="V150" s="396" t="s">
        <v>887</v>
      </c>
      <c r="W150" s="396"/>
    </row>
    <row r="151" spans="1:23" s="68" customFormat="1" ht="14.25" customHeight="1">
      <c r="A151" s="487" t="s">
        <v>2648</v>
      </c>
      <c r="B151" s="484" t="s">
        <v>312</v>
      </c>
      <c r="C151" s="484" t="s">
        <v>2621</v>
      </c>
      <c r="D151" s="431"/>
      <c r="E151" s="68">
        <v>220653</v>
      </c>
      <c r="F151" s="396"/>
      <c r="J151" s="68" t="s">
        <v>794</v>
      </c>
      <c r="K151" s="68" t="s">
        <v>794</v>
      </c>
      <c r="L151" s="68" t="s">
        <v>794</v>
      </c>
      <c r="N151" s="482">
        <v>20.384975433349599</v>
      </c>
      <c r="O151" s="482">
        <v>93.373054504394503</v>
      </c>
      <c r="P151" s="482" t="s">
        <v>795</v>
      </c>
      <c r="R151" s="486"/>
      <c r="S151" s="400"/>
      <c r="T151" s="101"/>
      <c r="U151" s="488"/>
      <c r="W151" s="482"/>
    </row>
    <row r="152" spans="1:23" s="68" customFormat="1" ht="14.25" customHeight="1">
      <c r="A152" s="487" t="s">
        <v>2648</v>
      </c>
      <c r="B152" s="484" t="s">
        <v>312</v>
      </c>
      <c r="C152" s="484" t="s">
        <v>2612</v>
      </c>
      <c r="D152" s="431"/>
      <c r="E152" s="68">
        <v>197092</v>
      </c>
      <c r="J152" s="68" t="s">
        <v>794</v>
      </c>
      <c r="K152" s="68" t="s">
        <v>794</v>
      </c>
      <c r="L152" s="68" t="s">
        <v>794</v>
      </c>
      <c r="N152" s="482">
        <v>20.440990447998001</v>
      </c>
      <c r="O152" s="482">
        <v>93.336273193359403</v>
      </c>
      <c r="P152" s="482" t="s">
        <v>795</v>
      </c>
      <c r="R152" s="486"/>
      <c r="S152" s="400"/>
      <c r="T152" s="101"/>
      <c r="U152" s="488"/>
      <c r="W152" s="482"/>
    </row>
    <row r="153" spans="1:23" s="68" customFormat="1" ht="14.25" customHeight="1">
      <c r="A153" s="487" t="s">
        <v>2648</v>
      </c>
      <c r="B153" s="484" t="s">
        <v>312</v>
      </c>
      <c r="C153" s="484" t="s">
        <v>2613</v>
      </c>
      <c r="D153" s="431"/>
      <c r="E153" s="68">
        <v>197100</v>
      </c>
      <c r="F153" s="68" t="s">
        <v>2691</v>
      </c>
      <c r="J153" s="68" t="s">
        <v>794</v>
      </c>
      <c r="K153" s="68" t="s">
        <v>794</v>
      </c>
      <c r="L153" s="68" t="s">
        <v>794</v>
      </c>
      <c r="N153" s="482">
        <v>20.438470840454102</v>
      </c>
      <c r="O153" s="482">
        <v>93.344322204589801</v>
      </c>
      <c r="P153" s="482" t="s">
        <v>795</v>
      </c>
      <c r="R153" s="486"/>
      <c r="S153" s="400"/>
      <c r="T153" s="101"/>
      <c r="U153" s="488"/>
      <c r="W153" s="482"/>
    </row>
    <row r="154" spans="1:23" s="68" customFormat="1" ht="14.25" customHeight="1">
      <c r="A154" s="487" t="s">
        <v>2648</v>
      </c>
      <c r="B154" s="484" t="s">
        <v>312</v>
      </c>
      <c r="C154" s="484" t="s">
        <v>2604</v>
      </c>
      <c r="D154" s="431"/>
      <c r="E154" s="396">
        <v>197040</v>
      </c>
      <c r="F154" s="396"/>
      <c r="J154" s="68" t="s">
        <v>794</v>
      </c>
      <c r="K154" s="396" t="s">
        <v>794</v>
      </c>
      <c r="L154" s="396" t="s">
        <v>794</v>
      </c>
      <c r="N154" s="482">
        <v>20.448799133300799</v>
      </c>
      <c r="O154" s="482">
        <v>93.300239562988295</v>
      </c>
      <c r="P154" s="482" t="s">
        <v>795</v>
      </c>
      <c r="R154" s="486"/>
      <c r="S154" s="400"/>
      <c r="T154" s="101"/>
      <c r="U154" s="488"/>
      <c r="W154" s="482"/>
    </row>
    <row r="155" spans="1:23" s="68" customFormat="1" ht="14.25" customHeight="1">
      <c r="A155" s="487" t="s">
        <v>2648</v>
      </c>
      <c r="B155" s="484" t="s">
        <v>312</v>
      </c>
      <c r="C155" s="484" t="s">
        <v>2620</v>
      </c>
      <c r="D155" s="431"/>
      <c r="E155" s="68">
        <v>197112</v>
      </c>
      <c r="F155" s="396"/>
      <c r="J155" s="68" t="s">
        <v>794</v>
      </c>
      <c r="K155" s="396" t="s">
        <v>794</v>
      </c>
      <c r="L155" s="396" t="s">
        <v>794</v>
      </c>
      <c r="N155" s="482">
        <v>20.389610290527301</v>
      </c>
      <c r="O155" s="482">
        <v>93.371490478515597</v>
      </c>
      <c r="P155" s="482" t="s">
        <v>795</v>
      </c>
      <c r="R155" s="486"/>
      <c r="S155" s="400"/>
      <c r="T155" s="101"/>
      <c r="U155" s="488"/>
      <c r="W155" s="482"/>
    </row>
    <row r="156" spans="1:23" s="68" customFormat="1" ht="14.25" customHeight="1">
      <c r="A156" s="487" t="s">
        <v>2648</v>
      </c>
      <c r="B156" s="484" t="s">
        <v>312</v>
      </c>
      <c r="C156" s="484" t="s">
        <v>2611</v>
      </c>
      <c r="D156" s="431"/>
      <c r="E156" s="396"/>
      <c r="J156" s="68" t="s">
        <v>794</v>
      </c>
      <c r="K156" s="68" t="s">
        <v>794</v>
      </c>
      <c r="L156" s="68" t="s">
        <v>794</v>
      </c>
      <c r="P156" s="482" t="s">
        <v>795</v>
      </c>
      <c r="R156" s="486"/>
      <c r="S156" s="400"/>
      <c r="T156" s="101"/>
      <c r="U156" s="488"/>
      <c r="W156" s="482"/>
    </row>
    <row r="157" spans="1:23" s="68" customFormat="1" ht="14.25" customHeight="1">
      <c r="A157" s="487" t="s">
        <v>2648</v>
      </c>
      <c r="B157" s="484" t="s">
        <v>312</v>
      </c>
      <c r="C157" s="484" t="s">
        <v>460</v>
      </c>
      <c r="D157" s="431" t="s">
        <v>2712</v>
      </c>
      <c r="E157" s="68" t="s">
        <v>1382</v>
      </c>
      <c r="F157" s="396" t="s">
        <v>1746</v>
      </c>
      <c r="G157" s="68" t="s">
        <v>1747</v>
      </c>
      <c r="J157" s="68" t="s">
        <v>794</v>
      </c>
      <c r="K157" s="396" t="s">
        <v>794</v>
      </c>
      <c r="L157" s="396" t="s">
        <v>879</v>
      </c>
      <c r="M157" s="68" t="s">
        <v>791</v>
      </c>
      <c r="N157" s="68">
        <v>20.392137999999999</v>
      </c>
      <c r="O157" s="68">
        <v>93.257272</v>
      </c>
      <c r="P157" s="68" t="s">
        <v>795</v>
      </c>
      <c r="Q157" s="68" t="s">
        <v>776</v>
      </c>
      <c r="R157" s="486">
        <v>203</v>
      </c>
      <c r="S157" s="400">
        <v>1420</v>
      </c>
      <c r="T157" s="101"/>
      <c r="U157" s="488"/>
      <c r="V157" s="68" t="s">
        <v>884</v>
      </c>
      <c r="W157" s="482"/>
    </row>
    <row r="158" spans="1:23" s="68" customFormat="1" ht="14.25" customHeight="1">
      <c r="A158" s="400" t="s">
        <v>2648</v>
      </c>
      <c r="B158" s="484" t="s">
        <v>312</v>
      </c>
      <c r="C158" s="484" t="s">
        <v>505</v>
      </c>
      <c r="D158" s="431" t="s">
        <v>2712</v>
      </c>
      <c r="E158" s="68" t="s">
        <v>1394</v>
      </c>
      <c r="F158" s="396" t="s">
        <v>1748</v>
      </c>
      <c r="G158" s="68" t="s">
        <v>1748</v>
      </c>
      <c r="J158" s="68" t="s">
        <v>794</v>
      </c>
      <c r="K158" s="68" t="s">
        <v>794</v>
      </c>
      <c r="L158" s="68" t="s">
        <v>879</v>
      </c>
      <c r="M158" s="68" t="s">
        <v>791</v>
      </c>
      <c r="N158" s="68">
        <v>20.587142</v>
      </c>
      <c r="O158" s="68">
        <v>93.258573999999996</v>
      </c>
      <c r="P158" s="482" t="s">
        <v>795</v>
      </c>
      <c r="R158" s="399">
        <v>275</v>
      </c>
      <c r="S158" s="400">
        <v>1707</v>
      </c>
      <c r="T158" s="101"/>
      <c r="U158" s="97" t="s">
        <v>856</v>
      </c>
      <c r="V158" s="68" t="s">
        <v>505</v>
      </c>
    </row>
    <row r="159" spans="1:23" s="68" customFormat="1" ht="14.25" customHeight="1">
      <c r="A159" s="487" t="s">
        <v>2648</v>
      </c>
      <c r="B159" s="484" t="s">
        <v>312</v>
      </c>
      <c r="C159" s="484" t="s">
        <v>2603</v>
      </c>
      <c r="D159" s="431"/>
      <c r="E159" s="68">
        <v>197033</v>
      </c>
      <c r="J159" s="68" t="s">
        <v>794</v>
      </c>
      <c r="K159" s="68" t="s">
        <v>794</v>
      </c>
      <c r="L159" s="68" t="s">
        <v>794</v>
      </c>
      <c r="N159" s="482">
        <v>20.430749893188501</v>
      </c>
      <c r="O159" s="482">
        <v>93.304450988769503</v>
      </c>
      <c r="P159" s="482" t="s">
        <v>795</v>
      </c>
      <c r="R159" s="486"/>
      <c r="S159" s="400"/>
      <c r="T159" s="101"/>
      <c r="U159" s="488"/>
      <c r="W159" s="482"/>
    </row>
    <row r="160" spans="1:23" s="68" customFormat="1" ht="14.25" customHeight="1">
      <c r="A160" s="487" t="s">
        <v>2648</v>
      </c>
      <c r="B160" s="484" t="s">
        <v>312</v>
      </c>
      <c r="C160" s="484" t="s">
        <v>1747</v>
      </c>
      <c r="D160" s="431"/>
      <c r="E160" s="68">
        <v>196997</v>
      </c>
      <c r="J160" s="68" t="s">
        <v>794</v>
      </c>
      <c r="K160" s="68" t="s">
        <v>794</v>
      </c>
      <c r="L160" s="68" t="s">
        <v>794</v>
      </c>
      <c r="N160" s="482">
        <v>20.391029357910199</v>
      </c>
      <c r="O160" s="482">
        <v>93.257637023925795</v>
      </c>
      <c r="P160" s="482" t="s">
        <v>795</v>
      </c>
      <c r="R160" s="486"/>
      <c r="S160" s="400"/>
      <c r="T160" s="101"/>
      <c r="U160" s="488"/>
      <c r="W160" s="482"/>
    </row>
    <row r="161" spans="1:23" s="68" customFormat="1" ht="14.25" customHeight="1">
      <c r="A161" s="487" t="s">
        <v>2648</v>
      </c>
      <c r="B161" s="484" t="s">
        <v>312</v>
      </c>
      <c r="C161" s="484" t="s">
        <v>2602</v>
      </c>
      <c r="D161" s="431"/>
      <c r="E161" s="68">
        <v>197036</v>
      </c>
      <c r="J161" s="68" t="s">
        <v>794</v>
      </c>
      <c r="K161" s="68" t="s">
        <v>794</v>
      </c>
      <c r="L161" s="68" t="s">
        <v>794</v>
      </c>
      <c r="N161" s="482">
        <v>20.442419052123999</v>
      </c>
      <c r="O161" s="482">
        <v>93.300033569335895</v>
      </c>
      <c r="P161" s="482" t="s">
        <v>795</v>
      </c>
      <c r="R161" s="486"/>
      <c r="S161" s="400"/>
      <c r="T161" s="101"/>
      <c r="U161" s="488"/>
      <c r="W161" s="482"/>
    </row>
    <row r="162" spans="1:23" s="68" customFormat="1" ht="14.25" customHeight="1">
      <c r="A162" s="487" t="s">
        <v>2648</v>
      </c>
      <c r="B162" s="484" t="s">
        <v>312</v>
      </c>
      <c r="C162" s="484" t="s">
        <v>2609</v>
      </c>
      <c r="D162" s="431"/>
      <c r="E162" s="68">
        <v>197089</v>
      </c>
      <c r="J162" s="482" t="s">
        <v>794</v>
      </c>
      <c r="K162" s="482" t="s">
        <v>794</v>
      </c>
      <c r="L162" s="482" t="s">
        <v>794</v>
      </c>
      <c r="N162" s="482">
        <v>20.422460556030298</v>
      </c>
      <c r="O162" s="482">
        <v>93.317733764648395</v>
      </c>
      <c r="P162" s="482" t="s">
        <v>795</v>
      </c>
      <c r="R162" s="486"/>
      <c r="S162" s="400"/>
      <c r="T162" s="101"/>
      <c r="U162" s="488"/>
      <c r="W162" s="482"/>
    </row>
    <row r="163" spans="1:23" s="68" customFormat="1" ht="14.25" customHeight="1">
      <c r="A163" s="487" t="s">
        <v>2648</v>
      </c>
      <c r="B163" s="484" t="s">
        <v>312</v>
      </c>
      <c r="C163" s="484" t="s">
        <v>2615</v>
      </c>
      <c r="D163" s="431"/>
      <c r="E163" s="68">
        <v>197102</v>
      </c>
      <c r="F163" s="68" t="s">
        <v>2692</v>
      </c>
      <c r="J163" s="482" t="s">
        <v>794</v>
      </c>
      <c r="K163" s="482" t="s">
        <v>794</v>
      </c>
      <c r="L163" s="482" t="s">
        <v>794</v>
      </c>
      <c r="N163" s="482">
        <v>20.470190048217798</v>
      </c>
      <c r="O163" s="482">
        <v>93.3311767578125</v>
      </c>
      <c r="P163" s="68" t="s">
        <v>795</v>
      </c>
      <c r="R163" s="486"/>
      <c r="S163" s="400"/>
      <c r="T163" s="101"/>
      <c r="U163" s="488"/>
      <c r="W163" s="482"/>
    </row>
    <row r="164" spans="1:23" s="68" customFormat="1" ht="14.25" customHeight="1">
      <c r="A164" s="490" t="s">
        <v>2648</v>
      </c>
      <c r="B164" s="490" t="s">
        <v>312</v>
      </c>
      <c r="C164" s="491" t="s">
        <v>2726</v>
      </c>
      <c r="D164" s="485"/>
      <c r="E164" s="68">
        <v>197047</v>
      </c>
      <c r="F164" s="396"/>
      <c r="J164" s="68" t="s">
        <v>2652</v>
      </c>
      <c r="K164" s="68" t="s">
        <v>2622</v>
      </c>
      <c r="L164" s="68" t="s">
        <v>2622</v>
      </c>
      <c r="N164" s="68">
        <v>20.454280853271499</v>
      </c>
      <c r="O164" s="68">
        <v>93.281562805175795</v>
      </c>
      <c r="P164" s="396" t="s">
        <v>1972</v>
      </c>
      <c r="R164" s="494"/>
      <c r="S164" s="400"/>
      <c r="T164" s="101">
        <v>43591</v>
      </c>
      <c r="U164" s="494"/>
      <c r="W164" s="486"/>
    </row>
    <row r="165" spans="1:23" s="68" customFormat="1" ht="14.25" customHeight="1">
      <c r="A165" s="490" t="s">
        <v>2648</v>
      </c>
      <c r="B165" s="490" t="s">
        <v>312</v>
      </c>
      <c r="C165" s="491" t="s">
        <v>2745</v>
      </c>
      <c r="D165" s="485"/>
      <c r="E165" s="68">
        <v>197051</v>
      </c>
      <c r="J165" s="68" t="s">
        <v>2652</v>
      </c>
      <c r="K165" s="68" t="s">
        <v>2622</v>
      </c>
      <c r="L165" s="68" t="s">
        <v>2622</v>
      </c>
      <c r="N165" s="68">
        <v>20.599809646606399</v>
      </c>
      <c r="O165" s="68">
        <v>93.265541076660199</v>
      </c>
      <c r="P165" s="482" t="s">
        <v>1972</v>
      </c>
      <c r="R165" s="494"/>
      <c r="S165" s="400"/>
      <c r="T165" s="101">
        <v>43591</v>
      </c>
      <c r="U165" s="494"/>
      <c r="W165" s="486"/>
    </row>
    <row r="166" spans="1:23" s="68" customFormat="1" ht="14.25" customHeight="1">
      <c r="A166" s="400" t="s">
        <v>2648</v>
      </c>
      <c r="B166" s="482" t="s">
        <v>471</v>
      </c>
      <c r="C166" s="482" t="s">
        <v>548</v>
      </c>
      <c r="D166" s="431" t="s">
        <v>1656</v>
      </c>
      <c r="E166" s="396">
        <v>196643</v>
      </c>
      <c r="F166" s="396"/>
      <c r="G166" s="396"/>
      <c r="H166" s="396"/>
      <c r="I166" s="396"/>
      <c r="J166" s="396" t="s">
        <v>794</v>
      </c>
      <c r="K166" s="396" t="s">
        <v>794</v>
      </c>
      <c r="L166" s="396" t="s">
        <v>794</v>
      </c>
      <c r="M166" s="396" t="s">
        <v>791</v>
      </c>
      <c r="N166" s="396">
        <v>20.69722939</v>
      </c>
      <c r="O166" s="396">
        <v>93.044059750000002</v>
      </c>
      <c r="P166" s="482" t="s">
        <v>795</v>
      </c>
      <c r="Q166" s="396" t="s">
        <v>776</v>
      </c>
      <c r="R166" s="486"/>
      <c r="S166" s="400"/>
      <c r="T166" s="412"/>
      <c r="U166" s="488"/>
      <c r="V166" s="396" t="s">
        <v>925</v>
      </c>
      <c r="W166" s="482"/>
    </row>
    <row r="167" spans="1:23" s="68" customFormat="1" ht="14.25" customHeight="1">
      <c r="A167" s="490" t="s">
        <v>2648</v>
      </c>
      <c r="B167" s="490" t="s">
        <v>471</v>
      </c>
      <c r="C167" s="491" t="s">
        <v>2787</v>
      </c>
      <c r="D167" s="485"/>
      <c r="E167" s="396">
        <v>196610</v>
      </c>
      <c r="F167" s="396"/>
      <c r="J167" s="68" t="s">
        <v>2652</v>
      </c>
      <c r="K167" s="68" t="s">
        <v>2622</v>
      </c>
      <c r="L167" s="68" t="s">
        <v>2622</v>
      </c>
      <c r="N167" s="68">
        <v>20.710781097412099</v>
      </c>
      <c r="O167" s="68">
        <v>93.127502441406307</v>
      </c>
      <c r="P167" s="482" t="s">
        <v>1972</v>
      </c>
      <c r="R167" s="494"/>
      <c r="S167" s="400"/>
      <c r="T167" s="101">
        <v>43591</v>
      </c>
      <c r="U167" s="494"/>
      <c r="W167" s="486"/>
    </row>
    <row r="168" spans="1:23" s="68" customFormat="1" ht="14.25" customHeight="1">
      <c r="A168" s="403" t="s">
        <v>2648</v>
      </c>
      <c r="B168" s="403" t="s">
        <v>471</v>
      </c>
      <c r="C168" s="404" t="s">
        <v>2735</v>
      </c>
      <c r="D168" s="398"/>
      <c r="E168" s="396" t="s">
        <v>2788</v>
      </c>
      <c r="J168" s="68" t="s">
        <v>2652</v>
      </c>
      <c r="K168" s="68" t="s">
        <v>2622</v>
      </c>
      <c r="L168" s="68" t="s">
        <v>2622</v>
      </c>
      <c r="N168" s="482"/>
      <c r="O168" s="482"/>
      <c r="P168" s="482" t="s">
        <v>1972</v>
      </c>
      <c r="R168" s="405"/>
      <c r="S168" s="400"/>
      <c r="T168" s="101">
        <v>43591</v>
      </c>
      <c r="U168" s="405"/>
      <c r="W168" s="399"/>
    </row>
    <row r="169" spans="1:23" s="68" customFormat="1" ht="14.25" customHeight="1">
      <c r="A169" s="490" t="s">
        <v>2648</v>
      </c>
      <c r="B169" s="490" t="s">
        <v>471</v>
      </c>
      <c r="C169" s="491" t="s">
        <v>2736</v>
      </c>
      <c r="D169" s="485"/>
      <c r="E169" s="68" t="s">
        <v>2788</v>
      </c>
      <c r="F169" s="396"/>
      <c r="J169" s="68" t="s">
        <v>2652</v>
      </c>
      <c r="K169" s="396" t="s">
        <v>2622</v>
      </c>
      <c r="L169" s="396" t="s">
        <v>2622</v>
      </c>
      <c r="N169" s="482"/>
      <c r="O169" s="482"/>
      <c r="P169" s="482" t="s">
        <v>1972</v>
      </c>
      <c r="R169" s="494"/>
      <c r="S169" s="400"/>
      <c r="T169" s="101">
        <v>43591</v>
      </c>
      <c r="U169" s="494"/>
      <c r="W169" s="486"/>
    </row>
    <row r="170" spans="1:23" s="68" customFormat="1" ht="14.25" customHeight="1">
      <c r="A170" s="490" t="s">
        <v>2648</v>
      </c>
      <c r="B170" s="490" t="s">
        <v>471</v>
      </c>
      <c r="C170" s="491" t="s">
        <v>2737</v>
      </c>
      <c r="D170" s="485"/>
      <c r="E170" s="396" t="s">
        <v>2788</v>
      </c>
      <c r="I170" s="396"/>
      <c r="J170" s="68" t="s">
        <v>794</v>
      </c>
      <c r="K170" s="68" t="s">
        <v>794</v>
      </c>
      <c r="L170" s="68" t="s">
        <v>3123</v>
      </c>
      <c r="N170" s="482"/>
      <c r="O170" s="482"/>
      <c r="P170" s="68" t="s">
        <v>1972</v>
      </c>
      <c r="R170" s="494"/>
      <c r="S170" s="400"/>
      <c r="T170" s="101">
        <v>43591</v>
      </c>
      <c r="U170" s="494"/>
      <c r="W170" s="486"/>
    </row>
    <row r="171" spans="1:23" s="68" customFormat="1" ht="14.25" customHeight="1">
      <c r="A171" s="490" t="s">
        <v>2648</v>
      </c>
      <c r="B171" s="490" t="s">
        <v>471</v>
      </c>
      <c r="C171" s="491" t="s">
        <v>2738</v>
      </c>
      <c r="D171" s="485"/>
      <c r="E171" s="68" t="s">
        <v>2788</v>
      </c>
      <c r="F171" s="482"/>
      <c r="J171" s="68" t="s">
        <v>794</v>
      </c>
      <c r="K171" s="396" t="s">
        <v>794</v>
      </c>
      <c r="L171" s="396" t="s">
        <v>3123</v>
      </c>
      <c r="N171" s="482"/>
      <c r="O171" s="482"/>
      <c r="P171" s="482" t="s">
        <v>1972</v>
      </c>
      <c r="Q171" s="482"/>
      <c r="R171" s="494"/>
      <c r="S171" s="400"/>
      <c r="T171" s="506">
        <v>43591</v>
      </c>
      <c r="U171" s="494"/>
      <c r="W171" s="486"/>
    </row>
    <row r="172" spans="1:23" s="68" customFormat="1" ht="14.25" customHeight="1">
      <c r="A172" s="490" t="s">
        <v>2648</v>
      </c>
      <c r="B172" s="490" t="s">
        <v>471</v>
      </c>
      <c r="C172" s="491" t="s">
        <v>2739</v>
      </c>
      <c r="D172" s="485"/>
      <c r="E172" s="482" t="s">
        <v>2788</v>
      </c>
      <c r="F172" s="482"/>
      <c r="G172" s="482"/>
      <c r="H172" s="482"/>
      <c r="I172" s="482"/>
      <c r="J172" s="482" t="s">
        <v>2652</v>
      </c>
      <c r="K172" s="482" t="s">
        <v>2622</v>
      </c>
      <c r="L172" s="482" t="s">
        <v>2622</v>
      </c>
      <c r="M172" s="482"/>
      <c r="N172" s="482"/>
      <c r="O172" s="482"/>
      <c r="P172" s="482" t="s">
        <v>1972</v>
      </c>
      <c r="Q172" s="482"/>
      <c r="R172" s="494"/>
      <c r="S172" s="487"/>
      <c r="T172" s="506">
        <v>43591</v>
      </c>
      <c r="U172" s="494"/>
      <c r="V172" s="482"/>
      <c r="W172" s="486"/>
    </row>
    <row r="173" spans="1:23" s="68" customFormat="1" ht="14.25" customHeight="1">
      <c r="A173" s="487" t="s">
        <v>2648</v>
      </c>
      <c r="B173" s="482" t="s">
        <v>471</v>
      </c>
      <c r="C173" s="482" t="s">
        <v>483</v>
      </c>
      <c r="D173" s="431" t="s">
        <v>1656</v>
      </c>
      <c r="E173" s="482">
        <v>196508</v>
      </c>
      <c r="F173" s="482"/>
      <c r="G173" s="482"/>
      <c r="H173" s="482"/>
      <c r="I173" s="482"/>
      <c r="J173" s="482" t="s">
        <v>794</v>
      </c>
      <c r="K173" s="482" t="s">
        <v>794</v>
      </c>
      <c r="L173" s="482" t="s">
        <v>794</v>
      </c>
      <c r="M173" s="482" t="s">
        <v>294</v>
      </c>
      <c r="N173" s="482">
        <v>20.489089969999998</v>
      </c>
      <c r="O173" s="482">
        <v>93.211738589999996</v>
      </c>
      <c r="P173" s="482" t="s">
        <v>795</v>
      </c>
      <c r="Q173" s="482" t="s">
        <v>776</v>
      </c>
      <c r="R173" s="486"/>
      <c r="S173" s="487"/>
      <c r="T173" s="506"/>
      <c r="U173" s="488"/>
      <c r="V173" s="482" t="s">
        <v>896</v>
      </c>
      <c r="W173" s="482"/>
    </row>
    <row r="174" spans="1:23" s="68" customFormat="1" ht="14.25" customHeight="1">
      <c r="A174" s="487" t="s">
        <v>2648</v>
      </c>
      <c r="B174" s="490" t="s">
        <v>471</v>
      </c>
      <c r="C174" s="491" t="s">
        <v>2967</v>
      </c>
      <c r="D174" s="485"/>
      <c r="E174" s="68">
        <v>196609</v>
      </c>
      <c r="F174" s="68" t="s">
        <v>2967</v>
      </c>
      <c r="J174" s="68" t="s">
        <v>794</v>
      </c>
      <c r="K174" s="396" t="s">
        <v>794</v>
      </c>
      <c r="L174" s="396" t="s">
        <v>794</v>
      </c>
      <c r="N174" s="68">
        <v>20.685459136962901</v>
      </c>
      <c r="O174" s="68">
        <v>93.127792358398395</v>
      </c>
      <c r="P174" s="482" t="s">
        <v>795</v>
      </c>
      <c r="Q174" s="68" t="s">
        <v>2961</v>
      </c>
      <c r="R174" s="494"/>
      <c r="S174" s="400"/>
      <c r="T174" s="101">
        <v>43768</v>
      </c>
      <c r="U174" s="494"/>
      <c r="W174" s="486"/>
    </row>
    <row r="175" spans="1:23" s="68" customFormat="1" ht="14.25" customHeight="1">
      <c r="A175" s="487" t="s">
        <v>2648</v>
      </c>
      <c r="B175" s="482" t="s">
        <v>471</v>
      </c>
      <c r="C175" s="482" t="s">
        <v>2574</v>
      </c>
      <c r="D175" s="431"/>
      <c r="E175" s="482"/>
      <c r="F175" s="482"/>
      <c r="G175" s="482"/>
      <c r="H175" s="482"/>
      <c r="I175" s="482"/>
      <c r="J175" s="68" t="s">
        <v>2652</v>
      </c>
      <c r="K175" s="396" t="s">
        <v>2622</v>
      </c>
      <c r="L175" s="396" t="s">
        <v>2622</v>
      </c>
      <c r="M175" s="482"/>
      <c r="N175" s="482"/>
      <c r="O175" s="482"/>
      <c r="P175" s="482" t="s">
        <v>1972</v>
      </c>
      <c r="Q175" s="482"/>
      <c r="R175" s="486"/>
      <c r="S175" s="487"/>
      <c r="T175" s="506"/>
      <c r="U175" s="488"/>
      <c r="V175" s="482"/>
      <c r="W175" s="482"/>
    </row>
    <row r="176" spans="1:23" s="68" customFormat="1" ht="14.25" customHeight="1">
      <c r="A176" s="490" t="s">
        <v>2648</v>
      </c>
      <c r="B176" s="490" t="s">
        <v>471</v>
      </c>
      <c r="C176" s="491" t="s">
        <v>551</v>
      </c>
      <c r="D176" s="485"/>
      <c r="E176" s="482"/>
      <c r="F176" s="482"/>
      <c r="G176" s="482"/>
      <c r="H176" s="482"/>
      <c r="I176" s="482"/>
      <c r="J176" s="68" t="s">
        <v>2652</v>
      </c>
      <c r="K176" s="396" t="s">
        <v>2622</v>
      </c>
      <c r="L176" s="396" t="s">
        <v>2622</v>
      </c>
      <c r="M176" s="482"/>
      <c r="N176" s="482"/>
      <c r="O176" s="482"/>
      <c r="P176" s="68" t="s">
        <v>1972</v>
      </c>
      <c r="Q176" s="482"/>
      <c r="R176" s="494"/>
      <c r="S176" s="487"/>
      <c r="T176" s="506">
        <v>43591</v>
      </c>
      <c r="U176" s="494"/>
      <c r="V176" s="482"/>
      <c r="W176" s="486"/>
    </row>
    <row r="177" spans="1:23" s="68" customFormat="1" ht="14.25" customHeight="1">
      <c r="A177" s="490" t="s">
        <v>2648</v>
      </c>
      <c r="B177" s="490" t="s">
        <v>471</v>
      </c>
      <c r="C177" s="491" t="s">
        <v>2789</v>
      </c>
      <c r="D177" s="485"/>
      <c r="E177" s="68">
        <v>196475</v>
      </c>
      <c r="J177" s="68" t="s">
        <v>2652</v>
      </c>
      <c r="K177" s="68" t="s">
        <v>2622</v>
      </c>
      <c r="L177" s="68" t="s">
        <v>2622</v>
      </c>
      <c r="N177" s="482">
        <v>0</v>
      </c>
      <c r="O177" s="482">
        <v>0</v>
      </c>
      <c r="P177" s="68" t="s">
        <v>1972</v>
      </c>
      <c r="R177" s="494"/>
      <c r="S177" s="400"/>
      <c r="T177" s="101">
        <v>43591</v>
      </c>
      <c r="U177" s="494"/>
      <c r="W177" s="486"/>
    </row>
    <row r="178" spans="1:23" s="68" customFormat="1" ht="14.25" customHeight="1">
      <c r="A178" s="400" t="s">
        <v>2648</v>
      </c>
      <c r="B178" s="490" t="s">
        <v>471</v>
      </c>
      <c r="C178" s="491" t="s">
        <v>2966</v>
      </c>
      <c r="D178" s="485"/>
      <c r="E178" s="68">
        <v>196647</v>
      </c>
      <c r="F178" s="68" t="s">
        <v>2966</v>
      </c>
      <c r="J178" s="68" t="s">
        <v>794</v>
      </c>
      <c r="K178" s="68" t="s">
        <v>794</v>
      </c>
      <c r="L178" s="396" t="s">
        <v>794</v>
      </c>
      <c r="N178" s="68">
        <v>20.774000167846701</v>
      </c>
      <c r="O178" s="68">
        <v>93.060752868652301</v>
      </c>
      <c r="P178" s="482" t="s">
        <v>795</v>
      </c>
      <c r="Q178" s="68" t="s">
        <v>2961</v>
      </c>
      <c r="R178" s="494"/>
      <c r="S178" s="400"/>
      <c r="T178" s="101">
        <v>43768</v>
      </c>
      <c r="U178" s="494"/>
      <c r="W178" s="486"/>
    </row>
    <row r="179" spans="1:23" s="68" customFormat="1" ht="14.25" customHeight="1">
      <c r="A179" s="487" t="s">
        <v>2648</v>
      </c>
      <c r="B179" s="490" t="s">
        <v>471</v>
      </c>
      <c r="C179" s="491" t="s">
        <v>2718</v>
      </c>
      <c r="D179" s="485"/>
      <c r="E179" s="68">
        <v>196646</v>
      </c>
      <c r="F179" s="482" t="s">
        <v>2718</v>
      </c>
      <c r="J179" s="68" t="s">
        <v>794</v>
      </c>
      <c r="K179" s="396" t="s">
        <v>794</v>
      </c>
      <c r="L179" s="396" t="s">
        <v>794</v>
      </c>
      <c r="N179" s="68">
        <v>20.7459907531738</v>
      </c>
      <c r="O179" s="68">
        <v>93.055381774902301</v>
      </c>
      <c r="P179" s="482" t="s">
        <v>795</v>
      </c>
      <c r="Q179" s="68" t="s">
        <v>2961</v>
      </c>
      <c r="R179" s="494"/>
      <c r="S179" s="400"/>
      <c r="T179" s="101">
        <v>43768</v>
      </c>
      <c r="U179" s="494"/>
      <c r="W179" s="486"/>
    </row>
    <row r="180" spans="1:23" s="68" customFormat="1" ht="14.25" customHeight="1">
      <c r="A180" s="671" t="s">
        <v>2648</v>
      </c>
      <c r="B180" s="675" t="s">
        <v>471</v>
      </c>
      <c r="C180" s="677" t="s">
        <v>3112</v>
      </c>
      <c r="D180" s="485"/>
      <c r="E180" s="672"/>
      <c r="F180" s="672"/>
      <c r="G180" s="672"/>
      <c r="H180" s="672"/>
      <c r="I180" s="672"/>
      <c r="J180" s="659" t="s">
        <v>794</v>
      </c>
      <c r="K180" s="659" t="s">
        <v>794</v>
      </c>
      <c r="L180" s="659" t="s">
        <v>794</v>
      </c>
      <c r="M180" s="672"/>
      <c r="N180" s="672"/>
      <c r="O180" s="672"/>
      <c r="P180" s="672" t="s">
        <v>795</v>
      </c>
      <c r="Q180" s="659" t="s">
        <v>3102</v>
      </c>
      <c r="R180" s="673"/>
      <c r="S180" s="671"/>
      <c r="T180" s="674">
        <v>43851</v>
      </c>
      <c r="U180" s="673"/>
      <c r="V180" s="672"/>
      <c r="W180" s="486"/>
    </row>
    <row r="181" spans="1:23" s="68" customFormat="1" ht="14.25" customHeight="1">
      <c r="A181" s="671" t="s">
        <v>2648</v>
      </c>
      <c r="B181" s="675" t="s">
        <v>471</v>
      </c>
      <c r="C181" s="677" t="s">
        <v>3116</v>
      </c>
      <c r="D181" s="485"/>
      <c r="E181" s="672">
        <v>196619</v>
      </c>
      <c r="F181" s="672" t="s">
        <v>3113</v>
      </c>
      <c r="G181" s="672"/>
      <c r="H181" s="672"/>
      <c r="I181" s="672"/>
      <c r="J181" s="659" t="s">
        <v>794</v>
      </c>
      <c r="K181" s="659" t="s">
        <v>794</v>
      </c>
      <c r="L181" s="659" t="s">
        <v>794</v>
      </c>
      <c r="M181" s="672"/>
      <c r="N181" s="510">
        <v>20.646299362182599</v>
      </c>
      <c r="O181" s="510">
        <v>93.096778869628906</v>
      </c>
      <c r="P181" s="672" t="s">
        <v>795</v>
      </c>
      <c r="Q181" s="659" t="s">
        <v>3102</v>
      </c>
      <c r="R181" s="673"/>
      <c r="S181" s="671"/>
      <c r="T181" s="674">
        <v>43851</v>
      </c>
      <c r="U181" s="673"/>
      <c r="V181" s="672"/>
      <c r="W181" s="486"/>
    </row>
    <row r="182" spans="1:23" s="68" customFormat="1" ht="14.25" customHeight="1">
      <c r="A182" s="487" t="s">
        <v>2648</v>
      </c>
      <c r="B182" s="490" t="s">
        <v>471</v>
      </c>
      <c r="C182" s="491" t="s">
        <v>2964</v>
      </c>
      <c r="D182" s="485"/>
      <c r="E182" s="68">
        <v>196657</v>
      </c>
      <c r="F182" s="68" t="s">
        <v>2964</v>
      </c>
      <c r="J182" s="68" t="s">
        <v>794</v>
      </c>
      <c r="K182" s="396" t="s">
        <v>794</v>
      </c>
      <c r="L182" s="396" t="s">
        <v>794</v>
      </c>
      <c r="N182" s="68">
        <v>20.840990066528299</v>
      </c>
      <c r="O182" s="68">
        <v>93.072242736816406</v>
      </c>
      <c r="P182" s="482" t="s">
        <v>795</v>
      </c>
      <c r="Q182" s="68" t="s">
        <v>2961</v>
      </c>
      <c r="R182" s="494"/>
      <c r="S182" s="487"/>
      <c r="T182" s="101">
        <v>43768</v>
      </c>
      <c r="U182" s="494"/>
      <c r="W182" s="486"/>
    </row>
    <row r="183" spans="1:23" s="68" customFormat="1" ht="14.25" customHeight="1">
      <c r="A183" s="490" t="s">
        <v>2648</v>
      </c>
      <c r="B183" s="490" t="s">
        <v>471</v>
      </c>
      <c r="C183" s="491" t="s">
        <v>2742</v>
      </c>
      <c r="D183" s="485"/>
      <c r="E183" s="482"/>
      <c r="F183" s="482"/>
      <c r="G183" s="482"/>
      <c r="H183" s="482"/>
      <c r="I183" s="482"/>
      <c r="J183" s="482" t="s">
        <v>2652</v>
      </c>
      <c r="K183" s="482" t="s">
        <v>2622</v>
      </c>
      <c r="L183" s="482" t="s">
        <v>2622</v>
      </c>
      <c r="M183" s="482"/>
      <c r="N183" s="482"/>
      <c r="O183" s="482"/>
      <c r="P183" s="482" t="s">
        <v>1972</v>
      </c>
      <c r="Q183" s="482"/>
      <c r="R183" s="494"/>
      <c r="S183" s="487"/>
      <c r="T183" s="506">
        <v>43591</v>
      </c>
      <c r="U183" s="494"/>
      <c r="V183" s="482"/>
      <c r="W183" s="486"/>
    </row>
    <row r="184" spans="1:23" s="68" customFormat="1" ht="14.25" customHeight="1">
      <c r="A184" s="487" t="s">
        <v>2648</v>
      </c>
      <c r="B184" s="482" t="s">
        <v>471</v>
      </c>
      <c r="C184" s="482" t="s">
        <v>2567</v>
      </c>
      <c r="D184" s="431"/>
      <c r="F184" s="482"/>
      <c r="J184" s="68" t="s">
        <v>2652</v>
      </c>
      <c r="K184" s="68" t="s">
        <v>2622</v>
      </c>
      <c r="L184" s="68" t="s">
        <v>2651</v>
      </c>
      <c r="P184" s="482" t="s">
        <v>1972</v>
      </c>
      <c r="Q184" s="482"/>
      <c r="R184" s="486"/>
      <c r="S184" s="400"/>
      <c r="T184" s="506"/>
      <c r="U184" s="488" t="s">
        <v>2563</v>
      </c>
      <c r="W184" s="482"/>
    </row>
    <row r="185" spans="1:23" s="68" customFormat="1" ht="14.25" customHeight="1">
      <c r="A185" s="487" t="s">
        <v>2648</v>
      </c>
      <c r="B185" s="482" t="s">
        <v>471</v>
      </c>
      <c r="C185" s="482" t="s">
        <v>474</v>
      </c>
      <c r="D185" s="431" t="s">
        <v>1656</v>
      </c>
      <c r="E185" s="68">
        <v>196496</v>
      </c>
      <c r="F185" s="482"/>
      <c r="J185" s="68" t="s">
        <v>794</v>
      </c>
      <c r="K185" s="68" t="s">
        <v>794</v>
      </c>
      <c r="L185" s="396" t="s">
        <v>794</v>
      </c>
      <c r="M185" s="68" t="s">
        <v>294</v>
      </c>
      <c r="N185" s="68">
        <v>20.46477509</v>
      </c>
      <c r="O185" s="68">
        <v>93.269363400000003</v>
      </c>
      <c r="P185" s="482" t="s">
        <v>795</v>
      </c>
      <c r="Q185" s="482" t="s">
        <v>776</v>
      </c>
      <c r="R185" s="486"/>
      <c r="S185" s="400"/>
      <c r="T185" s="506"/>
      <c r="U185" s="488"/>
      <c r="V185" s="68" t="s">
        <v>474</v>
      </c>
      <c r="W185" s="482"/>
    </row>
    <row r="186" spans="1:23" s="68" customFormat="1" ht="14.25" customHeight="1">
      <c r="A186" s="487" t="s">
        <v>2648</v>
      </c>
      <c r="B186" s="482" t="s">
        <v>471</v>
      </c>
      <c r="C186" s="482" t="s">
        <v>472</v>
      </c>
      <c r="D186" s="431" t="s">
        <v>1656</v>
      </c>
      <c r="E186" s="68">
        <v>220626</v>
      </c>
      <c r="J186" s="68" t="s">
        <v>794</v>
      </c>
      <c r="K186" s="68" t="s">
        <v>794</v>
      </c>
      <c r="L186" s="396" t="s">
        <v>794</v>
      </c>
      <c r="M186" s="68" t="s">
        <v>294</v>
      </c>
      <c r="N186" s="68">
        <v>20.46252441</v>
      </c>
      <c r="O186" s="68">
        <v>93.257278439999993</v>
      </c>
      <c r="P186" s="482" t="s">
        <v>795</v>
      </c>
      <c r="Q186" s="68" t="s">
        <v>776</v>
      </c>
      <c r="R186" s="486"/>
      <c r="S186" s="400"/>
      <c r="T186" s="101"/>
      <c r="U186" s="488"/>
      <c r="V186" s="68" t="s">
        <v>894</v>
      </c>
      <c r="W186" s="482"/>
    </row>
    <row r="187" spans="1:23" s="68" customFormat="1" ht="14.25" customHeight="1">
      <c r="A187" s="487" t="s">
        <v>2648</v>
      </c>
      <c r="B187" s="484" t="s">
        <v>471</v>
      </c>
      <c r="C187" s="484" t="s">
        <v>2790</v>
      </c>
      <c r="D187" s="431"/>
      <c r="E187" s="68">
        <v>196661</v>
      </c>
      <c r="J187" s="68" t="s">
        <v>2652</v>
      </c>
      <c r="K187" s="68" t="s">
        <v>2622</v>
      </c>
      <c r="L187" s="396" t="s">
        <v>2622</v>
      </c>
      <c r="N187" s="68">
        <v>20.829959869384801</v>
      </c>
      <c r="O187" s="68">
        <v>93.073478698730497</v>
      </c>
      <c r="P187" s="68" t="s">
        <v>1972</v>
      </c>
      <c r="R187" s="486"/>
      <c r="S187" s="400"/>
      <c r="T187" s="101"/>
      <c r="U187" s="488"/>
      <c r="W187" s="482"/>
    </row>
    <row r="188" spans="1:23" s="68" customFormat="1" ht="14.25" customHeight="1">
      <c r="A188" s="487" t="s">
        <v>2648</v>
      </c>
      <c r="B188" s="482" t="s">
        <v>471</v>
      </c>
      <c r="C188" s="482" t="s">
        <v>2566</v>
      </c>
      <c r="D188" s="431"/>
      <c r="E188" s="396"/>
      <c r="F188" s="482"/>
      <c r="J188" s="68" t="s">
        <v>2652</v>
      </c>
      <c r="K188" s="396" t="s">
        <v>2622</v>
      </c>
      <c r="L188" s="396" t="s">
        <v>2651</v>
      </c>
      <c r="P188" s="482" t="s">
        <v>1972</v>
      </c>
      <c r="Q188" s="482"/>
      <c r="R188" s="486"/>
      <c r="S188" s="400"/>
      <c r="T188" s="506"/>
      <c r="U188" s="488" t="s">
        <v>2563</v>
      </c>
      <c r="W188" s="482"/>
    </row>
    <row r="189" spans="1:23" s="68" customFormat="1" ht="14.25" customHeight="1">
      <c r="A189" s="487" t="s">
        <v>2648</v>
      </c>
      <c r="B189" s="482" t="s">
        <v>471</v>
      </c>
      <c r="C189" s="482" t="s">
        <v>2573</v>
      </c>
      <c r="D189" s="431"/>
      <c r="E189" s="482"/>
      <c r="F189" s="482"/>
      <c r="G189" s="482"/>
      <c r="H189" s="482"/>
      <c r="I189" s="482"/>
      <c r="J189" s="68" t="s">
        <v>2652</v>
      </c>
      <c r="K189" s="396" t="s">
        <v>2622</v>
      </c>
      <c r="L189" s="396" t="s">
        <v>2622</v>
      </c>
      <c r="M189" s="482"/>
      <c r="N189" s="482"/>
      <c r="O189" s="482"/>
      <c r="P189" s="482" t="s">
        <v>1972</v>
      </c>
      <c r="Q189" s="482"/>
      <c r="R189" s="486"/>
      <c r="S189" s="487"/>
      <c r="T189" s="506"/>
      <c r="U189" s="488"/>
      <c r="V189" s="482"/>
      <c r="W189" s="482"/>
    </row>
    <row r="190" spans="1:23" s="68" customFormat="1" ht="14.25" customHeight="1">
      <c r="A190" s="490" t="s">
        <v>2648</v>
      </c>
      <c r="B190" s="490" t="s">
        <v>471</v>
      </c>
      <c r="C190" s="491" t="s">
        <v>2740</v>
      </c>
      <c r="D190" s="485"/>
      <c r="E190" s="482"/>
      <c r="F190" s="482"/>
      <c r="G190" s="482"/>
      <c r="H190" s="482"/>
      <c r="I190" s="482"/>
      <c r="J190" s="68" t="s">
        <v>2652</v>
      </c>
      <c r="K190" s="396" t="s">
        <v>2622</v>
      </c>
      <c r="L190" s="396" t="s">
        <v>2622</v>
      </c>
      <c r="M190" s="482"/>
      <c r="N190" s="482"/>
      <c r="O190" s="482"/>
      <c r="P190" s="482" t="s">
        <v>1972</v>
      </c>
      <c r="Q190" s="482"/>
      <c r="R190" s="494"/>
      <c r="S190" s="487"/>
      <c r="T190" s="506">
        <v>43591</v>
      </c>
      <c r="U190" s="494"/>
      <c r="V190" s="482"/>
      <c r="W190" s="486"/>
    </row>
    <row r="191" spans="1:23" s="68" customFormat="1" ht="14.25" customHeight="1">
      <c r="A191" s="671" t="s">
        <v>2648</v>
      </c>
      <c r="B191" s="675" t="s">
        <v>471</v>
      </c>
      <c r="C191" s="677" t="s">
        <v>3110</v>
      </c>
      <c r="D191" s="485"/>
      <c r="E191" s="672">
        <v>196633</v>
      </c>
      <c r="F191" s="672" t="s">
        <v>3114</v>
      </c>
      <c r="G191" s="672"/>
      <c r="H191" s="672"/>
      <c r="I191" s="672"/>
      <c r="J191" s="659" t="s">
        <v>794</v>
      </c>
      <c r="K191" s="659" t="s">
        <v>794</v>
      </c>
      <c r="L191" s="659" t="s">
        <v>794</v>
      </c>
      <c r="M191" s="672"/>
      <c r="N191" s="510">
        <v>20.6096591949463</v>
      </c>
      <c r="O191" s="510">
        <v>93.111427307128906</v>
      </c>
      <c r="P191" s="672" t="s">
        <v>795</v>
      </c>
      <c r="Q191" s="659" t="s">
        <v>3102</v>
      </c>
      <c r="R191" s="673"/>
      <c r="S191" s="671"/>
      <c r="T191" s="674">
        <v>43851</v>
      </c>
      <c r="U191" s="673"/>
      <c r="V191" s="672"/>
      <c r="W191" s="486"/>
    </row>
    <row r="192" spans="1:23" s="68" customFormat="1" ht="14.25" customHeight="1">
      <c r="A192" s="487" t="s">
        <v>2648</v>
      </c>
      <c r="B192" s="490" t="s">
        <v>471</v>
      </c>
      <c r="C192" s="491" t="s">
        <v>2963</v>
      </c>
      <c r="D192" s="485"/>
      <c r="E192" s="396">
        <v>196483</v>
      </c>
      <c r="F192" s="482" t="s">
        <v>2963</v>
      </c>
      <c r="G192" s="396"/>
      <c r="H192" s="396"/>
      <c r="I192" s="396"/>
      <c r="J192" s="482" t="s">
        <v>794</v>
      </c>
      <c r="K192" s="482" t="s">
        <v>794</v>
      </c>
      <c r="L192" s="482" t="s">
        <v>794</v>
      </c>
      <c r="N192" s="396">
        <v>20.5348205566406</v>
      </c>
      <c r="O192" s="396">
        <v>93.253181457519503</v>
      </c>
      <c r="P192" s="482" t="s">
        <v>795</v>
      </c>
      <c r="Q192" s="68" t="s">
        <v>2961</v>
      </c>
      <c r="R192" s="494"/>
      <c r="S192" s="400"/>
      <c r="T192" s="101">
        <v>43768</v>
      </c>
      <c r="U192" s="494"/>
      <c r="V192" s="396"/>
      <c r="W192" s="486"/>
    </row>
    <row r="193" spans="1:23" s="68" customFormat="1" ht="14.25" customHeight="1">
      <c r="A193" s="490" t="s">
        <v>2648</v>
      </c>
      <c r="B193" s="490" t="s">
        <v>471</v>
      </c>
      <c r="C193" s="491" t="s">
        <v>2743</v>
      </c>
      <c r="D193" s="485"/>
      <c r="E193" s="482">
        <v>196448</v>
      </c>
      <c r="F193" s="482"/>
      <c r="G193" s="482"/>
      <c r="H193" s="482"/>
      <c r="I193" s="482"/>
      <c r="J193" s="68" t="s">
        <v>2652</v>
      </c>
      <c r="K193" s="396" t="s">
        <v>2622</v>
      </c>
      <c r="L193" s="396" t="s">
        <v>2622</v>
      </c>
      <c r="M193" s="482"/>
      <c r="N193" s="482">
        <v>20.6728000640869</v>
      </c>
      <c r="O193" s="482">
        <v>93.243469238281307</v>
      </c>
      <c r="P193" s="482" t="s">
        <v>1972</v>
      </c>
      <c r="Q193" s="482"/>
      <c r="R193" s="494"/>
      <c r="S193" s="487"/>
      <c r="T193" s="506">
        <v>43591</v>
      </c>
      <c r="U193" s="494"/>
      <c r="V193" s="482"/>
      <c r="W193" s="486"/>
    </row>
    <row r="194" spans="1:23" s="68" customFormat="1" ht="14.25" customHeight="1">
      <c r="A194" s="487" t="s">
        <v>2648</v>
      </c>
      <c r="B194" s="482" t="s">
        <v>471</v>
      </c>
      <c r="C194" s="482" t="s">
        <v>549</v>
      </c>
      <c r="D194" s="431" t="s">
        <v>1656</v>
      </c>
      <c r="E194" s="482">
        <v>196642</v>
      </c>
      <c r="F194" s="482"/>
      <c r="G194" s="482"/>
      <c r="H194" s="482"/>
      <c r="I194" s="482"/>
      <c r="J194" s="482" t="s">
        <v>794</v>
      </c>
      <c r="K194" s="482" t="s">
        <v>794</v>
      </c>
      <c r="L194" s="482" t="s">
        <v>794</v>
      </c>
      <c r="M194" s="482" t="s">
        <v>294</v>
      </c>
      <c r="N194" s="482">
        <v>20.70355034</v>
      </c>
      <c r="O194" s="482">
        <v>93.060462950000002</v>
      </c>
      <c r="P194" s="482" t="s">
        <v>795</v>
      </c>
      <c r="Q194" s="482" t="s">
        <v>776</v>
      </c>
      <c r="R194" s="486"/>
      <c r="S194" s="487"/>
      <c r="T194" s="506"/>
      <c r="U194" s="488"/>
      <c r="V194" s="482" t="s">
        <v>549</v>
      </c>
      <c r="W194" s="482"/>
    </row>
    <row r="195" spans="1:23" s="68" customFormat="1" ht="14.25" customHeight="1">
      <c r="A195" s="487" t="s">
        <v>2648</v>
      </c>
      <c r="B195" s="482" t="s">
        <v>471</v>
      </c>
      <c r="C195" s="482" t="s">
        <v>2570</v>
      </c>
      <c r="D195" s="431"/>
      <c r="E195" s="482"/>
      <c r="F195" s="482"/>
      <c r="G195" s="482"/>
      <c r="H195" s="482"/>
      <c r="I195" s="482"/>
      <c r="J195" s="482" t="s">
        <v>2652</v>
      </c>
      <c r="K195" s="482" t="s">
        <v>2622</v>
      </c>
      <c r="L195" s="482" t="s">
        <v>2622</v>
      </c>
      <c r="M195" s="482"/>
      <c r="N195" s="482"/>
      <c r="O195" s="482"/>
      <c r="P195" s="482" t="s">
        <v>1972</v>
      </c>
      <c r="Q195" s="482"/>
      <c r="R195" s="486"/>
      <c r="S195" s="487"/>
      <c r="T195" s="506"/>
      <c r="U195" s="488"/>
      <c r="V195" s="482"/>
      <c r="W195" s="482"/>
    </row>
    <row r="196" spans="1:23" s="68" customFormat="1" ht="14.25" customHeight="1">
      <c r="A196" s="400" t="s">
        <v>2648</v>
      </c>
      <c r="B196" s="490" t="s">
        <v>471</v>
      </c>
      <c r="C196" s="397" t="s">
        <v>905</v>
      </c>
      <c r="D196" s="431" t="s">
        <v>2712</v>
      </c>
      <c r="E196" s="68" t="s">
        <v>1393</v>
      </c>
      <c r="F196" s="484" t="s">
        <v>1858</v>
      </c>
      <c r="G196" s="68" t="s">
        <v>1858</v>
      </c>
      <c r="I196" s="396"/>
      <c r="J196" s="68" t="s">
        <v>794</v>
      </c>
      <c r="K196" s="396" t="s">
        <v>794</v>
      </c>
      <c r="L196" s="396" t="s">
        <v>879</v>
      </c>
      <c r="M196" s="68" t="s">
        <v>791</v>
      </c>
      <c r="N196" s="68">
        <v>20.576577</v>
      </c>
      <c r="O196" s="68">
        <v>93.245551000000006</v>
      </c>
      <c r="P196" s="396" t="s">
        <v>795</v>
      </c>
      <c r="Q196" s="484"/>
      <c r="R196" s="486">
        <v>204</v>
      </c>
      <c r="S196" s="487">
        <v>1265</v>
      </c>
      <c r="T196" s="507"/>
      <c r="U196" s="97" t="s">
        <v>856</v>
      </c>
      <c r="V196" s="68" t="s">
        <v>905</v>
      </c>
    </row>
    <row r="197" spans="1:23" s="68" customFormat="1" ht="14.25" customHeight="1">
      <c r="A197" s="400" t="s">
        <v>2648</v>
      </c>
      <c r="B197" s="490" t="s">
        <v>471</v>
      </c>
      <c r="C197" s="491" t="s">
        <v>2952</v>
      </c>
      <c r="D197" s="485"/>
      <c r="E197" s="396">
        <v>196533</v>
      </c>
      <c r="F197" s="482" t="s">
        <v>2962</v>
      </c>
      <c r="G197" s="396"/>
      <c r="H197" s="396"/>
      <c r="I197" s="396"/>
      <c r="J197" s="68" t="s">
        <v>794</v>
      </c>
      <c r="K197" s="396" t="s">
        <v>794</v>
      </c>
      <c r="L197" s="396" t="s">
        <v>794</v>
      </c>
      <c r="N197" s="68">
        <v>20.4424648284912</v>
      </c>
      <c r="O197" s="68">
        <v>93.2396240234375</v>
      </c>
      <c r="P197" s="68" t="s">
        <v>795</v>
      </c>
      <c r="Q197" s="68" t="s">
        <v>2961</v>
      </c>
      <c r="R197" s="494"/>
      <c r="S197" s="487"/>
      <c r="T197" s="101">
        <v>43768</v>
      </c>
      <c r="U197" s="494"/>
      <c r="W197" s="486"/>
    </row>
    <row r="198" spans="1:23" s="68" customFormat="1" ht="14.25" customHeight="1">
      <c r="A198" s="487" t="s">
        <v>2648</v>
      </c>
      <c r="B198" s="482" t="s">
        <v>471</v>
      </c>
      <c r="C198" s="482" t="s">
        <v>2572</v>
      </c>
      <c r="D198" s="431"/>
      <c r="F198" s="482"/>
      <c r="J198" s="68" t="s">
        <v>2652</v>
      </c>
      <c r="K198" s="396" t="s">
        <v>2622</v>
      </c>
      <c r="L198" s="396" t="s">
        <v>2651</v>
      </c>
      <c r="P198" s="68" t="s">
        <v>1972</v>
      </c>
      <c r="R198" s="486"/>
      <c r="S198" s="487"/>
      <c r="T198" s="101"/>
      <c r="U198" s="488" t="s">
        <v>2563</v>
      </c>
      <c r="W198" s="482"/>
    </row>
    <row r="199" spans="1:23" s="68" customFormat="1" ht="14.25" customHeight="1">
      <c r="A199" s="487" t="s">
        <v>2648</v>
      </c>
      <c r="B199" s="482" t="s">
        <v>471</v>
      </c>
      <c r="C199" s="482" t="s">
        <v>2568</v>
      </c>
      <c r="D199" s="431"/>
      <c r="E199" s="396"/>
      <c r="F199" s="396"/>
      <c r="G199" s="396"/>
      <c r="H199" s="396"/>
      <c r="I199" s="396"/>
      <c r="J199" s="68" t="s">
        <v>2652</v>
      </c>
      <c r="K199" s="396" t="s">
        <v>2622</v>
      </c>
      <c r="L199" s="396" t="s">
        <v>2651</v>
      </c>
      <c r="M199" s="396"/>
      <c r="N199" s="396"/>
      <c r="O199" s="396"/>
      <c r="P199" s="68" t="s">
        <v>1972</v>
      </c>
      <c r="Q199" s="396"/>
      <c r="R199" s="486"/>
      <c r="S199" s="487"/>
      <c r="T199" s="412"/>
      <c r="U199" s="488" t="s">
        <v>2563</v>
      </c>
      <c r="V199" s="396"/>
      <c r="W199" s="482"/>
    </row>
    <row r="200" spans="1:23" s="68" customFormat="1" ht="14.25" customHeight="1">
      <c r="A200" s="490" t="s">
        <v>2648</v>
      </c>
      <c r="B200" s="490" t="s">
        <v>471</v>
      </c>
      <c r="C200" s="491" t="s">
        <v>2734</v>
      </c>
      <c r="D200" s="485"/>
      <c r="E200" s="396"/>
      <c r="F200" s="482"/>
      <c r="G200" s="396"/>
      <c r="H200" s="396"/>
      <c r="I200" s="396"/>
      <c r="J200" s="68" t="s">
        <v>794</v>
      </c>
      <c r="K200" s="396" t="s">
        <v>794</v>
      </c>
      <c r="L200" s="396" t="s">
        <v>3123</v>
      </c>
      <c r="O200" s="396"/>
      <c r="P200" s="68" t="s">
        <v>1972</v>
      </c>
      <c r="R200" s="494"/>
      <c r="S200" s="487"/>
      <c r="T200" s="101">
        <v>43591</v>
      </c>
      <c r="U200" s="494"/>
      <c r="W200" s="486"/>
    </row>
    <row r="201" spans="1:23" s="68" customFormat="1" ht="14.25" customHeight="1">
      <c r="A201" s="487" t="s">
        <v>2648</v>
      </c>
      <c r="B201" s="490" t="s">
        <v>471</v>
      </c>
      <c r="C201" s="484" t="s">
        <v>908</v>
      </c>
      <c r="D201" s="432" t="s">
        <v>1656</v>
      </c>
      <c r="E201" s="484">
        <v>196429</v>
      </c>
      <c r="F201" s="484"/>
      <c r="G201" s="484"/>
      <c r="H201" s="484"/>
      <c r="I201" s="484"/>
      <c r="J201" s="68" t="s">
        <v>794</v>
      </c>
      <c r="K201" s="396" t="s">
        <v>794</v>
      </c>
      <c r="L201" s="396" t="s">
        <v>794</v>
      </c>
      <c r="M201" s="484" t="s">
        <v>294</v>
      </c>
      <c r="N201" s="484">
        <v>20.58151054</v>
      </c>
      <c r="O201" s="484">
        <v>93.24609375</v>
      </c>
      <c r="P201" s="68" t="s">
        <v>795</v>
      </c>
      <c r="Q201" s="484"/>
      <c r="R201" s="495"/>
      <c r="S201" s="491"/>
      <c r="T201" s="507"/>
      <c r="U201" s="492"/>
      <c r="V201" s="484" t="s">
        <v>908</v>
      </c>
      <c r="W201" s="482"/>
    </row>
    <row r="202" spans="1:23" s="68" customFormat="1" ht="14.25" customHeight="1">
      <c r="A202" s="671" t="s">
        <v>2648</v>
      </c>
      <c r="B202" s="675" t="s">
        <v>471</v>
      </c>
      <c r="C202" s="677" t="s">
        <v>3115</v>
      </c>
      <c r="D202" s="485"/>
      <c r="E202" s="672">
        <v>196427</v>
      </c>
      <c r="F202" s="512" t="s">
        <v>3115</v>
      </c>
      <c r="G202" s="672"/>
      <c r="H202" s="672"/>
      <c r="I202" s="672"/>
      <c r="J202" s="659" t="s">
        <v>794</v>
      </c>
      <c r="K202" s="659" t="s">
        <v>794</v>
      </c>
      <c r="L202" s="659" t="s">
        <v>794</v>
      </c>
      <c r="M202" s="672"/>
      <c r="N202" s="510">
        <v>20.608230590820298</v>
      </c>
      <c r="O202" s="510">
        <v>93.141777038574205</v>
      </c>
      <c r="P202" s="672" t="s">
        <v>795</v>
      </c>
      <c r="Q202" s="659" t="s">
        <v>3102</v>
      </c>
      <c r="R202" s="673"/>
      <c r="S202" s="671"/>
      <c r="T202" s="674">
        <v>43851</v>
      </c>
      <c r="U202" s="673"/>
      <c r="V202" s="672"/>
      <c r="W202" s="486"/>
    </row>
    <row r="203" spans="1:23" s="68" customFormat="1" ht="14.25" customHeight="1">
      <c r="A203" s="671" t="s">
        <v>2648</v>
      </c>
      <c r="B203" s="675" t="s">
        <v>471</v>
      </c>
      <c r="C203" s="677" t="s">
        <v>3111</v>
      </c>
      <c r="D203" s="485"/>
      <c r="E203" s="672">
        <v>196618</v>
      </c>
      <c r="F203" s="672" t="s">
        <v>3113</v>
      </c>
      <c r="G203" s="672"/>
      <c r="H203" s="672"/>
      <c r="I203" s="672"/>
      <c r="J203" s="659" t="s">
        <v>794</v>
      </c>
      <c r="K203" s="659" t="s">
        <v>794</v>
      </c>
      <c r="L203" s="659" t="s">
        <v>794</v>
      </c>
      <c r="M203" s="672"/>
      <c r="N203" s="510">
        <v>20.652900695800799</v>
      </c>
      <c r="O203" s="510">
        <v>93.117912292480497</v>
      </c>
      <c r="P203" s="672" t="s">
        <v>795</v>
      </c>
      <c r="Q203" s="659" t="s">
        <v>3102</v>
      </c>
      <c r="R203" s="673"/>
      <c r="S203" s="671"/>
      <c r="T203" s="674">
        <v>43851</v>
      </c>
      <c r="U203" s="673"/>
      <c r="V203" s="672"/>
      <c r="W203" s="486"/>
    </row>
    <row r="204" spans="1:23" s="68" customFormat="1" ht="14.25" customHeight="1">
      <c r="A204" s="487" t="s">
        <v>2648</v>
      </c>
      <c r="B204" s="484" t="s">
        <v>471</v>
      </c>
      <c r="C204" s="484" t="s">
        <v>913</v>
      </c>
      <c r="D204" s="431" t="s">
        <v>2712</v>
      </c>
      <c r="E204" s="68" t="s">
        <v>1395</v>
      </c>
      <c r="F204" s="68" t="s">
        <v>491</v>
      </c>
      <c r="G204" s="68" t="s">
        <v>1859</v>
      </c>
      <c r="J204" s="482" t="s">
        <v>794</v>
      </c>
      <c r="K204" s="482" t="s">
        <v>794</v>
      </c>
      <c r="L204" s="482" t="s">
        <v>817</v>
      </c>
      <c r="M204" s="68" t="s">
        <v>294</v>
      </c>
      <c r="N204" s="68">
        <v>20.61692</v>
      </c>
      <c r="O204" s="396">
        <v>93.239519999999999</v>
      </c>
      <c r="P204" s="68" t="s">
        <v>795</v>
      </c>
      <c r="R204" s="486">
        <v>10</v>
      </c>
      <c r="S204" s="487">
        <v>64</v>
      </c>
      <c r="T204" s="101"/>
      <c r="U204" s="488" t="s">
        <v>856</v>
      </c>
      <c r="V204" s="68" t="s">
        <v>913</v>
      </c>
      <c r="W204" s="482"/>
    </row>
    <row r="205" spans="1:23" s="68" customFormat="1" ht="14.25" customHeight="1">
      <c r="A205" s="487" t="s">
        <v>2648</v>
      </c>
      <c r="B205" s="484" t="s">
        <v>471</v>
      </c>
      <c r="C205" s="484" t="s">
        <v>2565</v>
      </c>
      <c r="D205" s="431"/>
      <c r="E205" s="68">
        <v>196465</v>
      </c>
      <c r="F205" s="396"/>
      <c r="J205" s="68" t="s">
        <v>2652</v>
      </c>
      <c r="K205" s="396" t="s">
        <v>2622</v>
      </c>
      <c r="L205" s="396" t="s">
        <v>2622</v>
      </c>
      <c r="N205" s="68">
        <v>20.7270202636719</v>
      </c>
      <c r="O205" s="68">
        <v>93.249069213867202</v>
      </c>
      <c r="P205" s="68" t="s">
        <v>1972</v>
      </c>
      <c r="R205" s="486"/>
      <c r="S205" s="487"/>
      <c r="T205" s="101"/>
      <c r="U205" s="488"/>
      <c r="W205" s="482"/>
    </row>
    <row r="206" spans="1:23" s="68" customFormat="1" ht="14.25" customHeight="1">
      <c r="A206" s="487" t="s">
        <v>2648</v>
      </c>
      <c r="B206" s="484" t="s">
        <v>471</v>
      </c>
      <c r="C206" s="484" t="s">
        <v>2564</v>
      </c>
      <c r="D206" s="431"/>
      <c r="F206" s="484"/>
      <c r="J206" s="68" t="s">
        <v>2652</v>
      </c>
      <c r="K206" s="68" t="s">
        <v>2622</v>
      </c>
      <c r="L206" s="396" t="s">
        <v>2651</v>
      </c>
      <c r="O206" s="396"/>
      <c r="P206" s="68" t="s">
        <v>1972</v>
      </c>
      <c r="R206" s="486"/>
      <c r="S206" s="400"/>
      <c r="T206" s="101"/>
      <c r="U206" s="488" t="s">
        <v>2563</v>
      </c>
      <c r="W206" s="482"/>
    </row>
    <row r="207" spans="1:23" s="68" customFormat="1" ht="14.25" customHeight="1">
      <c r="A207" s="487" t="s">
        <v>2648</v>
      </c>
      <c r="B207" s="484" t="s">
        <v>471</v>
      </c>
      <c r="C207" s="484" t="s">
        <v>2571</v>
      </c>
      <c r="D207" s="431"/>
      <c r="F207" s="482"/>
      <c r="J207" s="68" t="s">
        <v>2652</v>
      </c>
      <c r="K207" s="396" t="s">
        <v>2622</v>
      </c>
      <c r="L207" s="396" t="s">
        <v>2622</v>
      </c>
      <c r="P207" s="68" t="s">
        <v>1972</v>
      </c>
      <c r="R207" s="486"/>
      <c r="S207" s="487"/>
      <c r="T207" s="101"/>
      <c r="U207" s="488"/>
      <c r="W207" s="482"/>
    </row>
    <row r="208" spans="1:23" s="68" customFormat="1" ht="14.25" customHeight="1">
      <c r="A208" s="487" t="s">
        <v>2648</v>
      </c>
      <c r="B208" s="484" t="s">
        <v>471</v>
      </c>
      <c r="C208" s="484" t="s">
        <v>2791</v>
      </c>
      <c r="D208" s="431"/>
      <c r="E208" s="68">
        <v>196453</v>
      </c>
      <c r="F208" s="484"/>
      <c r="J208" s="68" t="s">
        <v>2652</v>
      </c>
      <c r="K208" s="396" t="s">
        <v>2622</v>
      </c>
      <c r="L208" s="396" t="s">
        <v>2622</v>
      </c>
      <c r="N208" s="68">
        <v>20.686229705810501</v>
      </c>
      <c r="O208" s="68">
        <v>93.220001220703097</v>
      </c>
      <c r="P208" s="68" t="s">
        <v>1972</v>
      </c>
      <c r="R208" s="490"/>
      <c r="S208" s="491"/>
      <c r="T208" s="101"/>
      <c r="U208" s="488"/>
      <c r="W208" s="482"/>
    </row>
    <row r="209" spans="1:23" s="68" customFormat="1" ht="14.25" customHeight="1">
      <c r="A209" s="487" t="s">
        <v>2648</v>
      </c>
      <c r="B209" s="484" t="s">
        <v>471</v>
      </c>
      <c r="C209" s="484" t="s">
        <v>2792</v>
      </c>
      <c r="D209" s="431"/>
      <c r="E209" s="68">
        <v>196453</v>
      </c>
      <c r="F209" s="482"/>
      <c r="J209" s="68" t="s">
        <v>2652</v>
      </c>
      <c r="K209" s="68" t="s">
        <v>2622</v>
      </c>
      <c r="L209" s="68" t="s">
        <v>2622</v>
      </c>
      <c r="N209" s="68">
        <v>20.686229705810501</v>
      </c>
      <c r="O209" s="396">
        <v>93.220001220703097</v>
      </c>
      <c r="P209" s="396" t="s">
        <v>1972</v>
      </c>
      <c r="R209" s="490"/>
      <c r="S209" s="491"/>
      <c r="T209" s="101"/>
      <c r="U209" s="488"/>
      <c r="W209" s="482"/>
    </row>
    <row r="210" spans="1:23" s="68" customFormat="1" ht="14.25" customHeight="1">
      <c r="A210" s="487" t="s">
        <v>2648</v>
      </c>
      <c r="B210" s="484" t="s">
        <v>471</v>
      </c>
      <c r="C210" s="484" t="s">
        <v>2575</v>
      </c>
      <c r="D210" s="431"/>
      <c r="E210" s="482">
        <v>196464</v>
      </c>
      <c r="J210" s="68" t="s">
        <v>2652</v>
      </c>
      <c r="K210" s="482" t="s">
        <v>2622</v>
      </c>
      <c r="L210" s="396" t="s">
        <v>2622</v>
      </c>
      <c r="N210" s="68">
        <v>20.7529296875</v>
      </c>
      <c r="O210" s="68">
        <v>93.267311096191406</v>
      </c>
      <c r="P210" s="482" t="s">
        <v>1972</v>
      </c>
      <c r="R210" s="486"/>
      <c r="S210" s="487"/>
      <c r="T210" s="101"/>
      <c r="U210" s="488"/>
      <c r="W210" s="482"/>
    </row>
    <row r="211" spans="1:23" s="68" customFormat="1" ht="14.25" customHeight="1">
      <c r="A211" s="400" t="s">
        <v>2648</v>
      </c>
      <c r="B211" s="397" t="s">
        <v>471</v>
      </c>
      <c r="C211" s="397" t="s">
        <v>2576</v>
      </c>
      <c r="D211" s="431"/>
      <c r="F211" s="482"/>
      <c r="J211" s="68" t="s">
        <v>2652</v>
      </c>
      <c r="K211" s="68" t="s">
        <v>2622</v>
      </c>
      <c r="L211" s="68" t="s">
        <v>2622</v>
      </c>
      <c r="P211" s="396" t="s">
        <v>1972</v>
      </c>
      <c r="R211" s="486"/>
      <c r="S211" s="487"/>
      <c r="T211" s="101"/>
      <c r="U211" s="97"/>
      <c r="W211" s="396"/>
    </row>
    <row r="212" spans="1:23" s="68" customFormat="1" ht="14.25" customHeight="1">
      <c r="A212" s="490" t="s">
        <v>2648</v>
      </c>
      <c r="B212" s="490" t="s">
        <v>471</v>
      </c>
      <c r="C212" s="491" t="s">
        <v>2733</v>
      </c>
      <c r="D212" s="485"/>
      <c r="E212" s="396">
        <v>196645</v>
      </c>
      <c r="F212" s="482"/>
      <c r="G212" s="396"/>
      <c r="H212" s="396"/>
      <c r="I212" s="396"/>
      <c r="J212" s="68" t="s">
        <v>794</v>
      </c>
      <c r="K212" s="482" t="s">
        <v>794</v>
      </c>
      <c r="L212" s="482" t="s">
        <v>875</v>
      </c>
      <c r="N212" s="68">
        <v>20.718429565429702</v>
      </c>
      <c r="O212" s="68">
        <v>93.059432983398395</v>
      </c>
      <c r="P212" s="68" t="s">
        <v>1972</v>
      </c>
      <c r="R212" s="494"/>
      <c r="S212" s="487"/>
      <c r="T212" s="101">
        <v>43591</v>
      </c>
      <c r="U212" s="494"/>
      <c r="W212" s="486"/>
    </row>
    <row r="213" spans="1:23" s="68" customFormat="1" ht="14.25" customHeight="1">
      <c r="A213" s="487" t="s">
        <v>2648</v>
      </c>
      <c r="B213" s="490" t="s">
        <v>471</v>
      </c>
      <c r="C213" s="491" t="s">
        <v>2965</v>
      </c>
      <c r="D213" s="485"/>
      <c r="E213" s="482">
        <v>196649</v>
      </c>
      <c r="F213" s="482" t="s">
        <v>2965</v>
      </c>
      <c r="H213" s="396"/>
      <c r="I213" s="396"/>
      <c r="J213" s="396" t="s">
        <v>794</v>
      </c>
      <c r="K213" s="482" t="s">
        <v>794</v>
      </c>
      <c r="L213" s="396" t="s">
        <v>794</v>
      </c>
      <c r="M213" s="396"/>
      <c r="N213" s="396">
        <v>20.812870025634801</v>
      </c>
      <c r="O213" s="396">
        <v>93.075592041015597</v>
      </c>
      <c r="P213" s="482" t="s">
        <v>795</v>
      </c>
      <c r="Q213" s="396" t="s">
        <v>2961</v>
      </c>
      <c r="R213" s="494"/>
      <c r="S213" s="487"/>
      <c r="T213" s="412">
        <v>43768</v>
      </c>
      <c r="U213" s="494"/>
      <c r="W213" s="486"/>
    </row>
    <row r="214" spans="1:23" s="68" customFormat="1" ht="14.25" customHeight="1">
      <c r="A214" s="490" t="s">
        <v>2648</v>
      </c>
      <c r="B214" s="490" t="s">
        <v>471</v>
      </c>
      <c r="C214" s="491" t="s">
        <v>2741</v>
      </c>
      <c r="D214" s="485"/>
      <c r="E214" s="396"/>
      <c r="F214" s="396"/>
      <c r="G214" s="396"/>
      <c r="H214" s="396"/>
      <c r="I214" s="396"/>
      <c r="J214" s="396" t="s">
        <v>2652</v>
      </c>
      <c r="K214" s="482" t="s">
        <v>2622</v>
      </c>
      <c r="L214" s="482" t="s">
        <v>2622</v>
      </c>
      <c r="M214" s="396"/>
      <c r="N214" s="396"/>
      <c r="O214" s="396"/>
      <c r="P214" s="396" t="s">
        <v>1972</v>
      </c>
      <c r="Q214" s="396"/>
      <c r="R214" s="494"/>
      <c r="S214" s="487"/>
      <c r="T214" s="412">
        <v>43591</v>
      </c>
      <c r="U214" s="494"/>
      <c r="V214" s="396"/>
      <c r="W214" s="486"/>
    </row>
    <row r="215" spans="1:23" s="68" customFormat="1" ht="14.25" customHeight="1">
      <c r="A215" s="487" t="s">
        <v>2648</v>
      </c>
      <c r="B215" s="484" t="s">
        <v>471</v>
      </c>
      <c r="C215" s="484" t="s">
        <v>898</v>
      </c>
      <c r="D215" s="431" t="s">
        <v>2712</v>
      </c>
      <c r="E215" s="396" t="s">
        <v>1390</v>
      </c>
      <c r="F215" s="396" t="s">
        <v>1856</v>
      </c>
      <c r="G215" s="396" t="s">
        <v>898</v>
      </c>
      <c r="H215" s="396"/>
      <c r="I215" s="396"/>
      <c r="J215" s="482" t="s">
        <v>794</v>
      </c>
      <c r="K215" s="482" t="s">
        <v>794</v>
      </c>
      <c r="L215" s="482" t="s">
        <v>817</v>
      </c>
      <c r="M215" s="68" t="s">
        <v>294</v>
      </c>
      <c r="N215" s="68">
        <v>20.495086000000001</v>
      </c>
      <c r="O215" s="68">
        <v>93.246863000000005</v>
      </c>
      <c r="P215" s="482" t="s">
        <v>795</v>
      </c>
      <c r="R215" s="486">
        <v>32</v>
      </c>
      <c r="S215" s="487">
        <v>131</v>
      </c>
      <c r="T215" s="101"/>
      <c r="U215" s="488" t="s">
        <v>856</v>
      </c>
      <c r="V215" s="68" t="s">
        <v>899</v>
      </c>
      <c r="W215" s="482"/>
    </row>
    <row r="216" spans="1:23" s="68" customFormat="1" ht="14.25" customHeight="1">
      <c r="A216" s="490" t="s">
        <v>2648</v>
      </c>
      <c r="B216" s="490" t="s">
        <v>471</v>
      </c>
      <c r="C216" s="491" t="s">
        <v>2731</v>
      </c>
      <c r="D216" s="485"/>
      <c r="E216" s="68">
        <v>196626</v>
      </c>
      <c r="F216" s="396"/>
      <c r="J216" s="68" t="s">
        <v>2652</v>
      </c>
      <c r="K216" s="482" t="s">
        <v>2622</v>
      </c>
      <c r="L216" s="482" t="s">
        <v>2622</v>
      </c>
      <c r="N216" s="68">
        <v>20.648319244384801</v>
      </c>
      <c r="O216" s="68">
        <v>93.085273742675795</v>
      </c>
      <c r="P216" s="68" t="s">
        <v>1972</v>
      </c>
      <c r="R216" s="494"/>
      <c r="S216" s="487"/>
      <c r="T216" s="101">
        <v>43591</v>
      </c>
      <c r="U216" s="494"/>
      <c r="W216" s="486"/>
    </row>
    <row r="217" spans="1:23" s="68" customFormat="1" ht="14.25" customHeight="1">
      <c r="A217" s="490" t="s">
        <v>2648</v>
      </c>
      <c r="B217" s="490" t="s">
        <v>471</v>
      </c>
      <c r="C217" s="491" t="s">
        <v>2728</v>
      </c>
      <c r="D217" s="485"/>
      <c r="F217" s="489"/>
      <c r="J217" s="68" t="s">
        <v>2652</v>
      </c>
      <c r="K217" s="482" t="s">
        <v>2622</v>
      </c>
      <c r="L217" s="482" t="s">
        <v>2622</v>
      </c>
      <c r="P217" s="68" t="s">
        <v>1972</v>
      </c>
      <c r="R217" s="494"/>
      <c r="S217" s="487"/>
      <c r="T217" s="101">
        <v>43591</v>
      </c>
      <c r="U217" s="494"/>
      <c r="W217" s="486"/>
    </row>
    <row r="218" spans="1:23" s="68" customFormat="1" ht="14.25" customHeight="1">
      <c r="A218" s="490" t="s">
        <v>2648</v>
      </c>
      <c r="B218" s="490" t="s">
        <v>471</v>
      </c>
      <c r="C218" s="491" t="s">
        <v>2730</v>
      </c>
      <c r="D218" s="485"/>
      <c r="E218" s="68">
        <v>196621</v>
      </c>
      <c r="F218" s="482"/>
      <c r="J218" s="68" t="s">
        <v>794</v>
      </c>
      <c r="K218" s="396" t="s">
        <v>794</v>
      </c>
      <c r="L218" s="396" t="s">
        <v>3123</v>
      </c>
      <c r="N218" s="68">
        <v>20.675979614257798</v>
      </c>
      <c r="O218" s="68">
        <v>93.098922729492202</v>
      </c>
      <c r="P218" s="482" t="s">
        <v>1972</v>
      </c>
      <c r="R218" s="494"/>
      <c r="S218" s="487"/>
      <c r="T218" s="101">
        <v>43591</v>
      </c>
      <c r="U218" s="494"/>
      <c r="W218" s="486"/>
    </row>
    <row r="219" spans="1:23" s="68" customFormat="1" ht="14.25" customHeight="1">
      <c r="A219" s="400" t="s">
        <v>2648</v>
      </c>
      <c r="B219" s="397" t="s">
        <v>471</v>
      </c>
      <c r="C219" s="397" t="s">
        <v>2569</v>
      </c>
      <c r="D219" s="431"/>
      <c r="J219" s="68" t="s">
        <v>2652</v>
      </c>
      <c r="K219" s="396" t="s">
        <v>2622</v>
      </c>
      <c r="L219" s="396" t="s">
        <v>2622</v>
      </c>
      <c r="O219" s="396"/>
      <c r="P219" s="482" t="s">
        <v>1972</v>
      </c>
      <c r="R219" s="486"/>
      <c r="S219" s="487"/>
      <c r="T219" s="101"/>
      <c r="U219" s="97"/>
      <c r="W219" s="396"/>
    </row>
    <row r="220" spans="1:23" s="68" customFormat="1" ht="14.25" customHeight="1">
      <c r="A220" s="490" t="s">
        <v>2648</v>
      </c>
      <c r="B220" s="490" t="s">
        <v>471</v>
      </c>
      <c r="C220" s="491" t="s">
        <v>2727</v>
      </c>
      <c r="D220" s="485"/>
      <c r="J220" s="68" t="s">
        <v>2652</v>
      </c>
      <c r="K220" s="68" t="s">
        <v>2622</v>
      </c>
      <c r="L220" s="482" t="s">
        <v>2622</v>
      </c>
      <c r="P220" s="482" t="s">
        <v>1972</v>
      </c>
      <c r="R220" s="494"/>
      <c r="S220" s="487"/>
      <c r="T220" s="101">
        <v>43591</v>
      </c>
      <c r="U220" s="494"/>
      <c r="W220" s="486"/>
    </row>
    <row r="221" spans="1:23" s="68" customFormat="1" ht="14.25" customHeight="1">
      <c r="A221" s="490" t="s">
        <v>2648</v>
      </c>
      <c r="B221" s="490" t="s">
        <v>471</v>
      </c>
      <c r="C221" s="491" t="s">
        <v>2732</v>
      </c>
      <c r="D221" s="485"/>
      <c r="E221" s="68">
        <v>196636</v>
      </c>
      <c r="F221" s="482"/>
      <c r="J221" s="68" t="s">
        <v>794</v>
      </c>
      <c r="K221" s="68" t="s">
        <v>794</v>
      </c>
      <c r="L221" s="482" t="s">
        <v>1095</v>
      </c>
      <c r="N221" s="68">
        <v>20.6698608398438</v>
      </c>
      <c r="O221" s="396">
        <v>93.087516784667997</v>
      </c>
      <c r="P221" s="482" t="s">
        <v>1972</v>
      </c>
      <c r="R221" s="494"/>
      <c r="S221" s="487"/>
      <c r="T221" s="101">
        <v>43591</v>
      </c>
      <c r="U221" s="494"/>
      <c r="W221" s="486"/>
    </row>
    <row r="222" spans="1:23" s="68" customFormat="1" ht="14.25" customHeight="1">
      <c r="A222" s="400" t="s">
        <v>2648</v>
      </c>
      <c r="B222" s="397" t="s">
        <v>471</v>
      </c>
      <c r="C222" s="397" t="s">
        <v>900</v>
      </c>
      <c r="D222" s="431" t="s">
        <v>2712</v>
      </c>
      <c r="E222" s="68" t="s">
        <v>1391</v>
      </c>
      <c r="F222" s="482" t="s">
        <v>1857</v>
      </c>
      <c r="G222" s="68" t="s">
        <v>1857</v>
      </c>
      <c r="J222" s="68" t="s">
        <v>794</v>
      </c>
      <c r="K222" s="68" t="s">
        <v>794</v>
      </c>
      <c r="L222" s="68" t="s">
        <v>879</v>
      </c>
      <c r="M222" s="68" t="s">
        <v>791</v>
      </c>
      <c r="N222" s="68">
        <v>20.501757999999999</v>
      </c>
      <c r="O222" s="396">
        <v>93.217039999999997</v>
      </c>
      <c r="P222" s="482" t="s">
        <v>795</v>
      </c>
      <c r="R222" s="486">
        <v>365</v>
      </c>
      <c r="S222" s="487">
        <v>2366</v>
      </c>
      <c r="T222" s="101"/>
      <c r="U222" s="97" t="s">
        <v>856</v>
      </c>
      <c r="V222" s="68" t="s">
        <v>901</v>
      </c>
      <c r="W222" s="484"/>
    </row>
    <row r="223" spans="1:23" s="68" customFormat="1" ht="14.25" customHeight="1">
      <c r="A223" s="490" t="s">
        <v>2648</v>
      </c>
      <c r="B223" s="490" t="s">
        <v>471</v>
      </c>
      <c r="C223" s="491" t="s">
        <v>2729</v>
      </c>
      <c r="D223" s="485"/>
      <c r="E223" s="68">
        <v>196622</v>
      </c>
      <c r="F223" s="482"/>
      <c r="I223" s="396"/>
      <c r="J223" s="68" t="s">
        <v>794</v>
      </c>
      <c r="K223" s="68" t="s">
        <v>794</v>
      </c>
      <c r="L223" s="68" t="s">
        <v>3123</v>
      </c>
      <c r="N223" s="68">
        <v>20.666166305541999</v>
      </c>
      <c r="O223" s="68">
        <v>93.094825744628906</v>
      </c>
      <c r="P223" s="482" t="s">
        <v>1972</v>
      </c>
      <c r="R223" s="494"/>
      <c r="S223" s="487"/>
      <c r="T223" s="101">
        <v>43591</v>
      </c>
      <c r="U223" s="494"/>
      <c r="W223" s="486"/>
    </row>
    <row r="224" spans="1:23" s="68" customFormat="1" ht="14.25" customHeight="1">
      <c r="A224" s="400" t="s">
        <v>2648</v>
      </c>
      <c r="B224" s="397" t="s">
        <v>399</v>
      </c>
      <c r="C224" s="397" t="s">
        <v>812</v>
      </c>
      <c r="D224" s="431" t="s">
        <v>1656</v>
      </c>
      <c r="E224" s="482">
        <v>197254</v>
      </c>
      <c r="F224" s="482"/>
      <c r="G224" s="396"/>
      <c r="H224" s="396"/>
      <c r="I224" s="396"/>
      <c r="J224" s="68" t="s">
        <v>794</v>
      </c>
      <c r="K224" s="482" t="s">
        <v>794</v>
      </c>
      <c r="L224" s="482" t="s">
        <v>794</v>
      </c>
      <c r="M224" s="396" t="s">
        <v>294</v>
      </c>
      <c r="N224" s="396">
        <v>20.021469119999999</v>
      </c>
      <c r="O224" s="396">
        <v>93.367980959999997</v>
      </c>
      <c r="P224" s="68" t="s">
        <v>795</v>
      </c>
      <c r="Q224" s="396"/>
      <c r="R224" s="490"/>
      <c r="S224" s="491"/>
      <c r="T224" s="412"/>
      <c r="U224" s="401"/>
      <c r="V224" s="396" t="s">
        <v>812</v>
      </c>
      <c r="W224" s="396"/>
    </row>
    <row r="225" spans="1:23" s="68" customFormat="1" ht="14.25" customHeight="1">
      <c r="A225" s="400" t="s">
        <v>2648</v>
      </c>
      <c r="B225" s="397" t="s">
        <v>399</v>
      </c>
      <c r="C225" s="397" t="s">
        <v>813</v>
      </c>
      <c r="D225" s="431" t="s">
        <v>1656</v>
      </c>
      <c r="E225" s="482">
        <v>197253</v>
      </c>
      <c r="F225" s="484"/>
      <c r="G225" s="396"/>
      <c r="H225" s="396"/>
      <c r="I225" s="396"/>
      <c r="J225" s="396" t="s">
        <v>794</v>
      </c>
      <c r="K225" s="482" t="s">
        <v>794</v>
      </c>
      <c r="L225" s="482" t="s">
        <v>794</v>
      </c>
      <c r="M225" s="396" t="s">
        <v>294</v>
      </c>
      <c r="N225" s="396">
        <v>20.023879999999998</v>
      </c>
      <c r="O225" s="396">
        <v>93.376663210000004</v>
      </c>
      <c r="P225" s="396" t="s">
        <v>795</v>
      </c>
      <c r="Q225" s="396"/>
      <c r="R225" s="490"/>
      <c r="S225" s="491"/>
      <c r="T225" s="412"/>
      <c r="U225" s="401"/>
      <c r="V225" s="396" t="s">
        <v>813</v>
      </c>
      <c r="W225" s="396"/>
    </row>
    <row r="226" spans="1:23" s="68" customFormat="1" ht="14.25" customHeight="1">
      <c r="A226" s="400" t="s">
        <v>2648</v>
      </c>
      <c r="B226" s="397" t="s">
        <v>399</v>
      </c>
      <c r="C226" s="397" t="s">
        <v>815</v>
      </c>
      <c r="D226" s="431" t="s">
        <v>1656</v>
      </c>
      <c r="E226" s="68">
        <v>217974</v>
      </c>
      <c r="F226" s="484"/>
      <c r="J226" s="68" t="s">
        <v>794</v>
      </c>
      <c r="K226" s="482" t="s">
        <v>794</v>
      </c>
      <c r="L226" s="482" t="s">
        <v>794</v>
      </c>
      <c r="M226" s="68" t="s">
        <v>294</v>
      </c>
      <c r="N226" s="68">
        <v>20.032299999999999</v>
      </c>
      <c r="O226" s="68">
        <v>93.375100000000003</v>
      </c>
      <c r="P226" s="482" t="s">
        <v>795</v>
      </c>
      <c r="R226" s="490"/>
      <c r="S226" s="491"/>
      <c r="T226" s="101"/>
      <c r="U226" s="97"/>
      <c r="V226" s="482" t="s">
        <v>815</v>
      </c>
      <c r="W226" s="396"/>
    </row>
    <row r="227" spans="1:23" s="68" customFormat="1" ht="14.25" customHeight="1">
      <c r="A227" s="400" t="s">
        <v>2648</v>
      </c>
      <c r="B227" s="397" t="s">
        <v>399</v>
      </c>
      <c r="C227" s="397" t="s">
        <v>830</v>
      </c>
      <c r="D227" s="431" t="s">
        <v>1656</v>
      </c>
      <c r="E227" s="482">
        <v>197279</v>
      </c>
      <c r="F227" s="482"/>
      <c r="J227" s="68" t="s">
        <v>794</v>
      </c>
      <c r="K227" s="482" t="s">
        <v>794</v>
      </c>
      <c r="L227" s="482" t="s">
        <v>794</v>
      </c>
      <c r="M227" s="68" t="s">
        <v>294</v>
      </c>
      <c r="N227" s="68">
        <v>20.100000000000001</v>
      </c>
      <c r="O227" s="68">
        <v>93.35</v>
      </c>
      <c r="P227" s="68" t="s">
        <v>795</v>
      </c>
      <c r="R227" s="490"/>
      <c r="S227" s="491"/>
      <c r="T227" s="101"/>
      <c r="U227" s="97"/>
      <c r="V227" s="68" t="s">
        <v>830</v>
      </c>
      <c r="W227" s="396"/>
    </row>
    <row r="228" spans="1:23" s="68" customFormat="1" ht="14.25" customHeight="1">
      <c r="A228" s="400" t="s">
        <v>2648</v>
      </c>
      <c r="B228" s="397" t="s">
        <v>399</v>
      </c>
      <c r="C228" s="397" t="s">
        <v>828</v>
      </c>
      <c r="D228" s="431" t="s">
        <v>1656</v>
      </c>
      <c r="E228" s="482">
        <v>197277</v>
      </c>
      <c r="J228" s="68" t="s">
        <v>794</v>
      </c>
      <c r="K228" s="482" t="s">
        <v>794</v>
      </c>
      <c r="L228" s="482" t="s">
        <v>794</v>
      </c>
      <c r="M228" s="68" t="s">
        <v>294</v>
      </c>
      <c r="N228" s="68">
        <v>20.079999999999998</v>
      </c>
      <c r="O228" s="68">
        <v>93.36</v>
      </c>
      <c r="P228" s="482" t="s">
        <v>795</v>
      </c>
      <c r="R228" s="490"/>
      <c r="S228" s="491"/>
      <c r="T228" s="101"/>
      <c r="U228" s="97"/>
      <c r="V228" s="68" t="s">
        <v>828</v>
      </c>
      <c r="W228" s="396"/>
    </row>
    <row r="229" spans="1:23" s="68" customFormat="1" ht="14.25" customHeight="1">
      <c r="A229" s="487" t="s">
        <v>2648</v>
      </c>
      <c r="B229" s="484" t="s">
        <v>399</v>
      </c>
      <c r="C229" s="484" t="s">
        <v>401</v>
      </c>
      <c r="D229" s="431" t="s">
        <v>2712</v>
      </c>
      <c r="E229" s="68" t="s">
        <v>1350</v>
      </c>
      <c r="F229" s="482" t="s">
        <v>1686</v>
      </c>
      <c r="G229" s="68" t="s">
        <v>1738</v>
      </c>
      <c r="J229" s="68" t="s">
        <v>794</v>
      </c>
      <c r="K229" s="482" t="s">
        <v>794</v>
      </c>
      <c r="L229" s="482" t="s">
        <v>817</v>
      </c>
      <c r="M229" s="68" t="s">
        <v>294</v>
      </c>
      <c r="N229" s="68">
        <v>20.041981</v>
      </c>
      <c r="O229" s="68">
        <v>93.373951000000005</v>
      </c>
      <c r="P229" s="482" t="s">
        <v>795</v>
      </c>
      <c r="Q229" s="68" t="s">
        <v>776</v>
      </c>
      <c r="R229" s="486">
        <v>40</v>
      </c>
      <c r="S229" s="487">
        <v>204</v>
      </c>
      <c r="T229" s="101"/>
      <c r="U229" s="488"/>
      <c r="V229" s="68" t="s">
        <v>401</v>
      </c>
      <c r="W229" s="482"/>
    </row>
    <row r="230" spans="1:23" s="68" customFormat="1" ht="14.25" customHeight="1">
      <c r="A230" s="487" t="s">
        <v>2648</v>
      </c>
      <c r="B230" s="484" t="s">
        <v>399</v>
      </c>
      <c r="C230" s="484" t="s">
        <v>844</v>
      </c>
      <c r="D230" s="431" t="s">
        <v>1656</v>
      </c>
      <c r="E230" s="482">
        <v>197286</v>
      </c>
      <c r="F230" s="484"/>
      <c r="J230" s="68" t="s">
        <v>794</v>
      </c>
      <c r="K230" s="482" t="s">
        <v>794</v>
      </c>
      <c r="L230" s="482" t="s">
        <v>794</v>
      </c>
      <c r="M230" s="68" t="s">
        <v>294</v>
      </c>
      <c r="N230" s="68">
        <v>20.149999999999999</v>
      </c>
      <c r="O230" s="68">
        <v>93.41</v>
      </c>
      <c r="P230" s="482" t="s">
        <v>795</v>
      </c>
      <c r="R230" s="490"/>
      <c r="S230" s="491"/>
      <c r="T230" s="101"/>
      <c r="U230" s="488"/>
      <c r="V230" s="68" t="s">
        <v>844</v>
      </c>
      <c r="W230" s="482"/>
    </row>
    <row r="231" spans="1:23" s="68" customFormat="1" ht="14.25" customHeight="1">
      <c r="A231" s="400" t="s">
        <v>2648</v>
      </c>
      <c r="B231" s="397" t="s">
        <v>399</v>
      </c>
      <c r="C231" s="397" t="s">
        <v>811</v>
      </c>
      <c r="D231" s="431" t="s">
        <v>1656</v>
      </c>
      <c r="E231" s="68">
        <v>197309</v>
      </c>
      <c r="F231" s="484"/>
      <c r="I231" s="396"/>
      <c r="J231" s="68" t="s">
        <v>794</v>
      </c>
      <c r="K231" s="482" t="s">
        <v>794</v>
      </c>
      <c r="L231" s="482" t="s">
        <v>794</v>
      </c>
      <c r="M231" s="68" t="s">
        <v>294</v>
      </c>
      <c r="N231" s="68">
        <v>20.010000000000002</v>
      </c>
      <c r="O231" s="68">
        <v>93.42</v>
      </c>
      <c r="P231" s="482" t="s">
        <v>795</v>
      </c>
      <c r="R231" s="490"/>
      <c r="S231" s="491"/>
      <c r="T231" s="101"/>
      <c r="U231" s="97"/>
      <c r="V231" s="68" t="s">
        <v>811</v>
      </c>
      <c r="W231" s="396"/>
    </row>
    <row r="232" spans="1:23" s="68" customFormat="1" ht="14.25" customHeight="1">
      <c r="A232" s="487" t="s">
        <v>2648</v>
      </c>
      <c r="B232" s="484" t="s">
        <v>399</v>
      </c>
      <c r="C232" s="484" t="s">
        <v>814</v>
      </c>
      <c r="D232" s="431" t="s">
        <v>1656</v>
      </c>
      <c r="E232" s="68">
        <v>197255</v>
      </c>
      <c r="F232" s="482"/>
      <c r="J232" s="68" t="s">
        <v>794</v>
      </c>
      <c r="K232" s="482" t="s">
        <v>794</v>
      </c>
      <c r="L232" s="482" t="s">
        <v>794</v>
      </c>
      <c r="M232" s="68" t="s">
        <v>294</v>
      </c>
      <c r="N232" s="68">
        <v>20.03</v>
      </c>
      <c r="O232" s="68">
        <v>93.38</v>
      </c>
      <c r="P232" s="482" t="s">
        <v>795</v>
      </c>
      <c r="R232" s="490"/>
      <c r="S232" s="491"/>
      <c r="T232" s="101"/>
      <c r="U232" s="488"/>
      <c r="V232" s="68" t="s">
        <v>814</v>
      </c>
      <c r="W232" s="482"/>
    </row>
    <row r="233" spans="1:23" s="68" customFormat="1" ht="14.25" customHeight="1">
      <c r="A233" s="487" t="s">
        <v>2648</v>
      </c>
      <c r="B233" s="484" t="s">
        <v>399</v>
      </c>
      <c r="C233" s="484" t="s">
        <v>816</v>
      </c>
      <c r="D233" s="431" t="s">
        <v>1656</v>
      </c>
      <c r="E233" s="482">
        <v>217973</v>
      </c>
      <c r="F233" s="482"/>
      <c r="J233" s="68" t="s">
        <v>794</v>
      </c>
      <c r="K233" s="482" t="s">
        <v>794</v>
      </c>
      <c r="L233" s="482" t="s">
        <v>794</v>
      </c>
      <c r="M233" s="68" t="s">
        <v>294</v>
      </c>
      <c r="N233" s="68">
        <v>20.032760620000001</v>
      </c>
      <c r="O233" s="68">
        <v>93.372978209999999</v>
      </c>
      <c r="P233" s="68" t="s">
        <v>795</v>
      </c>
      <c r="R233" s="490"/>
      <c r="S233" s="491"/>
      <c r="T233" s="101"/>
      <c r="U233" s="488"/>
      <c r="V233" s="68" t="s">
        <v>816</v>
      </c>
      <c r="W233" s="482"/>
    </row>
    <row r="234" spans="1:23" s="68" customFormat="1" ht="14.25" customHeight="1">
      <c r="A234" s="400" t="s">
        <v>2648</v>
      </c>
      <c r="B234" s="397" t="s">
        <v>399</v>
      </c>
      <c r="C234" s="397" t="s">
        <v>400</v>
      </c>
      <c r="D234" s="431" t="s">
        <v>2712</v>
      </c>
      <c r="E234" s="68" t="s">
        <v>1349</v>
      </c>
      <c r="F234" s="482"/>
      <c r="H234" s="68" t="s">
        <v>40</v>
      </c>
      <c r="J234" s="68" t="s">
        <v>42</v>
      </c>
      <c r="K234" s="482" t="s">
        <v>42</v>
      </c>
      <c r="L234" s="482" t="s">
        <v>790</v>
      </c>
      <c r="M234" s="68" t="s">
        <v>791</v>
      </c>
      <c r="N234" s="68">
        <v>20.037655000000001</v>
      </c>
      <c r="O234" s="68">
        <v>93.370037999999994</v>
      </c>
      <c r="P234" s="396" t="s">
        <v>757</v>
      </c>
      <c r="Q234" s="68" t="s">
        <v>776</v>
      </c>
      <c r="R234" s="486">
        <v>655</v>
      </c>
      <c r="S234" s="487">
        <v>2690</v>
      </c>
      <c r="T234" s="101"/>
      <c r="U234" s="97"/>
      <c r="V234" s="68" t="s">
        <v>400</v>
      </c>
      <c r="W234" s="396"/>
    </row>
    <row r="235" spans="1:23" s="68" customFormat="1" ht="14.25" customHeight="1">
      <c r="A235" s="487" t="s">
        <v>2648</v>
      </c>
      <c r="B235" s="484" t="s">
        <v>399</v>
      </c>
      <c r="C235" s="484" t="s">
        <v>821</v>
      </c>
      <c r="D235" s="431" t="s">
        <v>1656</v>
      </c>
      <c r="E235" s="68">
        <v>197378</v>
      </c>
      <c r="F235" s="484"/>
      <c r="J235" s="68" t="s">
        <v>794</v>
      </c>
      <c r="K235" s="482" t="s">
        <v>794</v>
      </c>
      <c r="L235" s="482" t="s">
        <v>794</v>
      </c>
      <c r="M235" s="68" t="s">
        <v>294</v>
      </c>
      <c r="N235" s="68">
        <v>20.061309810000001</v>
      </c>
      <c r="O235" s="482">
        <v>93.540641780000001</v>
      </c>
      <c r="P235" s="396" t="s">
        <v>795</v>
      </c>
      <c r="R235" s="490"/>
      <c r="S235" s="491"/>
      <c r="T235" s="101"/>
      <c r="U235" s="488"/>
      <c r="V235" s="68" t="s">
        <v>821</v>
      </c>
      <c r="W235" s="482"/>
    </row>
    <row r="236" spans="1:23" s="68" customFormat="1" ht="14.25" customHeight="1">
      <c r="A236" s="400" t="s">
        <v>2648</v>
      </c>
      <c r="B236" s="397" t="s">
        <v>399</v>
      </c>
      <c r="C236" s="397" t="s">
        <v>834</v>
      </c>
      <c r="D236" s="431" t="s">
        <v>1656</v>
      </c>
      <c r="E236" s="68">
        <v>197280</v>
      </c>
      <c r="J236" s="68" t="s">
        <v>794</v>
      </c>
      <c r="K236" s="482" t="s">
        <v>794</v>
      </c>
      <c r="L236" s="482" t="s">
        <v>794</v>
      </c>
      <c r="M236" s="68" t="s">
        <v>294</v>
      </c>
      <c r="N236" s="68">
        <v>20.12</v>
      </c>
      <c r="O236" s="68">
        <v>93.34</v>
      </c>
      <c r="P236" s="482" t="s">
        <v>795</v>
      </c>
      <c r="R236" s="490"/>
      <c r="S236" s="491"/>
      <c r="T236" s="101"/>
      <c r="U236" s="97"/>
      <c r="V236" s="68" t="s">
        <v>834</v>
      </c>
      <c r="W236" s="396"/>
    </row>
    <row r="237" spans="1:23" s="68" customFormat="1" ht="14.25" customHeight="1">
      <c r="A237" s="400" t="s">
        <v>2648</v>
      </c>
      <c r="B237" s="397" t="s">
        <v>399</v>
      </c>
      <c r="C237" s="397" t="s">
        <v>829</v>
      </c>
      <c r="D237" s="431" t="s">
        <v>1656</v>
      </c>
      <c r="E237" s="68">
        <v>197366</v>
      </c>
      <c r="F237" s="484"/>
      <c r="J237" s="68" t="s">
        <v>794</v>
      </c>
      <c r="K237" s="482" t="s">
        <v>794</v>
      </c>
      <c r="L237" s="482" t="s">
        <v>794</v>
      </c>
      <c r="M237" s="68" t="s">
        <v>294</v>
      </c>
      <c r="N237" s="396">
        <v>20.084</v>
      </c>
      <c r="O237" s="68">
        <v>93.483999999999995</v>
      </c>
      <c r="P237" s="482" t="s">
        <v>795</v>
      </c>
      <c r="R237" s="490"/>
      <c r="S237" s="491"/>
      <c r="T237" s="101"/>
      <c r="U237" s="97"/>
      <c r="V237" s="68" t="s">
        <v>829</v>
      </c>
      <c r="W237" s="396"/>
    </row>
    <row r="238" spans="1:23" s="68" customFormat="1" ht="14.25" customHeight="1">
      <c r="A238" s="487" t="s">
        <v>2648</v>
      </c>
      <c r="B238" s="484" t="s">
        <v>402</v>
      </c>
      <c r="C238" s="484" t="s">
        <v>2796</v>
      </c>
      <c r="D238" s="431"/>
      <c r="E238" s="484">
        <v>196310</v>
      </c>
      <c r="J238" s="68" t="s">
        <v>2652</v>
      </c>
      <c r="K238" s="482" t="s">
        <v>2622</v>
      </c>
      <c r="L238" s="482" t="s">
        <v>2622</v>
      </c>
      <c r="M238" s="68" t="s">
        <v>2624</v>
      </c>
      <c r="N238" s="68">
        <v>20.61741065979</v>
      </c>
      <c r="O238" s="68">
        <v>92.932502746582003</v>
      </c>
      <c r="P238" s="68" t="s">
        <v>1972</v>
      </c>
      <c r="R238" s="486"/>
      <c r="S238" s="400"/>
      <c r="T238" s="101"/>
      <c r="U238" s="488"/>
      <c r="V238" s="68" t="s">
        <v>2542</v>
      </c>
      <c r="W238" s="482"/>
    </row>
    <row r="239" spans="1:23" s="68" customFormat="1" ht="14.25" customHeight="1">
      <c r="A239" s="400" t="s">
        <v>2648</v>
      </c>
      <c r="B239" s="397" t="s">
        <v>402</v>
      </c>
      <c r="C239" s="397" t="s">
        <v>411</v>
      </c>
      <c r="D239" s="431" t="s">
        <v>1656</v>
      </c>
      <c r="E239" s="68">
        <v>197558</v>
      </c>
      <c r="F239" s="482"/>
      <c r="J239" s="68" t="s">
        <v>794</v>
      </c>
      <c r="K239" s="482" t="s">
        <v>794</v>
      </c>
      <c r="L239" s="482" t="s">
        <v>794</v>
      </c>
      <c r="M239" s="68" t="s">
        <v>791</v>
      </c>
      <c r="N239" s="68">
        <v>20.099340439999999</v>
      </c>
      <c r="O239" s="68">
        <v>92.989143369999994</v>
      </c>
      <c r="P239" s="68" t="s">
        <v>795</v>
      </c>
      <c r="Q239" s="68" t="s">
        <v>776</v>
      </c>
      <c r="R239" s="490"/>
      <c r="S239" s="491"/>
      <c r="T239" s="101"/>
      <c r="U239" s="97"/>
      <c r="W239" s="396"/>
    </row>
    <row r="240" spans="1:23" s="68" customFormat="1" ht="14.25" customHeight="1">
      <c r="A240" s="400" t="s">
        <v>2648</v>
      </c>
      <c r="B240" s="397" t="s">
        <v>402</v>
      </c>
      <c r="C240" s="397" t="s">
        <v>412</v>
      </c>
      <c r="D240" s="431" t="s">
        <v>2712</v>
      </c>
      <c r="E240" s="396" t="s">
        <v>1355</v>
      </c>
      <c r="F240" s="68" t="s">
        <v>831</v>
      </c>
      <c r="G240" s="68" t="s">
        <v>532</v>
      </c>
      <c r="H240" s="68" t="s">
        <v>40</v>
      </c>
      <c r="J240" s="68" t="s">
        <v>42</v>
      </c>
      <c r="K240" s="484" t="s">
        <v>42</v>
      </c>
      <c r="L240" s="484" t="s">
        <v>790</v>
      </c>
      <c r="M240" s="68" t="s">
        <v>791</v>
      </c>
      <c r="N240" s="68">
        <v>20.108101999999999</v>
      </c>
      <c r="O240" s="68">
        <v>92.985095000000001</v>
      </c>
      <c r="P240" s="482" t="s">
        <v>757</v>
      </c>
      <c r="Q240" s="68" t="s">
        <v>776</v>
      </c>
      <c r="R240" s="486">
        <v>1244</v>
      </c>
      <c r="S240" s="487">
        <v>4757</v>
      </c>
      <c r="T240" s="101"/>
      <c r="U240" s="97"/>
      <c r="V240" s="482" t="s">
        <v>833</v>
      </c>
      <c r="W240" s="396"/>
    </row>
    <row r="241" spans="1:23" s="68" customFormat="1" ht="14.25" customHeight="1">
      <c r="A241" s="400" t="s">
        <v>2648</v>
      </c>
      <c r="B241" s="397" t="s">
        <v>402</v>
      </c>
      <c r="C241" s="397" t="s">
        <v>2541</v>
      </c>
      <c r="D241" s="431"/>
      <c r="E241" s="484">
        <v>220611</v>
      </c>
      <c r="J241" s="68" t="s">
        <v>2652</v>
      </c>
      <c r="K241" s="68" t="s">
        <v>2622</v>
      </c>
      <c r="L241" s="482" t="s">
        <v>2622</v>
      </c>
      <c r="M241" s="68" t="s">
        <v>2624</v>
      </c>
      <c r="N241" s="482">
        <v>0</v>
      </c>
      <c r="O241" s="482">
        <v>0</v>
      </c>
      <c r="P241" s="482" t="s">
        <v>1972</v>
      </c>
      <c r="R241" s="486"/>
      <c r="S241" s="487"/>
      <c r="T241" s="101"/>
      <c r="U241" s="97"/>
      <c r="V241" s="482"/>
      <c r="W241" s="396"/>
    </row>
    <row r="242" spans="1:23" s="68" customFormat="1" ht="14.25" customHeight="1">
      <c r="A242" s="400" t="s">
        <v>2648</v>
      </c>
      <c r="B242" s="397" t="s">
        <v>402</v>
      </c>
      <c r="C242" s="397" t="s">
        <v>855</v>
      </c>
      <c r="D242" s="431" t="s">
        <v>2712</v>
      </c>
      <c r="E242" s="68" t="s">
        <v>1367</v>
      </c>
      <c r="F242" s="68" t="s">
        <v>1686</v>
      </c>
      <c r="G242" s="68" t="s">
        <v>1851</v>
      </c>
      <c r="J242" s="68" t="s">
        <v>794</v>
      </c>
      <c r="K242" s="484" t="s">
        <v>794</v>
      </c>
      <c r="L242" s="484" t="s">
        <v>817</v>
      </c>
      <c r="M242" s="68" t="s">
        <v>294</v>
      </c>
      <c r="N242" s="68">
        <v>20.173468</v>
      </c>
      <c r="O242" s="68">
        <v>93.067891000000003</v>
      </c>
      <c r="P242" s="482" t="s">
        <v>795</v>
      </c>
      <c r="R242" s="486">
        <v>21</v>
      </c>
      <c r="S242" s="487">
        <v>122</v>
      </c>
      <c r="T242" s="101"/>
      <c r="U242" s="97" t="s">
        <v>856</v>
      </c>
      <c r="V242" s="68" t="s">
        <v>857</v>
      </c>
      <c r="W242" s="396"/>
    </row>
    <row r="243" spans="1:23" s="68" customFormat="1" ht="14.25" customHeight="1">
      <c r="A243" s="490" t="s">
        <v>2648</v>
      </c>
      <c r="B243" s="490" t="s">
        <v>402</v>
      </c>
      <c r="C243" s="491" t="s">
        <v>2774</v>
      </c>
      <c r="D243" s="485"/>
      <c r="E243" s="482" t="s">
        <v>2795</v>
      </c>
      <c r="F243" s="482"/>
      <c r="G243" s="482"/>
      <c r="H243" s="482"/>
      <c r="I243" s="482"/>
      <c r="J243" s="68" t="s">
        <v>2652</v>
      </c>
      <c r="K243" s="482" t="s">
        <v>2622</v>
      </c>
      <c r="L243" s="482" t="s">
        <v>2622</v>
      </c>
      <c r="N243" s="482"/>
      <c r="O243" s="482"/>
      <c r="P243" s="396" t="s">
        <v>1972</v>
      </c>
      <c r="R243" s="494"/>
      <c r="S243" s="487"/>
      <c r="T243" s="101">
        <v>43591</v>
      </c>
      <c r="U243" s="494"/>
      <c r="V243" s="396"/>
      <c r="W243" s="486"/>
    </row>
    <row r="244" spans="1:23" s="68" customFormat="1" ht="14.25" customHeight="1">
      <c r="A244" s="400" t="s">
        <v>2648</v>
      </c>
      <c r="B244" s="490" t="s">
        <v>402</v>
      </c>
      <c r="C244" s="491" t="s">
        <v>3154</v>
      </c>
      <c r="D244" s="485"/>
      <c r="E244" s="68">
        <v>197542</v>
      </c>
      <c r="F244" s="68" t="s">
        <v>521</v>
      </c>
      <c r="J244" s="68" t="s">
        <v>794</v>
      </c>
      <c r="K244" s="482" t="s">
        <v>794</v>
      </c>
      <c r="L244" s="482" t="s">
        <v>794</v>
      </c>
      <c r="N244" s="68">
        <v>92.969009399414105</v>
      </c>
      <c r="O244" s="68">
        <v>20.014240264892599</v>
      </c>
      <c r="P244" s="396"/>
      <c r="Q244" s="68" t="s">
        <v>3163</v>
      </c>
      <c r="R244" s="494"/>
      <c r="S244" s="400"/>
      <c r="T244" s="101">
        <v>43935</v>
      </c>
      <c r="U244" s="494"/>
      <c r="W244" s="486"/>
    </row>
    <row r="245" spans="1:23" s="68" customFormat="1" ht="14.25" customHeight="1">
      <c r="A245" s="400" t="s">
        <v>2648</v>
      </c>
      <c r="B245" s="484" t="s">
        <v>402</v>
      </c>
      <c r="C245" s="484" t="s">
        <v>818</v>
      </c>
      <c r="D245" s="431" t="s">
        <v>1656</v>
      </c>
      <c r="E245" s="482">
        <v>197486</v>
      </c>
      <c r="F245" s="482"/>
      <c r="G245" s="482"/>
      <c r="H245" s="482"/>
      <c r="I245" s="482"/>
      <c r="J245" s="68" t="s">
        <v>794</v>
      </c>
      <c r="K245" s="484" t="s">
        <v>794</v>
      </c>
      <c r="L245" s="484" t="s">
        <v>794</v>
      </c>
      <c r="M245" s="482" t="s">
        <v>819</v>
      </c>
      <c r="N245" s="482">
        <v>20.05117035</v>
      </c>
      <c r="O245" s="482">
        <v>93.040992739999993</v>
      </c>
      <c r="P245" s="68" t="s">
        <v>795</v>
      </c>
      <c r="Q245" s="482"/>
      <c r="R245" s="486"/>
      <c r="S245" s="487"/>
      <c r="T245" s="506"/>
      <c r="U245" s="488"/>
      <c r="V245" s="482" t="s">
        <v>818</v>
      </c>
      <c r="W245" s="396"/>
    </row>
    <row r="246" spans="1:23" s="68" customFormat="1" ht="14.25" customHeight="1">
      <c r="A246" s="400" t="s">
        <v>2648</v>
      </c>
      <c r="B246" s="397" t="s">
        <v>402</v>
      </c>
      <c r="C246" s="397" t="s">
        <v>820</v>
      </c>
      <c r="D246" s="431" t="s">
        <v>1656</v>
      </c>
      <c r="E246" s="396">
        <v>197479</v>
      </c>
      <c r="F246" s="484"/>
      <c r="G246" s="396"/>
      <c r="H246" s="396"/>
      <c r="I246" s="396"/>
      <c r="J246" s="68" t="s">
        <v>794</v>
      </c>
      <c r="K246" s="484" t="s">
        <v>794</v>
      </c>
      <c r="L246" s="484" t="s">
        <v>794</v>
      </c>
      <c r="M246" s="68" t="s">
        <v>294</v>
      </c>
      <c r="N246" s="396">
        <v>20.05978966</v>
      </c>
      <c r="O246" s="482">
        <v>93.034988400000003</v>
      </c>
      <c r="P246" s="396" t="s">
        <v>795</v>
      </c>
      <c r="R246" s="486"/>
      <c r="S246" s="487"/>
      <c r="T246" s="101"/>
      <c r="U246" s="401"/>
      <c r="V246" s="482" t="s">
        <v>820</v>
      </c>
      <c r="W246" s="396"/>
    </row>
    <row r="247" spans="1:23" s="68" customFormat="1" ht="14.25" customHeight="1">
      <c r="A247" s="490" t="s">
        <v>2648</v>
      </c>
      <c r="B247" s="490" t="s">
        <v>402</v>
      </c>
      <c r="C247" s="491" t="s">
        <v>2773</v>
      </c>
      <c r="D247" s="485"/>
      <c r="E247" s="68">
        <v>197470</v>
      </c>
      <c r="F247" s="396"/>
      <c r="J247" s="68" t="s">
        <v>2652</v>
      </c>
      <c r="K247" s="482" t="s">
        <v>2622</v>
      </c>
      <c r="L247" s="482" t="s">
        <v>2622</v>
      </c>
      <c r="N247" s="68">
        <v>20.343349456787099</v>
      </c>
      <c r="O247" s="482">
        <v>93.121322631835895</v>
      </c>
      <c r="P247" s="68" t="s">
        <v>1972</v>
      </c>
      <c r="R247" s="494"/>
      <c r="S247" s="400"/>
      <c r="T247" s="101">
        <v>43591</v>
      </c>
      <c r="U247" s="494"/>
      <c r="W247" s="486"/>
    </row>
    <row r="248" spans="1:23" s="68" customFormat="1" ht="14.25" customHeight="1">
      <c r="A248" s="400" t="s">
        <v>2648</v>
      </c>
      <c r="B248" s="484" t="s">
        <v>402</v>
      </c>
      <c r="C248" s="484" t="s">
        <v>2535</v>
      </c>
      <c r="D248" s="431"/>
      <c r="E248" s="68">
        <v>197561</v>
      </c>
      <c r="F248" s="482" t="s">
        <v>2535</v>
      </c>
      <c r="J248" s="68" t="s">
        <v>794</v>
      </c>
      <c r="K248" s="482" t="s">
        <v>794</v>
      </c>
      <c r="L248" s="482" t="s">
        <v>794</v>
      </c>
      <c r="N248" s="68">
        <v>20.072999954223601</v>
      </c>
      <c r="O248" s="68">
        <v>92.924957275390597</v>
      </c>
      <c r="P248" s="68" t="s">
        <v>795</v>
      </c>
      <c r="R248" s="490"/>
      <c r="S248" s="491"/>
      <c r="T248" s="101"/>
      <c r="U248" s="97"/>
      <c r="W248" s="482"/>
    </row>
    <row r="249" spans="1:23" s="68" customFormat="1" ht="14.25" customHeight="1">
      <c r="A249" s="400" t="s">
        <v>2648</v>
      </c>
      <c r="B249" s="484" t="s">
        <v>402</v>
      </c>
      <c r="C249" s="484" t="s">
        <v>2561</v>
      </c>
      <c r="D249" s="431" t="s">
        <v>1656</v>
      </c>
      <c r="E249" s="396">
        <v>197461</v>
      </c>
      <c r="F249" s="482"/>
      <c r="G249" s="396"/>
      <c r="H249" s="396"/>
      <c r="I249" s="396"/>
      <c r="J249" s="68" t="s">
        <v>794</v>
      </c>
      <c r="K249" s="482" t="s">
        <v>794</v>
      </c>
      <c r="L249" s="163" t="s">
        <v>794</v>
      </c>
      <c r="M249" s="68" t="s">
        <v>294</v>
      </c>
      <c r="N249" s="482">
        <v>20.300760269165</v>
      </c>
      <c r="O249" s="482">
        <v>93.0572509765625</v>
      </c>
      <c r="P249" s="482" t="s">
        <v>795</v>
      </c>
      <c r="R249" s="490"/>
      <c r="S249" s="491"/>
      <c r="T249" s="101"/>
      <c r="U249" s="488"/>
      <c r="V249" s="396"/>
      <c r="W249" s="482"/>
    </row>
    <row r="250" spans="1:23" s="68" customFormat="1" ht="14.25" customHeight="1">
      <c r="A250" s="400" t="s">
        <v>2648</v>
      </c>
      <c r="B250" s="490" t="s">
        <v>402</v>
      </c>
      <c r="C250" s="491" t="s">
        <v>3155</v>
      </c>
      <c r="D250" s="485"/>
      <c r="E250" s="68">
        <v>197568</v>
      </c>
      <c r="F250" s="482" t="s">
        <v>2535</v>
      </c>
      <c r="J250" s="68" t="s">
        <v>794</v>
      </c>
      <c r="K250" s="482" t="s">
        <v>794</v>
      </c>
      <c r="L250" s="482" t="s">
        <v>794</v>
      </c>
      <c r="N250" s="68">
        <v>92.967132568359403</v>
      </c>
      <c r="O250" s="482">
        <v>19.9705104827881</v>
      </c>
      <c r="P250" s="482"/>
      <c r="Q250" s="68" t="s">
        <v>3163</v>
      </c>
      <c r="R250" s="494"/>
      <c r="S250" s="400"/>
      <c r="T250" s="101">
        <v>43935</v>
      </c>
      <c r="U250" s="494"/>
      <c r="W250" s="486"/>
    </row>
    <row r="251" spans="1:23" s="68" customFormat="1" ht="14.25" customHeight="1">
      <c r="A251" s="400" t="s">
        <v>2648</v>
      </c>
      <c r="B251" s="397" t="s">
        <v>402</v>
      </c>
      <c r="C251" s="397" t="s">
        <v>2553</v>
      </c>
      <c r="D251" s="431" t="s">
        <v>1656</v>
      </c>
      <c r="E251" s="68">
        <v>197441</v>
      </c>
      <c r="F251" s="482"/>
      <c r="J251" s="68" t="s">
        <v>794</v>
      </c>
      <c r="K251" s="482" t="s">
        <v>794</v>
      </c>
      <c r="L251" s="163" t="s">
        <v>794</v>
      </c>
      <c r="M251" s="68" t="s">
        <v>294</v>
      </c>
      <c r="N251" s="482">
        <v>20.3690795898438</v>
      </c>
      <c r="O251" s="482">
        <v>93.165313720703097</v>
      </c>
      <c r="P251" s="68" t="s">
        <v>795</v>
      </c>
      <c r="R251" s="486"/>
      <c r="S251" s="487"/>
      <c r="T251" s="101"/>
      <c r="U251" s="97"/>
      <c r="W251" s="482"/>
    </row>
    <row r="252" spans="1:23" s="68" customFormat="1" ht="14.25" customHeight="1">
      <c r="A252" s="400" t="s">
        <v>2648</v>
      </c>
      <c r="B252" s="397" t="s">
        <v>402</v>
      </c>
      <c r="C252" s="397" t="s">
        <v>2909</v>
      </c>
      <c r="D252" s="431"/>
      <c r="E252" s="68">
        <v>217985</v>
      </c>
      <c r="F252" s="68" t="s">
        <v>521</v>
      </c>
      <c r="J252" s="68" t="s">
        <v>794</v>
      </c>
      <c r="K252" s="68" t="s">
        <v>794</v>
      </c>
      <c r="L252" s="482" t="s">
        <v>794</v>
      </c>
      <c r="N252" s="68">
        <v>19.863630294799801</v>
      </c>
      <c r="O252" s="482">
        <v>93.030677795410199</v>
      </c>
      <c r="P252" s="482" t="s">
        <v>795</v>
      </c>
      <c r="R252" s="490"/>
      <c r="S252" s="491"/>
      <c r="T252" s="101"/>
      <c r="U252" s="97"/>
      <c r="W252" s="396"/>
    </row>
    <row r="253" spans="1:23" s="68" customFormat="1" ht="14.25" customHeight="1">
      <c r="A253" s="400" t="s">
        <v>2648</v>
      </c>
      <c r="B253" s="397" t="s">
        <v>402</v>
      </c>
      <c r="C253" s="397" t="s">
        <v>2540</v>
      </c>
      <c r="D253" s="431"/>
      <c r="E253" s="68">
        <v>197546</v>
      </c>
      <c r="F253" s="68" t="s">
        <v>521</v>
      </c>
      <c r="J253" s="68" t="s">
        <v>794</v>
      </c>
      <c r="K253" s="482" t="s">
        <v>794</v>
      </c>
      <c r="L253" s="482" t="s">
        <v>794</v>
      </c>
      <c r="N253" s="68">
        <v>19.986650466918899</v>
      </c>
      <c r="O253" s="68">
        <v>92.986160278320298</v>
      </c>
      <c r="P253" s="482" t="s">
        <v>795</v>
      </c>
      <c r="Q253" s="396"/>
      <c r="R253" s="486"/>
      <c r="S253" s="487"/>
      <c r="T253" s="412"/>
      <c r="U253" s="97"/>
      <c r="W253" s="396"/>
    </row>
    <row r="254" spans="1:23" s="68" customFormat="1" ht="14.25" customHeight="1">
      <c r="A254" s="400" t="s">
        <v>2648</v>
      </c>
      <c r="B254" s="490" t="s">
        <v>402</v>
      </c>
      <c r="C254" s="491" t="s">
        <v>3164</v>
      </c>
      <c r="D254" s="485"/>
      <c r="E254" s="68">
        <v>217987</v>
      </c>
      <c r="F254" s="482" t="s">
        <v>2535</v>
      </c>
      <c r="J254" s="68" t="s">
        <v>794</v>
      </c>
      <c r="K254" s="482" t="s">
        <v>794</v>
      </c>
      <c r="L254" s="482" t="s">
        <v>794</v>
      </c>
      <c r="N254" s="68">
        <v>92.943733215332003</v>
      </c>
      <c r="O254" s="68">
        <v>20.0130805969238</v>
      </c>
      <c r="P254" s="482"/>
      <c r="Q254" s="68" t="s">
        <v>3163</v>
      </c>
      <c r="R254" s="494"/>
      <c r="S254" s="487"/>
      <c r="T254" s="101">
        <v>43935</v>
      </c>
      <c r="U254" s="494"/>
      <c r="W254" s="486"/>
    </row>
    <row r="255" spans="1:23" s="68" customFormat="1" ht="14.25" customHeight="1">
      <c r="A255" s="400" t="s">
        <v>2648</v>
      </c>
      <c r="B255" s="397" t="s">
        <v>402</v>
      </c>
      <c r="C255" s="397" t="s">
        <v>532</v>
      </c>
      <c r="D255" s="431" t="s">
        <v>1656</v>
      </c>
      <c r="E255" s="396">
        <v>197537</v>
      </c>
      <c r="F255" s="482" t="s">
        <v>831</v>
      </c>
      <c r="J255" s="68" t="s">
        <v>794</v>
      </c>
      <c r="K255" s="484" t="s">
        <v>794</v>
      </c>
      <c r="L255" s="484" t="s">
        <v>794</v>
      </c>
      <c r="N255" s="68">
        <v>20.109220499999999</v>
      </c>
      <c r="O255" s="68">
        <v>92.995483399999998</v>
      </c>
      <c r="P255" s="482" t="s">
        <v>795</v>
      </c>
      <c r="R255" s="486"/>
      <c r="S255" s="487"/>
      <c r="T255" s="101"/>
      <c r="U255" s="97"/>
      <c r="V255" s="68" t="s">
        <v>532</v>
      </c>
      <c r="W255" s="396"/>
    </row>
    <row r="256" spans="1:23" s="68" customFormat="1" ht="14.25" customHeight="1">
      <c r="A256" s="400" t="s">
        <v>2648</v>
      </c>
      <c r="B256" s="397" t="s">
        <v>402</v>
      </c>
      <c r="C256" s="397" t="s">
        <v>410</v>
      </c>
      <c r="D256" s="431" t="s">
        <v>2712</v>
      </c>
      <c r="E256" s="68" t="s">
        <v>1354</v>
      </c>
      <c r="F256" s="68" t="s">
        <v>831</v>
      </c>
      <c r="G256" s="68" t="s">
        <v>410</v>
      </c>
      <c r="H256" s="68" t="s">
        <v>40</v>
      </c>
      <c r="J256" s="68" t="s">
        <v>42</v>
      </c>
      <c r="K256" s="484" t="s">
        <v>42</v>
      </c>
      <c r="L256" s="484" t="s">
        <v>790</v>
      </c>
      <c r="M256" s="68" t="s">
        <v>791</v>
      </c>
      <c r="N256" s="68">
        <v>20.090183</v>
      </c>
      <c r="O256" s="482">
        <v>93.010368999999997</v>
      </c>
      <c r="P256" s="482" t="s">
        <v>757</v>
      </c>
      <c r="Q256" s="68" t="s">
        <v>776</v>
      </c>
      <c r="R256" s="486">
        <v>1320</v>
      </c>
      <c r="S256" s="487">
        <v>6116</v>
      </c>
      <c r="T256" s="101"/>
      <c r="U256" s="97"/>
      <c r="V256" s="68" t="s">
        <v>410</v>
      </c>
      <c r="W256" s="396"/>
    </row>
    <row r="257" spans="1:23" s="68" customFormat="1" ht="14.25" customHeight="1">
      <c r="A257" s="400" t="s">
        <v>2648</v>
      </c>
      <c r="B257" s="397" t="s">
        <v>402</v>
      </c>
      <c r="C257" s="397" t="s">
        <v>2794</v>
      </c>
      <c r="D257" s="431"/>
      <c r="E257" s="396">
        <v>197547</v>
      </c>
      <c r="J257" s="68" t="s">
        <v>794</v>
      </c>
      <c r="K257" s="68" t="s">
        <v>794</v>
      </c>
      <c r="L257" s="482" t="s">
        <v>794</v>
      </c>
      <c r="N257" s="68">
        <v>19.9233303070068</v>
      </c>
      <c r="O257" s="68">
        <v>93.018592834472699</v>
      </c>
      <c r="P257" s="482" t="s">
        <v>795</v>
      </c>
      <c r="R257" s="490"/>
      <c r="S257" s="491"/>
      <c r="T257" s="101"/>
      <c r="U257" s="97"/>
      <c r="V257" s="484" t="s">
        <v>2539</v>
      </c>
      <c r="W257" s="396"/>
    </row>
    <row r="258" spans="1:23" s="68" customFormat="1" ht="14.25" customHeight="1">
      <c r="A258" s="400" t="s">
        <v>2648</v>
      </c>
      <c r="B258" s="397" t="s">
        <v>402</v>
      </c>
      <c r="C258" s="397" t="s">
        <v>806</v>
      </c>
      <c r="D258" s="431" t="s">
        <v>1656</v>
      </c>
      <c r="E258" s="482">
        <v>197566</v>
      </c>
      <c r="F258" s="482"/>
      <c r="G258" s="482"/>
      <c r="H258" s="482"/>
      <c r="I258" s="482"/>
      <c r="J258" s="68" t="s">
        <v>794</v>
      </c>
      <c r="K258" s="482" t="s">
        <v>794</v>
      </c>
      <c r="L258" s="484" t="s">
        <v>794</v>
      </c>
      <c r="N258" s="68">
        <v>19.94882965</v>
      </c>
      <c r="O258" s="68">
        <v>92.978782649999999</v>
      </c>
      <c r="P258" s="482" t="s">
        <v>795</v>
      </c>
      <c r="R258" s="486"/>
      <c r="S258" s="487"/>
      <c r="T258" s="101"/>
      <c r="U258" s="97"/>
      <c r="V258" s="68" t="s">
        <v>806</v>
      </c>
      <c r="W258" s="396"/>
    </row>
    <row r="259" spans="1:23" s="68" customFormat="1" ht="14.25" customHeight="1">
      <c r="A259" s="400" t="s">
        <v>2648</v>
      </c>
      <c r="B259" s="484" t="s">
        <v>402</v>
      </c>
      <c r="C259" s="484" t="s">
        <v>2552</v>
      </c>
      <c r="D259" s="485" t="s">
        <v>1656</v>
      </c>
      <c r="E259" s="482">
        <v>197450</v>
      </c>
      <c r="F259" s="482"/>
      <c r="G259" s="482"/>
      <c r="H259" s="482"/>
      <c r="I259" s="482"/>
      <c r="J259" s="68" t="s">
        <v>794</v>
      </c>
      <c r="K259" s="482" t="s">
        <v>794</v>
      </c>
      <c r="L259" s="163" t="s">
        <v>794</v>
      </c>
      <c r="M259" s="68" t="s">
        <v>294</v>
      </c>
      <c r="N259" s="482">
        <v>20.35671043396</v>
      </c>
      <c r="O259" s="482">
        <v>93.208602905273395</v>
      </c>
      <c r="P259" s="482" t="s">
        <v>795</v>
      </c>
      <c r="R259" s="484"/>
      <c r="S259" s="484"/>
      <c r="T259" s="101"/>
      <c r="U259" s="488"/>
      <c r="W259" s="482"/>
    </row>
    <row r="260" spans="1:23" s="68" customFormat="1" ht="14.25" customHeight="1">
      <c r="A260" s="487" t="s">
        <v>2648</v>
      </c>
      <c r="B260" s="490" t="s">
        <v>402</v>
      </c>
      <c r="C260" s="491" t="s">
        <v>2939</v>
      </c>
      <c r="D260" s="485"/>
      <c r="E260" s="482">
        <v>197570</v>
      </c>
      <c r="F260" s="482" t="s">
        <v>2693</v>
      </c>
      <c r="G260" s="482"/>
      <c r="H260" s="482"/>
      <c r="I260" s="482"/>
      <c r="J260" s="68" t="s">
        <v>794</v>
      </c>
      <c r="K260" s="482" t="s">
        <v>794</v>
      </c>
      <c r="L260" s="482" t="s">
        <v>794</v>
      </c>
      <c r="M260" s="482"/>
      <c r="N260" s="482">
        <v>20.074710845947301</v>
      </c>
      <c r="O260" s="482">
        <v>92.949638366699205</v>
      </c>
      <c r="P260" s="482" t="s">
        <v>795</v>
      </c>
      <c r="Q260" s="482" t="s">
        <v>2961</v>
      </c>
      <c r="R260" s="494"/>
      <c r="S260" s="487"/>
      <c r="T260" s="506">
        <v>43768</v>
      </c>
      <c r="U260" s="494"/>
      <c r="V260" s="482"/>
      <c r="W260" s="486"/>
    </row>
    <row r="261" spans="1:23" s="68" customFormat="1" ht="14.25" customHeight="1">
      <c r="A261" s="487" t="s">
        <v>2648</v>
      </c>
      <c r="B261" s="484" t="s">
        <v>402</v>
      </c>
      <c r="C261" s="484" t="s">
        <v>2562</v>
      </c>
      <c r="D261" s="431" t="s">
        <v>1656</v>
      </c>
      <c r="E261" s="482">
        <v>197463</v>
      </c>
      <c r="F261" s="482"/>
      <c r="G261" s="482"/>
      <c r="H261" s="482"/>
      <c r="I261" s="482"/>
      <c r="J261" s="68" t="s">
        <v>794</v>
      </c>
      <c r="K261" s="482" t="s">
        <v>794</v>
      </c>
      <c r="L261" s="163" t="s">
        <v>794</v>
      </c>
      <c r="M261" s="482" t="s">
        <v>294</v>
      </c>
      <c r="N261" s="482">
        <v>20.293270111083999</v>
      </c>
      <c r="O261" s="482">
        <v>93.051849365234403</v>
      </c>
      <c r="P261" s="482" t="s">
        <v>795</v>
      </c>
      <c r="Q261" s="482"/>
      <c r="R261" s="486"/>
      <c r="S261" s="487"/>
      <c r="T261" s="506"/>
      <c r="U261" s="488"/>
      <c r="V261" s="482"/>
      <c r="W261" s="482"/>
    </row>
    <row r="262" spans="1:23" s="68" customFormat="1" ht="14.25" customHeight="1">
      <c r="A262" s="487" t="s">
        <v>2648</v>
      </c>
      <c r="B262" s="484" t="s">
        <v>402</v>
      </c>
      <c r="C262" s="484" t="s">
        <v>2536</v>
      </c>
      <c r="D262" s="431"/>
      <c r="E262" s="68">
        <v>197565</v>
      </c>
      <c r="F262" s="68" t="s">
        <v>2535</v>
      </c>
      <c r="J262" s="68" t="s">
        <v>794</v>
      </c>
      <c r="K262" s="482" t="s">
        <v>794</v>
      </c>
      <c r="L262" s="482" t="s">
        <v>794</v>
      </c>
      <c r="N262" s="68">
        <v>20.005199432373001</v>
      </c>
      <c r="O262" s="482">
        <v>92.948463439941406</v>
      </c>
      <c r="P262" s="482" t="s">
        <v>795</v>
      </c>
      <c r="R262" s="490"/>
      <c r="S262" s="491"/>
      <c r="T262" s="101"/>
      <c r="U262" s="488"/>
      <c r="W262" s="482"/>
    </row>
    <row r="263" spans="1:23" s="68" customFormat="1" ht="14.25" customHeight="1">
      <c r="A263" s="400" t="s">
        <v>2648</v>
      </c>
      <c r="B263" s="397" t="s">
        <v>402</v>
      </c>
      <c r="C263" s="397" t="s">
        <v>2556</v>
      </c>
      <c r="D263" s="431" t="s">
        <v>1656</v>
      </c>
      <c r="E263" s="68">
        <v>197404</v>
      </c>
      <c r="F263" s="482"/>
      <c r="J263" s="68" t="s">
        <v>794</v>
      </c>
      <c r="K263" s="482" t="s">
        <v>794</v>
      </c>
      <c r="L263" s="163" t="s">
        <v>794</v>
      </c>
      <c r="M263" s="68" t="s">
        <v>294</v>
      </c>
      <c r="N263" s="482">
        <v>20.2700290679932</v>
      </c>
      <c r="O263" s="482">
        <v>93.058853149414105</v>
      </c>
      <c r="P263" s="68" t="s">
        <v>795</v>
      </c>
      <c r="R263" s="486"/>
      <c r="S263" s="487"/>
      <c r="T263" s="101"/>
      <c r="U263" s="97"/>
      <c r="W263" s="482"/>
    </row>
    <row r="264" spans="1:23" s="68" customFormat="1" ht="14.25" customHeight="1">
      <c r="A264" s="487" t="s">
        <v>2648</v>
      </c>
      <c r="B264" s="484" t="s">
        <v>402</v>
      </c>
      <c r="C264" s="484" t="s">
        <v>2560</v>
      </c>
      <c r="D264" s="431" t="s">
        <v>1656</v>
      </c>
      <c r="E264" s="482">
        <v>197464</v>
      </c>
      <c r="F264" s="482"/>
      <c r="G264" s="482"/>
      <c r="H264" s="482"/>
      <c r="I264" s="482"/>
      <c r="J264" s="68" t="s">
        <v>794</v>
      </c>
      <c r="K264" s="482" t="s">
        <v>794</v>
      </c>
      <c r="L264" s="163" t="s">
        <v>794</v>
      </c>
      <c r="M264" s="68" t="s">
        <v>294</v>
      </c>
      <c r="N264" s="482">
        <v>20.3108005523682</v>
      </c>
      <c r="O264" s="482">
        <v>93.042427062988295</v>
      </c>
      <c r="P264" s="482" t="s">
        <v>795</v>
      </c>
      <c r="R264" s="486"/>
      <c r="S264" s="487"/>
      <c r="T264" s="101"/>
      <c r="U264" s="488"/>
      <c r="W264" s="482"/>
    </row>
    <row r="265" spans="1:23" s="68" customFormat="1" ht="14.25" customHeight="1">
      <c r="A265" s="400" t="s">
        <v>2648</v>
      </c>
      <c r="B265" s="490" t="s">
        <v>402</v>
      </c>
      <c r="C265" s="491" t="s">
        <v>827</v>
      </c>
      <c r="D265" s="485" t="s">
        <v>1656</v>
      </c>
      <c r="E265" s="68" t="s">
        <v>1353</v>
      </c>
      <c r="F265" s="512"/>
      <c r="J265" s="68" t="s">
        <v>42</v>
      </c>
      <c r="K265" s="484" t="s">
        <v>42</v>
      </c>
      <c r="L265" s="484" t="s">
        <v>756</v>
      </c>
      <c r="M265" s="68" t="s">
        <v>791</v>
      </c>
      <c r="N265" s="68">
        <v>20.073437999999999</v>
      </c>
      <c r="O265" s="68">
        <v>93.154551999999995</v>
      </c>
      <c r="P265" s="68" t="s">
        <v>757</v>
      </c>
      <c r="R265" s="494"/>
      <c r="S265" s="400"/>
      <c r="T265" s="101"/>
      <c r="U265" s="97"/>
      <c r="W265" s="482"/>
    </row>
    <row r="266" spans="1:23" s="68" customFormat="1" ht="14.25" customHeight="1">
      <c r="A266" s="487" t="s">
        <v>2648</v>
      </c>
      <c r="B266" s="484" t="s">
        <v>402</v>
      </c>
      <c r="C266" s="484" t="s">
        <v>406</v>
      </c>
      <c r="D266" s="431" t="s">
        <v>2712</v>
      </c>
      <c r="E266" s="482" t="s">
        <v>1353</v>
      </c>
      <c r="F266" s="484" t="s">
        <v>1739</v>
      </c>
      <c r="G266" s="482" t="s">
        <v>1740</v>
      </c>
      <c r="H266" s="482" t="s">
        <v>40</v>
      </c>
      <c r="I266" s="482"/>
      <c r="J266" s="68" t="s">
        <v>42</v>
      </c>
      <c r="K266" s="484" t="s">
        <v>42</v>
      </c>
      <c r="L266" s="484" t="s">
        <v>1875</v>
      </c>
      <c r="M266" s="482" t="s">
        <v>791</v>
      </c>
      <c r="N266" s="482">
        <v>20.073437999999999</v>
      </c>
      <c r="O266" s="482">
        <v>93.154551999999995</v>
      </c>
      <c r="P266" s="482" t="s">
        <v>795</v>
      </c>
      <c r="Q266" s="482" t="s">
        <v>776</v>
      </c>
      <c r="R266" s="486">
        <v>1010</v>
      </c>
      <c r="S266" s="487">
        <v>4686</v>
      </c>
      <c r="T266" s="506"/>
      <c r="U266" s="488"/>
      <c r="V266" s="482" t="s">
        <v>406</v>
      </c>
      <c r="W266" s="482"/>
    </row>
    <row r="267" spans="1:23" s="68" customFormat="1" ht="14.25" customHeight="1">
      <c r="A267" s="400" t="s">
        <v>2648</v>
      </c>
      <c r="B267" s="397" t="s">
        <v>402</v>
      </c>
      <c r="C267" s="397" t="s">
        <v>407</v>
      </c>
      <c r="D267" s="431" t="s">
        <v>2712</v>
      </c>
      <c r="E267" s="396" t="s">
        <v>1353</v>
      </c>
      <c r="F267" s="482" t="s">
        <v>1739</v>
      </c>
      <c r="G267" s="396" t="s">
        <v>1740</v>
      </c>
      <c r="H267" s="396" t="s">
        <v>40</v>
      </c>
      <c r="J267" s="68" t="s">
        <v>42</v>
      </c>
      <c r="K267" s="484" t="s">
        <v>42</v>
      </c>
      <c r="L267" s="484" t="s">
        <v>790</v>
      </c>
      <c r="M267" s="68" t="s">
        <v>791</v>
      </c>
      <c r="N267" s="396">
        <v>20.073437999999999</v>
      </c>
      <c r="O267" s="484">
        <v>93.154551999999995</v>
      </c>
      <c r="P267" s="396" t="s">
        <v>757</v>
      </c>
      <c r="Q267" s="68" t="s">
        <v>776</v>
      </c>
      <c r="R267" s="486">
        <v>905</v>
      </c>
      <c r="S267" s="487">
        <v>4124</v>
      </c>
      <c r="T267" s="101"/>
      <c r="U267" s="401"/>
      <c r="V267" s="396" t="s">
        <v>407</v>
      </c>
      <c r="W267" s="482"/>
    </row>
    <row r="268" spans="1:23" s="68" customFormat="1" ht="14.25" customHeight="1">
      <c r="A268" s="400" t="s">
        <v>2648</v>
      </c>
      <c r="B268" s="397" t="s">
        <v>402</v>
      </c>
      <c r="C268" s="397" t="s">
        <v>2559</v>
      </c>
      <c r="D268" s="431" t="s">
        <v>1656</v>
      </c>
      <c r="E268" s="68">
        <v>197460</v>
      </c>
      <c r="J268" s="68" t="s">
        <v>794</v>
      </c>
      <c r="K268" s="482" t="s">
        <v>794</v>
      </c>
      <c r="L268" s="163" t="s">
        <v>794</v>
      </c>
      <c r="M268" s="68" t="s">
        <v>294</v>
      </c>
      <c r="N268" s="482">
        <v>20.2988796234131</v>
      </c>
      <c r="O268" s="482">
        <v>93.076553344726605</v>
      </c>
      <c r="P268" s="68" t="s">
        <v>795</v>
      </c>
      <c r="R268" s="486"/>
      <c r="S268" s="487"/>
      <c r="T268" s="101"/>
      <c r="U268" s="97"/>
      <c r="W268" s="482"/>
    </row>
    <row r="269" spans="1:23" s="68" customFormat="1" ht="14.25" customHeight="1">
      <c r="A269" s="487" t="s">
        <v>2648</v>
      </c>
      <c r="B269" s="490" t="s">
        <v>402</v>
      </c>
      <c r="C269" s="491" t="s">
        <v>3159</v>
      </c>
      <c r="D269" s="485"/>
      <c r="E269" s="68">
        <v>197541</v>
      </c>
      <c r="F269" s="482" t="s">
        <v>521</v>
      </c>
      <c r="J269" s="68" t="s">
        <v>794</v>
      </c>
      <c r="K269" s="482" t="s">
        <v>794</v>
      </c>
      <c r="L269" s="482" t="s">
        <v>794</v>
      </c>
      <c r="N269" s="68">
        <v>92.994781494140597</v>
      </c>
      <c r="O269" s="68">
        <v>19.9693508148193</v>
      </c>
      <c r="P269" s="482"/>
      <c r="Q269" s="68" t="s">
        <v>3163</v>
      </c>
      <c r="R269" s="494"/>
      <c r="S269" s="487"/>
      <c r="T269" s="101">
        <v>43935</v>
      </c>
      <c r="U269" s="494"/>
      <c r="W269" s="486"/>
    </row>
    <row r="270" spans="1:23" s="68" customFormat="1" ht="14.25" customHeight="1">
      <c r="A270" s="400" t="s">
        <v>2648</v>
      </c>
      <c r="B270" s="397" t="s">
        <v>402</v>
      </c>
      <c r="C270" s="397" t="s">
        <v>2550</v>
      </c>
      <c r="D270" s="431" t="s">
        <v>1656</v>
      </c>
      <c r="E270" s="68">
        <v>197449</v>
      </c>
      <c r="F270" s="482"/>
      <c r="J270" s="68" t="s">
        <v>794</v>
      </c>
      <c r="K270" s="68" t="s">
        <v>794</v>
      </c>
      <c r="L270" s="163" t="s">
        <v>794</v>
      </c>
      <c r="M270" s="68" t="s">
        <v>294</v>
      </c>
      <c r="N270" s="482">
        <v>20.336500167846701</v>
      </c>
      <c r="O270" s="482">
        <v>93.186721801757798</v>
      </c>
      <c r="P270" s="68" t="s">
        <v>795</v>
      </c>
      <c r="R270" s="490"/>
      <c r="S270" s="491"/>
      <c r="T270" s="101"/>
      <c r="U270" s="97"/>
      <c r="W270" s="482"/>
    </row>
    <row r="271" spans="1:23" s="68" customFormat="1" ht="14.25" customHeight="1">
      <c r="A271" s="400" t="s">
        <v>2648</v>
      </c>
      <c r="B271" s="397" t="s">
        <v>402</v>
      </c>
      <c r="C271" s="397" t="s">
        <v>831</v>
      </c>
      <c r="D271" s="431" t="s">
        <v>1656</v>
      </c>
      <c r="E271" s="68">
        <v>197531</v>
      </c>
      <c r="F271" s="482" t="s">
        <v>831</v>
      </c>
      <c r="J271" s="68" t="s">
        <v>794</v>
      </c>
      <c r="K271" s="484" t="s">
        <v>794</v>
      </c>
      <c r="L271" s="484" t="s">
        <v>794</v>
      </c>
      <c r="N271" s="68">
        <v>20.10293961</v>
      </c>
      <c r="O271" s="68">
        <v>93.000679020000007</v>
      </c>
      <c r="P271" s="68" t="s">
        <v>795</v>
      </c>
      <c r="R271" s="486"/>
      <c r="S271" s="487"/>
      <c r="T271" s="101"/>
      <c r="U271" s="97"/>
      <c r="V271" s="68" t="s">
        <v>832</v>
      </c>
      <c r="W271" s="482"/>
    </row>
    <row r="272" spans="1:23" s="68" customFormat="1" ht="14.25" customHeight="1">
      <c r="A272" s="400" t="s">
        <v>2648</v>
      </c>
      <c r="B272" s="397" t="s">
        <v>402</v>
      </c>
      <c r="C272" s="397" t="s">
        <v>824</v>
      </c>
      <c r="D272" s="431" t="s">
        <v>1656</v>
      </c>
      <c r="E272" s="396">
        <v>197430</v>
      </c>
      <c r="F272" s="484"/>
      <c r="J272" s="68" t="s">
        <v>794</v>
      </c>
      <c r="K272" s="484" t="s">
        <v>794</v>
      </c>
      <c r="L272" s="484" t="s">
        <v>794</v>
      </c>
      <c r="M272" s="68" t="s">
        <v>294</v>
      </c>
      <c r="N272" s="68">
        <v>20.065919000000001</v>
      </c>
      <c r="O272" s="482">
        <v>93.004040000000003</v>
      </c>
      <c r="P272" s="68" t="s">
        <v>795</v>
      </c>
      <c r="R272" s="486"/>
      <c r="S272" s="487"/>
      <c r="T272" s="101"/>
      <c r="U272" s="97"/>
      <c r="V272" s="68" t="s">
        <v>824</v>
      </c>
      <c r="W272" s="482"/>
    </row>
    <row r="273" spans="1:23" s="68" customFormat="1" ht="14.25" customHeight="1">
      <c r="A273" s="400" t="s">
        <v>2648</v>
      </c>
      <c r="B273" s="397" t="s">
        <v>402</v>
      </c>
      <c r="C273" s="397" t="s">
        <v>2640</v>
      </c>
      <c r="D273" s="431" t="s">
        <v>1656</v>
      </c>
      <c r="E273" s="482">
        <v>197462</v>
      </c>
      <c r="F273" s="482"/>
      <c r="G273" s="482"/>
      <c r="H273" s="482"/>
      <c r="I273" s="482"/>
      <c r="J273" s="68" t="s">
        <v>794</v>
      </c>
      <c r="K273" s="68" t="s">
        <v>794</v>
      </c>
      <c r="L273" s="163" t="s">
        <v>794</v>
      </c>
      <c r="M273" s="68" t="s">
        <v>294</v>
      </c>
      <c r="N273" s="482">
        <v>20.2935695648193</v>
      </c>
      <c r="O273" s="482">
        <v>93.0489501953125</v>
      </c>
      <c r="P273" s="68" t="s">
        <v>795</v>
      </c>
      <c r="R273" s="490"/>
      <c r="S273" s="491"/>
      <c r="T273" s="101"/>
      <c r="U273" s="97"/>
      <c r="W273" s="482"/>
    </row>
    <row r="274" spans="1:23" s="68" customFormat="1" ht="14.25" customHeight="1">
      <c r="A274" s="487" t="s">
        <v>2648</v>
      </c>
      <c r="B274" s="490" t="s">
        <v>402</v>
      </c>
      <c r="C274" s="491" t="s">
        <v>3160</v>
      </c>
      <c r="D274" s="485"/>
      <c r="E274" s="482">
        <v>197567</v>
      </c>
      <c r="F274" s="482" t="s">
        <v>3160</v>
      </c>
      <c r="G274" s="482"/>
      <c r="H274" s="482"/>
      <c r="I274" s="482"/>
      <c r="J274" s="68" t="s">
        <v>794</v>
      </c>
      <c r="K274" s="396" t="s">
        <v>794</v>
      </c>
      <c r="L274" s="482" t="s">
        <v>794</v>
      </c>
      <c r="N274" s="68">
        <v>93.005447387695298</v>
      </c>
      <c r="O274" s="68">
        <v>19.914190292358398</v>
      </c>
      <c r="P274" s="482"/>
      <c r="Q274" s="68" t="s">
        <v>3163</v>
      </c>
      <c r="R274" s="494"/>
      <c r="S274" s="487"/>
      <c r="T274" s="101">
        <v>43935</v>
      </c>
      <c r="U274" s="494"/>
      <c r="V274" s="396"/>
      <c r="W274" s="486"/>
    </row>
    <row r="275" spans="1:23" s="68" customFormat="1" ht="14.25" customHeight="1">
      <c r="A275" s="487" t="s">
        <v>2648</v>
      </c>
      <c r="B275" s="484" t="s">
        <v>402</v>
      </c>
      <c r="C275" s="484" t="s">
        <v>2554</v>
      </c>
      <c r="D275" s="485" t="s">
        <v>1656</v>
      </c>
      <c r="E275" s="396">
        <v>197442</v>
      </c>
      <c r="F275" s="482"/>
      <c r="J275" s="68" t="s">
        <v>794</v>
      </c>
      <c r="K275" s="396" t="s">
        <v>794</v>
      </c>
      <c r="L275" s="163" t="s">
        <v>794</v>
      </c>
      <c r="M275" s="68" t="s">
        <v>2639</v>
      </c>
      <c r="N275" s="482">
        <v>20.3856201171875</v>
      </c>
      <c r="O275" s="482">
        <v>93.206382751464801</v>
      </c>
      <c r="P275" s="68" t="s">
        <v>795</v>
      </c>
      <c r="R275" s="484"/>
      <c r="S275" s="484"/>
      <c r="T275" s="101"/>
      <c r="U275" s="488"/>
      <c r="W275" s="482"/>
    </row>
    <row r="276" spans="1:23" s="68" customFormat="1" ht="14.25" customHeight="1">
      <c r="A276" s="487" t="s">
        <v>2648</v>
      </c>
      <c r="B276" s="484" t="s">
        <v>402</v>
      </c>
      <c r="C276" s="484" t="s">
        <v>2555</v>
      </c>
      <c r="D276" s="431" t="s">
        <v>1656</v>
      </c>
      <c r="E276" s="68">
        <v>197405</v>
      </c>
      <c r="F276" s="482"/>
      <c r="J276" s="68" t="s">
        <v>794</v>
      </c>
      <c r="K276" s="68" t="s">
        <v>794</v>
      </c>
      <c r="L276" s="163" t="s">
        <v>794</v>
      </c>
      <c r="M276" s="68" t="s">
        <v>294</v>
      </c>
      <c r="N276" s="482">
        <v>20.282110214233398</v>
      </c>
      <c r="O276" s="482">
        <v>93.059883117675795</v>
      </c>
      <c r="P276" s="68" t="s">
        <v>795</v>
      </c>
      <c r="R276" s="486"/>
      <c r="S276" s="487"/>
      <c r="T276" s="101"/>
      <c r="U276" s="488"/>
      <c r="W276" s="482"/>
    </row>
    <row r="277" spans="1:23" s="68" customFormat="1" ht="14.25" customHeight="1">
      <c r="A277" s="487" t="s">
        <v>2648</v>
      </c>
      <c r="B277" s="484" t="s">
        <v>402</v>
      </c>
      <c r="C277" s="484" t="s">
        <v>408</v>
      </c>
      <c r="D277" s="485" t="s">
        <v>1656</v>
      </c>
      <c r="E277" s="493">
        <v>197557</v>
      </c>
      <c r="F277" s="417"/>
      <c r="G277" s="493"/>
      <c r="H277" s="493"/>
      <c r="I277" s="493"/>
      <c r="J277" s="68" t="s">
        <v>794</v>
      </c>
      <c r="K277" s="484" t="s">
        <v>794</v>
      </c>
      <c r="L277" s="484" t="s">
        <v>794</v>
      </c>
      <c r="M277" s="68" t="s">
        <v>294</v>
      </c>
      <c r="N277" s="68">
        <v>20.0839</v>
      </c>
      <c r="O277" s="68">
        <v>92.993799999999993</v>
      </c>
      <c r="P277" s="68" t="s">
        <v>795</v>
      </c>
      <c r="Q277" s="68" t="s">
        <v>776</v>
      </c>
      <c r="R277" s="484"/>
      <c r="S277" s="484"/>
      <c r="T277" s="101"/>
      <c r="U277" s="488"/>
      <c r="V277" s="68" t="s">
        <v>408</v>
      </c>
      <c r="W277" s="482"/>
    </row>
    <row r="278" spans="1:23" s="68" customFormat="1" ht="14.25" customHeight="1">
      <c r="A278" s="487" t="s">
        <v>2648</v>
      </c>
      <c r="B278" s="484" t="s">
        <v>402</v>
      </c>
      <c r="C278" s="484" t="s">
        <v>405</v>
      </c>
      <c r="D278" s="431" t="s">
        <v>2712</v>
      </c>
      <c r="E278" s="68" t="s">
        <v>1351</v>
      </c>
      <c r="F278" s="482" t="s">
        <v>405</v>
      </c>
      <c r="G278" s="68" t="s">
        <v>1685</v>
      </c>
      <c r="H278" s="68" t="s">
        <v>40</v>
      </c>
      <c r="J278" s="68" t="s">
        <v>42</v>
      </c>
      <c r="K278" s="484" t="s">
        <v>42</v>
      </c>
      <c r="L278" s="484" t="s">
        <v>790</v>
      </c>
      <c r="M278" s="68" t="s">
        <v>791</v>
      </c>
      <c r="N278" s="68">
        <v>20.064226000000001</v>
      </c>
      <c r="O278" s="68">
        <v>92.993758999999997</v>
      </c>
      <c r="P278" s="482" t="s">
        <v>757</v>
      </c>
      <c r="Q278" s="68" t="s">
        <v>776</v>
      </c>
      <c r="R278" s="486">
        <v>617</v>
      </c>
      <c r="S278" s="487">
        <v>2852</v>
      </c>
      <c r="T278" s="101"/>
      <c r="U278" s="488"/>
      <c r="V278" s="68" t="s">
        <v>405</v>
      </c>
      <c r="W278" s="482"/>
    </row>
    <row r="279" spans="1:23" s="68" customFormat="1" ht="14.25" customHeight="1">
      <c r="A279" s="487" t="s">
        <v>2648</v>
      </c>
      <c r="B279" s="154" t="s">
        <v>402</v>
      </c>
      <c r="C279" s="154" t="s">
        <v>822</v>
      </c>
      <c r="D279" s="485" t="s">
        <v>1657</v>
      </c>
      <c r="E279" s="150" t="s">
        <v>1352</v>
      </c>
      <c r="F279" s="150" t="s">
        <v>405</v>
      </c>
      <c r="G279" s="150" t="s">
        <v>1685</v>
      </c>
      <c r="H279" s="150"/>
      <c r="I279" s="150"/>
      <c r="J279" s="396" t="s">
        <v>42</v>
      </c>
      <c r="K279" s="484" t="s">
        <v>42</v>
      </c>
      <c r="L279" s="484" t="s">
        <v>756</v>
      </c>
      <c r="M279" s="150" t="s">
        <v>791</v>
      </c>
      <c r="N279" s="150">
        <v>20.064226000000001</v>
      </c>
      <c r="O279" s="150">
        <v>92.993758999999997</v>
      </c>
      <c r="P279" s="396" t="s">
        <v>757</v>
      </c>
      <c r="Q279" s="150"/>
      <c r="R279" s="151"/>
      <c r="S279" s="149"/>
      <c r="T279" s="152"/>
      <c r="U279" s="153"/>
      <c r="V279" s="150" t="s">
        <v>823</v>
      </c>
      <c r="W279" s="482"/>
    </row>
    <row r="280" spans="1:23" s="68" customFormat="1" ht="14.25" customHeight="1">
      <c r="A280" s="487" t="s">
        <v>2648</v>
      </c>
      <c r="B280" s="484" t="s">
        <v>402</v>
      </c>
      <c r="C280" s="484" t="s">
        <v>404</v>
      </c>
      <c r="D280" s="431" t="s">
        <v>1656</v>
      </c>
      <c r="E280" s="68">
        <v>197548</v>
      </c>
      <c r="F280" s="482"/>
      <c r="J280" s="68" t="s">
        <v>794</v>
      </c>
      <c r="K280" s="484" t="s">
        <v>794</v>
      </c>
      <c r="L280" s="484" t="s">
        <v>794</v>
      </c>
      <c r="M280" s="68" t="s">
        <v>791</v>
      </c>
      <c r="N280" s="68">
        <v>20.0641</v>
      </c>
      <c r="O280" s="484">
        <v>92.994600000000005</v>
      </c>
      <c r="P280" s="68" t="s">
        <v>795</v>
      </c>
      <c r="Q280" s="68" t="s">
        <v>776</v>
      </c>
      <c r="R280" s="486"/>
      <c r="S280" s="400"/>
      <c r="T280" s="101"/>
      <c r="U280" s="488"/>
      <c r="V280" s="68" t="s">
        <v>404</v>
      </c>
      <c r="W280" s="482"/>
    </row>
    <row r="281" spans="1:23" s="68" customFormat="1" ht="14.25" customHeight="1">
      <c r="A281" s="487" t="s">
        <v>2648</v>
      </c>
      <c r="B281" s="484" t="s">
        <v>402</v>
      </c>
      <c r="C281" s="484" t="s">
        <v>403</v>
      </c>
      <c r="D281" s="431" t="s">
        <v>1656</v>
      </c>
      <c r="E281" s="68">
        <v>197550</v>
      </c>
      <c r="F281" s="482"/>
      <c r="J281" s="68" t="s">
        <v>794</v>
      </c>
      <c r="K281" s="484" t="s">
        <v>794</v>
      </c>
      <c r="L281" s="484" t="s">
        <v>794</v>
      </c>
      <c r="M281" s="68" t="s">
        <v>294</v>
      </c>
      <c r="N281" s="68">
        <v>20.057860999999999</v>
      </c>
      <c r="O281" s="484">
        <v>92.995181000000002</v>
      </c>
      <c r="P281" s="68" t="s">
        <v>795</v>
      </c>
      <c r="Q281" s="68" t="s">
        <v>776</v>
      </c>
      <c r="R281" s="486"/>
      <c r="S281" s="400"/>
      <c r="T281" s="101"/>
      <c r="U281" s="488"/>
      <c r="V281" s="68" t="s">
        <v>403</v>
      </c>
      <c r="W281" s="399"/>
    </row>
    <row r="282" spans="1:23" s="68" customFormat="1" ht="14.25" customHeight="1">
      <c r="A282" s="487" t="s">
        <v>2648</v>
      </c>
      <c r="B282" s="484" t="s">
        <v>402</v>
      </c>
      <c r="C282" s="484" t="s">
        <v>1141</v>
      </c>
      <c r="D282" s="431" t="s">
        <v>1656</v>
      </c>
      <c r="E282" s="68">
        <v>220691</v>
      </c>
      <c r="F282" s="484"/>
      <c r="J282" s="68" t="s">
        <v>794</v>
      </c>
      <c r="K282" s="484" t="s">
        <v>794</v>
      </c>
      <c r="L282" s="484" t="s">
        <v>794</v>
      </c>
      <c r="N282" s="482">
        <v>20.107856750488299</v>
      </c>
      <c r="O282" s="482">
        <v>92.985984802246094</v>
      </c>
      <c r="P282" s="482" t="s">
        <v>795</v>
      </c>
      <c r="R282" s="490"/>
      <c r="S282" s="491"/>
      <c r="T282" s="101"/>
      <c r="U282" s="488"/>
      <c r="V282" s="68" t="s">
        <v>1141</v>
      </c>
      <c r="W282" s="399"/>
    </row>
    <row r="283" spans="1:23" s="68" customFormat="1" ht="14.25" customHeight="1">
      <c r="A283" s="487" t="s">
        <v>2648</v>
      </c>
      <c r="B283" s="484" t="s">
        <v>402</v>
      </c>
      <c r="C283" s="484" t="s">
        <v>2558</v>
      </c>
      <c r="D283" s="431" t="s">
        <v>1656</v>
      </c>
      <c r="E283" s="396">
        <v>197403</v>
      </c>
      <c r="J283" s="68" t="s">
        <v>794</v>
      </c>
      <c r="K283" s="482" t="s">
        <v>794</v>
      </c>
      <c r="L283" s="163" t="s">
        <v>794</v>
      </c>
      <c r="M283" s="68" t="s">
        <v>294</v>
      </c>
      <c r="N283" s="482">
        <v>20.2546997070313</v>
      </c>
      <c r="O283" s="482">
        <v>93.052268981933594</v>
      </c>
      <c r="P283" s="482" t="s">
        <v>795</v>
      </c>
      <c r="R283" s="486"/>
      <c r="S283" s="96"/>
      <c r="T283" s="101"/>
      <c r="U283" s="488"/>
      <c r="W283" s="482"/>
    </row>
    <row r="284" spans="1:23" s="68" customFormat="1" ht="14.25" customHeight="1">
      <c r="A284" s="487" t="s">
        <v>2648</v>
      </c>
      <c r="B284" s="484" t="s">
        <v>402</v>
      </c>
      <c r="C284" s="484" t="s">
        <v>2557</v>
      </c>
      <c r="D284" s="431" t="s">
        <v>1656</v>
      </c>
      <c r="E284" s="68">
        <v>197401</v>
      </c>
      <c r="F284" s="482" t="s">
        <v>2557</v>
      </c>
      <c r="J284" s="68" t="s">
        <v>794</v>
      </c>
      <c r="K284" s="482" t="s">
        <v>794</v>
      </c>
      <c r="L284" s="163" t="s">
        <v>794</v>
      </c>
      <c r="M284" s="68" t="s">
        <v>294</v>
      </c>
      <c r="N284" s="396">
        <v>20.260679244995099</v>
      </c>
      <c r="O284" s="396">
        <v>93.051597595214801</v>
      </c>
      <c r="P284" s="68" t="s">
        <v>795</v>
      </c>
      <c r="R284" s="486"/>
      <c r="S284" s="400"/>
      <c r="T284" s="101"/>
      <c r="U284" s="488"/>
      <c r="W284" s="482"/>
    </row>
    <row r="285" spans="1:23" s="68" customFormat="1" ht="14.25" customHeight="1">
      <c r="A285" s="487" t="s">
        <v>2648</v>
      </c>
      <c r="B285" s="490" t="s">
        <v>402</v>
      </c>
      <c r="C285" s="491" t="s">
        <v>3165</v>
      </c>
      <c r="D285" s="485"/>
      <c r="E285" s="68">
        <v>217989</v>
      </c>
      <c r="F285" s="396" t="s">
        <v>2535</v>
      </c>
      <c r="J285" s="68" t="s">
        <v>794</v>
      </c>
      <c r="K285" s="396" t="s">
        <v>794</v>
      </c>
      <c r="L285" s="396" t="s">
        <v>794</v>
      </c>
      <c r="N285" s="396">
        <v>92.925521850585895</v>
      </c>
      <c r="O285" s="396">
        <v>20.091190338134801</v>
      </c>
      <c r="Q285" s="68" t="s">
        <v>3163</v>
      </c>
      <c r="R285" s="494"/>
      <c r="S285" s="400"/>
      <c r="T285" s="101">
        <v>43935</v>
      </c>
      <c r="U285" s="494"/>
      <c r="W285" s="399"/>
    </row>
    <row r="286" spans="1:23" s="68" customFormat="1" ht="14.25" customHeight="1">
      <c r="A286" s="400" t="s">
        <v>2648</v>
      </c>
      <c r="B286" s="397" t="s">
        <v>402</v>
      </c>
      <c r="C286" s="397" t="s">
        <v>825</v>
      </c>
      <c r="D286" s="431" t="s">
        <v>1656</v>
      </c>
      <c r="E286" s="68">
        <v>197562</v>
      </c>
      <c r="F286" s="484"/>
      <c r="J286" s="68" t="s">
        <v>794</v>
      </c>
      <c r="K286" s="484" t="s">
        <v>794</v>
      </c>
      <c r="L286" s="484" t="s">
        <v>794</v>
      </c>
      <c r="N286" s="396">
        <v>20.06903076</v>
      </c>
      <c r="O286" s="396">
        <v>92.930137630000004</v>
      </c>
      <c r="P286" s="68" t="s">
        <v>795</v>
      </c>
      <c r="R286" s="399"/>
      <c r="S286" s="400"/>
      <c r="T286" s="101"/>
      <c r="U286" s="97"/>
      <c r="V286" s="68" t="s">
        <v>826</v>
      </c>
      <c r="W286" s="399"/>
    </row>
    <row r="287" spans="1:23" s="68" customFormat="1" ht="14.25" customHeight="1">
      <c r="A287" s="487" t="s">
        <v>2648</v>
      </c>
      <c r="B287" s="484" t="s">
        <v>402</v>
      </c>
      <c r="C287" s="484" t="s">
        <v>2793</v>
      </c>
      <c r="D287" s="431"/>
      <c r="E287" s="68">
        <v>217986</v>
      </c>
      <c r="J287" s="68" t="s">
        <v>794</v>
      </c>
      <c r="K287" s="68" t="s">
        <v>794</v>
      </c>
      <c r="L287" s="68" t="s">
        <v>794</v>
      </c>
      <c r="N287" s="68">
        <v>19.9964408874512</v>
      </c>
      <c r="O287" s="484">
        <v>92.951683044433594</v>
      </c>
      <c r="P287" s="68" t="s">
        <v>795</v>
      </c>
      <c r="R287" s="490"/>
      <c r="S287" s="491"/>
      <c r="T287" s="101"/>
      <c r="U287" s="488"/>
      <c r="W287" s="482"/>
    </row>
    <row r="288" spans="1:23" s="68" customFormat="1" ht="14.25" customHeight="1">
      <c r="A288" s="400" t="s">
        <v>2648</v>
      </c>
      <c r="B288" s="484" t="s">
        <v>402</v>
      </c>
      <c r="C288" s="484" t="s">
        <v>2551</v>
      </c>
      <c r="D288" s="431" t="s">
        <v>1656</v>
      </c>
      <c r="E288" s="68">
        <v>197451</v>
      </c>
      <c r="F288" s="396"/>
      <c r="J288" s="68" t="s">
        <v>794</v>
      </c>
      <c r="K288" s="482" t="s">
        <v>794</v>
      </c>
      <c r="L288" s="163" t="s">
        <v>794</v>
      </c>
      <c r="M288" s="68" t="s">
        <v>294</v>
      </c>
      <c r="N288" s="482">
        <v>20.358079910278299</v>
      </c>
      <c r="O288" s="482">
        <v>93.197959899902301</v>
      </c>
      <c r="P288" s="482" t="s">
        <v>795</v>
      </c>
      <c r="R288" s="486"/>
      <c r="S288" s="400"/>
      <c r="T288" s="101"/>
      <c r="U288" s="488"/>
      <c r="V288" s="489"/>
      <c r="W288" s="482"/>
    </row>
    <row r="289" spans="1:23" s="68" customFormat="1" ht="14.25" customHeight="1">
      <c r="A289" s="487" t="s">
        <v>2648</v>
      </c>
      <c r="B289" s="484" t="s">
        <v>402</v>
      </c>
      <c r="C289" s="484" t="s">
        <v>2912</v>
      </c>
      <c r="D289" s="431"/>
      <c r="E289" s="68">
        <v>197563</v>
      </c>
      <c r="F289" s="484" t="s">
        <v>2535</v>
      </c>
      <c r="J289" s="68" t="s">
        <v>794</v>
      </c>
      <c r="K289" s="482" t="s">
        <v>794</v>
      </c>
      <c r="L289" s="482" t="s">
        <v>794</v>
      </c>
      <c r="N289" s="68">
        <v>20.032600402831999</v>
      </c>
      <c r="O289" s="68">
        <v>92.931488037109403</v>
      </c>
      <c r="P289" s="68" t="s">
        <v>795</v>
      </c>
      <c r="R289" s="490"/>
      <c r="S289" s="491"/>
      <c r="T289" s="101"/>
      <c r="U289" s="488"/>
      <c r="V289" s="482"/>
      <c r="W289" s="482"/>
    </row>
    <row r="290" spans="1:23" s="68" customFormat="1" ht="14.25" customHeight="1">
      <c r="A290" s="487" t="s">
        <v>2648</v>
      </c>
      <c r="B290" s="484" t="s">
        <v>402</v>
      </c>
      <c r="C290" s="484" t="s">
        <v>2913</v>
      </c>
      <c r="D290" s="431"/>
      <c r="E290" s="68">
        <v>197564</v>
      </c>
      <c r="F290" s="484" t="s">
        <v>2535</v>
      </c>
      <c r="J290" s="68" t="s">
        <v>794</v>
      </c>
      <c r="K290" s="68" t="s">
        <v>794</v>
      </c>
      <c r="L290" s="68" t="s">
        <v>794</v>
      </c>
      <c r="N290" s="68">
        <v>20.0275993347168</v>
      </c>
      <c r="O290" s="482">
        <v>92.936653137207003</v>
      </c>
      <c r="P290" s="68" t="s">
        <v>795</v>
      </c>
      <c r="R290" s="490"/>
      <c r="S290" s="491"/>
      <c r="T290" s="101"/>
      <c r="U290" s="488"/>
      <c r="W290" s="482"/>
    </row>
    <row r="291" spans="1:23" s="68" customFormat="1" ht="14.25" customHeight="1">
      <c r="A291" s="400" t="s">
        <v>2648</v>
      </c>
      <c r="B291" s="484" t="s">
        <v>402</v>
      </c>
      <c r="C291" s="484" t="s">
        <v>2538</v>
      </c>
      <c r="D291" s="431"/>
      <c r="E291" s="68">
        <v>197543</v>
      </c>
      <c r="F291" s="482" t="s">
        <v>521</v>
      </c>
      <c r="J291" s="68" t="s">
        <v>794</v>
      </c>
      <c r="K291" s="68" t="s">
        <v>794</v>
      </c>
      <c r="L291" s="68" t="s">
        <v>794</v>
      </c>
      <c r="N291" s="68">
        <v>19.9403591156006</v>
      </c>
      <c r="O291" s="482">
        <v>93.009452819824205</v>
      </c>
      <c r="P291" s="68" t="s">
        <v>795</v>
      </c>
      <c r="R291" s="490"/>
      <c r="S291" s="491"/>
      <c r="T291" s="101"/>
      <c r="U291" s="97"/>
      <c r="W291" s="482"/>
    </row>
    <row r="292" spans="1:23" s="68" customFormat="1" ht="14.25" customHeight="1">
      <c r="A292" s="400" t="s">
        <v>2648</v>
      </c>
      <c r="B292" s="484" t="s">
        <v>402</v>
      </c>
      <c r="C292" s="484" t="s">
        <v>2537</v>
      </c>
      <c r="D292" s="431"/>
      <c r="E292" s="68">
        <v>197574</v>
      </c>
      <c r="F292" s="482" t="s">
        <v>2693</v>
      </c>
      <c r="J292" s="68" t="s">
        <v>794</v>
      </c>
      <c r="K292" s="68" t="s">
        <v>794</v>
      </c>
      <c r="L292" s="68" t="s">
        <v>794</v>
      </c>
      <c r="N292" s="68">
        <v>20.068620681762699</v>
      </c>
      <c r="O292" s="68">
        <v>92.934440612792997</v>
      </c>
      <c r="P292" s="68" t="s">
        <v>795</v>
      </c>
      <c r="R292" s="490"/>
      <c r="S292" s="491"/>
      <c r="T292" s="101"/>
      <c r="U292" s="97"/>
      <c r="W292" s="482"/>
    </row>
    <row r="293" spans="1:23" s="68" customFormat="1" ht="14.25" customHeight="1">
      <c r="A293" s="400" t="s">
        <v>2648</v>
      </c>
      <c r="B293" s="484" t="s">
        <v>402</v>
      </c>
      <c r="C293" s="484" t="s">
        <v>2549</v>
      </c>
      <c r="D293" s="485" t="s">
        <v>1656</v>
      </c>
      <c r="E293" s="493">
        <v>197447</v>
      </c>
      <c r="F293" s="493"/>
      <c r="G293" s="493"/>
      <c r="H293" s="493"/>
      <c r="I293" s="493"/>
      <c r="J293" s="68" t="s">
        <v>794</v>
      </c>
      <c r="K293" s="68" t="s">
        <v>794</v>
      </c>
      <c r="L293" s="163" t="s">
        <v>794</v>
      </c>
      <c r="M293" s="68" t="s">
        <v>294</v>
      </c>
      <c r="N293" s="482">
        <v>20.335029602050799</v>
      </c>
      <c r="O293" s="482">
        <v>93.176460266113295</v>
      </c>
      <c r="P293" s="68" t="s">
        <v>795</v>
      </c>
      <c r="R293" s="484"/>
      <c r="S293" s="484"/>
      <c r="T293" s="101"/>
      <c r="U293" s="488"/>
      <c r="V293" s="482"/>
      <c r="W293" s="482"/>
    </row>
    <row r="294" spans="1:23" s="68" customFormat="1" ht="14.25" customHeight="1">
      <c r="A294" s="400" t="s">
        <v>2648</v>
      </c>
      <c r="B294" s="490" t="s">
        <v>452</v>
      </c>
      <c r="C294" s="491" t="s">
        <v>2715</v>
      </c>
      <c r="D294" s="485"/>
      <c r="E294" s="396">
        <v>196217</v>
      </c>
      <c r="F294" s="482"/>
      <c r="J294" s="68" t="s">
        <v>2652</v>
      </c>
      <c r="K294" s="396" t="s">
        <v>2622</v>
      </c>
      <c r="L294" s="396" t="s">
        <v>2622</v>
      </c>
      <c r="N294" s="68">
        <v>20.643140792846701</v>
      </c>
      <c r="O294" s="396">
        <v>92.851875305175795</v>
      </c>
      <c r="P294" s="68" t="s">
        <v>1972</v>
      </c>
      <c r="R294" s="494"/>
      <c r="S294" s="400"/>
      <c r="T294" s="101">
        <v>43591</v>
      </c>
      <c r="U294" s="494"/>
      <c r="V294" s="482"/>
      <c r="W294" s="399"/>
    </row>
    <row r="295" spans="1:23" s="68" customFormat="1" ht="14.25" customHeight="1">
      <c r="A295" s="490" t="s">
        <v>2648</v>
      </c>
      <c r="B295" s="490" t="s">
        <v>452</v>
      </c>
      <c r="C295" s="491" t="s">
        <v>2797</v>
      </c>
      <c r="D295" s="485"/>
      <c r="E295" s="68">
        <v>196309</v>
      </c>
      <c r="F295" s="482"/>
      <c r="J295" s="68" t="s">
        <v>2652</v>
      </c>
      <c r="K295" s="68" t="s">
        <v>2622</v>
      </c>
      <c r="L295" s="68" t="s">
        <v>2622</v>
      </c>
      <c r="N295" s="68">
        <v>20.623949050903299</v>
      </c>
      <c r="O295" s="68">
        <v>92.950813293457003</v>
      </c>
      <c r="P295" s="68" t="s">
        <v>1972</v>
      </c>
      <c r="R295" s="494"/>
      <c r="S295" s="96"/>
      <c r="T295" s="101">
        <v>43591</v>
      </c>
      <c r="U295" s="494"/>
      <c r="V295" s="68" t="s">
        <v>2750</v>
      </c>
      <c r="W295" s="399"/>
    </row>
    <row r="296" spans="1:23" s="68" customFormat="1" ht="14.25" customHeight="1">
      <c r="A296" s="490" t="s">
        <v>2648</v>
      </c>
      <c r="B296" s="490" t="s">
        <v>452</v>
      </c>
      <c r="C296" s="491" t="s">
        <v>2749</v>
      </c>
      <c r="D296" s="485"/>
      <c r="E296" s="396"/>
      <c r="F296" s="482"/>
      <c r="J296" s="68" t="s">
        <v>2652</v>
      </c>
      <c r="K296" s="396" t="s">
        <v>2622</v>
      </c>
      <c r="L296" s="396" t="s">
        <v>2622</v>
      </c>
      <c r="O296" s="482"/>
      <c r="P296" s="68" t="s">
        <v>1972</v>
      </c>
      <c r="R296" s="494"/>
      <c r="S296" s="487"/>
      <c r="T296" s="101">
        <v>43591</v>
      </c>
      <c r="U296" s="494"/>
      <c r="W296" s="399"/>
    </row>
    <row r="297" spans="1:23" s="68" customFormat="1" ht="14.25" customHeight="1">
      <c r="A297" s="490" t="s">
        <v>2648</v>
      </c>
      <c r="B297" s="490" t="s">
        <v>452</v>
      </c>
      <c r="C297" s="491" t="s">
        <v>2753</v>
      </c>
      <c r="D297" s="485"/>
      <c r="E297" s="68">
        <v>196329</v>
      </c>
      <c r="F297" s="482"/>
      <c r="J297" s="68" t="s">
        <v>2652</v>
      </c>
      <c r="K297" s="396" t="s">
        <v>2622</v>
      </c>
      <c r="L297" s="396" t="s">
        <v>2622</v>
      </c>
      <c r="N297" s="68">
        <v>20.5511798858643</v>
      </c>
      <c r="O297" s="68">
        <v>93.065322875976605</v>
      </c>
      <c r="P297" s="68" t="s">
        <v>1972</v>
      </c>
      <c r="R297" s="494"/>
      <c r="S297" s="400"/>
      <c r="T297" s="101">
        <v>43591</v>
      </c>
      <c r="U297" s="494"/>
      <c r="W297" s="399"/>
    </row>
    <row r="298" spans="1:23" s="68" customFormat="1" ht="14.25" customHeight="1">
      <c r="A298" s="487" t="s">
        <v>2648</v>
      </c>
      <c r="B298" s="484" t="s">
        <v>452</v>
      </c>
      <c r="C298" s="484" t="s">
        <v>484</v>
      </c>
      <c r="D298" s="431" t="s">
        <v>1656</v>
      </c>
      <c r="E298" s="68">
        <v>196350</v>
      </c>
      <c r="F298" s="484"/>
      <c r="J298" s="68" t="s">
        <v>794</v>
      </c>
      <c r="K298" s="484" t="s">
        <v>794</v>
      </c>
      <c r="L298" s="484" t="s">
        <v>794</v>
      </c>
      <c r="M298" s="68" t="s">
        <v>791</v>
      </c>
      <c r="N298" s="68">
        <v>20.494340900000001</v>
      </c>
      <c r="O298" s="68">
        <v>93.054298399999993</v>
      </c>
      <c r="P298" s="68" t="s">
        <v>795</v>
      </c>
      <c r="Q298" s="68" t="s">
        <v>776</v>
      </c>
      <c r="R298" s="486"/>
      <c r="S298" s="487"/>
      <c r="T298" s="101"/>
      <c r="U298" s="488"/>
      <c r="V298" s="68" t="s">
        <v>897</v>
      </c>
      <c r="W298" s="399"/>
    </row>
    <row r="299" spans="1:23" s="68" customFormat="1" ht="14.25" customHeight="1">
      <c r="A299" s="490" t="s">
        <v>2648</v>
      </c>
      <c r="B299" s="490" t="s">
        <v>452</v>
      </c>
      <c r="C299" s="491" t="s">
        <v>2746</v>
      </c>
      <c r="D299" s="485"/>
      <c r="E299" s="396">
        <v>196218</v>
      </c>
      <c r="F299" s="396"/>
      <c r="J299" s="68" t="s">
        <v>2652</v>
      </c>
      <c r="K299" s="396" t="s">
        <v>2622</v>
      </c>
      <c r="L299" s="396" t="s">
        <v>2622</v>
      </c>
      <c r="N299" s="68">
        <v>20.709392547607401</v>
      </c>
      <c r="O299" s="68">
        <v>92.815086364746094</v>
      </c>
      <c r="P299" s="68" t="s">
        <v>1972</v>
      </c>
      <c r="R299" s="494"/>
      <c r="S299" s="400"/>
      <c r="T299" s="101">
        <v>43591</v>
      </c>
      <c r="U299" s="494"/>
      <c r="W299" s="399"/>
    </row>
    <row r="300" spans="1:23" s="68" customFormat="1" ht="14.25" customHeight="1">
      <c r="A300" s="400" t="s">
        <v>2648</v>
      </c>
      <c r="B300" s="484" t="s">
        <v>452</v>
      </c>
      <c r="C300" s="484" t="s">
        <v>508</v>
      </c>
      <c r="D300" s="431" t="s">
        <v>1656</v>
      </c>
      <c r="E300" s="68">
        <v>196318</v>
      </c>
      <c r="F300" s="512" t="s">
        <v>508</v>
      </c>
      <c r="J300" s="68" t="s">
        <v>794</v>
      </c>
      <c r="K300" s="484" t="s">
        <v>794</v>
      </c>
      <c r="L300" s="484" t="s">
        <v>794</v>
      </c>
      <c r="M300" s="68" t="s">
        <v>791</v>
      </c>
      <c r="N300" s="68">
        <v>20.608819960000002</v>
      </c>
      <c r="O300" s="68">
        <v>93.022407529999995</v>
      </c>
      <c r="P300" s="68" t="s">
        <v>795</v>
      </c>
      <c r="Q300" s="68" t="s">
        <v>776</v>
      </c>
      <c r="R300" s="486"/>
      <c r="S300" s="400"/>
      <c r="T300" s="101"/>
      <c r="U300" s="97"/>
      <c r="V300" s="68" t="s">
        <v>912</v>
      </c>
      <c r="W300" s="399"/>
    </row>
    <row r="301" spans="1:23" s="68" customFormat="1" ht="14.25" customHeight="1">
      <c r="A301" s="490" t="s">
        <v>2648</v>
      </c>
      <c r="B301" s="490" t="s">
        <v>452</v>
      </c>
      <c r="C301" s="491" t="s">
        <v>2747</v>
      </c>
      <c r="D301" s="485"/>
      <c r="E301" s="68">
        <v>196403</v>
      </c>
      <c r="J301" s="68" t="s">
        <v>2652</v>
      </c>
      <c r="K301" s="396" t="s">
        <v>2622</v>
      </c>
      <c r="L301" s="396" t="s">
        <v>2622</v>
      </c>
      <c r="N301" s="68">
        <v>20.303350448608398</v>
      </c>
      <c r="O301" s="68">
        <v>92.927062988281307</v>
      </c>
      <c r="P301" s="68" t="s">
        <v>1972</v>
      </c>
      <c r="R301" s="494"/>
      <c r="S301" s="400"/>
      <c r="T301" s="101">
        <v>43591</v>
      </c>
      <c r="U301" s="494"/>
      <c r="V301" s="396"/>
      <c r="W301" s="399"/>
    </row>
    <row r="302" spans="1:23" s="68" customFormat="1" ht="14.25" customHeight="1">
      <c r="A302" s="400" t="s">
        <v>2648</v>
      </c>
      <c r="B302" s="484" t="s">
        <v>452</v>
      </c>
      <c r="C302" s="484" t="s">
        <v>881</v>
      </c>
      <c r="D302" s="431" t="s">
        <v>1656</v>
      </c>
      <c r="E302" s="68">
        <v>196357</v>
      </c>
      <c r="F302" s="68" t="s">
        <v>881</v>
      </c>
      <c r="J302" s="68" t="s">
        <v>794</v>
      </c>
      <c r="K302" s="484" t="s">
        <v>794</v>
      </c>
      <c r="L302" s="484" t="s">
        <v>794</v>
      </c>
      <c r="M302" s="68" t="s">
        <v>294</v>
      </c>
      <c r="N302" s="68">
        <v>20.369959999999999</v>
      </c>
      <c r="O302" s="68">
        <v>93.019220000000004</v>
      </c>
      <c r="P302" s="68" t="s">
        <v>795</v>
      </c>
      <c r="R302" s="486"/>
      <c r="S302" s="400"/>
      <c r="T302" s="101"/>
      <c r="U302" s="97"/>
      <c r="V302" s="484" t="s">
        <v>881</v>
      </c>
      <c r="W302" s="399"/>
    </row>
    <row r="303" spans="1:23" s="68" customFormat="1" ht="14.25" customHeight="1">
      <c r="A303" s="487" t="s">
        <v>2648</v>
      </c>
      <c r="B303" s="484" t="s">
        <v>452</v>
      </c>
      <c r="C303" s="484" t="s">
        <v>509</v>
      </c>
      <c r="D303" s="431" t="s">
        <v>1656</v>
      </c>
      <c r="E303" s="68">
        <v>196316</v>
      </c>
      <c r="F303" s="482"/>
      <c r="J303" s="68" t="s">
        <v>794</v>
      </c>
      <c r="K303" s="484" t="s">
        <v>794</v>
      </c>
      <c r="L303" s="484" t="s">
        <v>794</v>
      </c>
      <c r="M303" s="68" t="s">
        <v>294</v>
      </c>
      <c r="N303" s="68">
        <v>20.630609509999999</v>
      </c>
      <c r="O303" s="68">
        <v>92.998641969999994</v>
      </c>
      <c r="P303" s="482" t="s">
        <v>795</v>
      </c>
      <c r="Q303" s="68" t="s">
        <v>776</v>
      </c>
      <c r="R303" s="486"/>
      <c r="S303" s="487"/>
      <c r="T303" s="101"/>
      <c r="U303" s="488"/>
      <c r="V303" s="482" t="s">
        <v>914</v>
      </c>
      <c r="W303" s="399"/>
    </row>
    <row r="304" spans="1:23" s="68" customFormat="1" ht="14.25" customHeight="1">
      <c r="A304" s="490" t="s">
        <v>2648</v>
      </c>
      <c r="B304" s="490" t="s">
        <v>452</v>
      </c>
      <c r="C304" s="491" t="s">
        <v>2751</v>
      </c>
      <c r="D304" s="485"/>
      <c r="E304" s="68">
        <v>196317</v>
      </c>
      <c r="J304" s="68" t="s">
        <v>2652</v>
      </c>
      <c r="K304" s="396" t="s">
        <v>2622</v>
      </c>
      <c r="L304" s="396" t="s">
        <v>2622</v>
      </c>
      <c r="N304" s="68">
        <v>20.616569519043001</v>
      </c>
      <c r="O304" s="68">
        <v>92.991638183593807</v>
      </c>
      <c r="P304" s="482" t="s">
        <v>1972</v>
      </c>
      <c r="R304" s="494"/>
      <c r="S304" s="487"/>
      <c r="T304" s="101">
        <v>43591</v>
      </c>
      <c r="U304" s="494"/>
      <c r="V304" s="482"/>
      <c r="W304" s="399"/>
    </row>
    <row r="305" spans="1:23" s="68" customFormat="1" ht="14.25" customHeight="1">
      <c r="A305" s="400" t="s">
        <v>2648</v>
      </c>
      <c r="B305" s="484" t="s">
        <v>452</v>
      </c>
      <c r="C305" s="484" t="s">
        <v>515</v>
      </c>
      <c r="D305" s="431" t="s">
        <v>1656</v>
      </c>
      <c r="E305" s="68">
        <v>196313</v>
      </c>
      <c r="F305" s="68" t="s">
        <v>510</v>
      </c>
      <c r="J305" s="482" t="s">
        <v>794</v>
      </c>
      <c r="K305" s="68" t="s">
        <v>794</v>
      </c>
      <c r="L305" s="482" t="s">
        <v>794</v>
      </c>
      <c r="M305" s="68" t="s">
        <v>294</v>
      </c>
      <c r="N305" s="68">
        <v>20.645240780000002</v>
      </c>
      <c r="O305" s="68">
        <v>92.939758299999994</v>
      </c>
      <c r="P305" s="482" t="s">
        <v>795</v>
      </c>
      <c r="Q305" s="68" t="s">
        <v>776</v>
      </c>
      <c r="R305" s="486"/>
      <c r="S305" s="400"/>
      <c r="T305" s="101"/>
      <c r="U305" s="97"/>
      <c r="V305" s="396" t="s">
        <v>515</v>
      </c>
      <c r="W305" s="399"/>
    </row>
    <row r="306" spans="1:23" s="68" customFormat="1" ht="14.25" customHeight="1">
      <c r="A306" s="400" t="s">
        <v>2648</v>
      </c>
      <c r="B306" s="484" t="s">
        <v>452</v>
      </c>
      <c r="C306" s="484" t="s">
        <v>878</v>
      </c>
      <c r="D306" s="431" t="s">
        <v>1656</v>
      </c>
      <c r="E306" s="68">
        <v>196401</v>
      </c>
      <c r="J306" s="68" t="s">
        <v>794</v>
      </c>
      <c r="K306" s="68" t="s">
        <v>794</v>
      </c>
      <c r="L306" s="68" t="s">
        <v>794</v>
      </c>
      <c r="M306" s="68" t="s">
        <v>294</v>
      </c>
      <c r="N306" s="68">
        <v>20.327500000000001</v>
      </c>
      <c r="O306" s="68">
        <v>92.8947</v>
      </c>
      <c r="P306" s="68" t="s">
        <v>795</v>
      </c>
      <c r="R306" s="486"/>
      <c r="S306" s="96"/>
      <c r="T306" s="101"/>
      <c r="U306" s="97"/>
      <c r="V306" s="68" t="s">
        <v>878</v>
      </c>
      <c r="W306" s="399"/>
    </row>
    <row r="307" spans="1:23" s="68" customFormat="1" ht="14.25" customHeight="1">
      <c r="A307" s="400" t="s">
        <v>2648</v>
      </c>
      <c r="B307" s="484" t="s">
        <v>452</v>
      </c>
      <c r="C307" s="484" t="s">
        <v>481</v>
      </c>
      <c r="D307" s="431" t="s">
        <v>1656</v>
      </c>
      <c r="E307" s="68">
        <v>196349</v>
      </c>
      <c r="J307" s="68" t="s">
        <v>794</v>
      </c>
      <c r="K307" s="68" t="s">
        <v>794</v>
      </c>
      <c r="L307" s="68" t="s">
        <v>794</v>
      </c>
      <c r="M307" s="68" t="s">
        <v>294</v>
      </c>
      <c r="N307" s="68">
        <v>20.482030869999999</v>
      </c>
      <c r="O307" s="484">
        <v>93.045410160000003</v>
      </c>
      <c r="P307" s="68" t="s">
        <v>795</v>
      </c>
      <c r="Q307" s="68" t="s">
        <v>776</v>
      </c>
      <c r="R307" s="486"/>
      <c r="S307" s="96"/>
      <c r="T307" s="101"/>
      <c r="U307" s="488"/>
      <c r="V307" s="484" t="s">
        <v>481</v>
      </c>
      <c r="W307" s="399"/>
    </row>
    <row r="308" spans="1:23" s="68" customFormat="1" ht="14.25" customHeight="1">
      <c r="A308" s="400" t="s">
        <v>2648</v>
      </c>
      <c r="B308" s="484" t="s">
        <v>452</v>
      </c>
      <c r="C308" s="484" t="s">
        <v>877</v>
      </c>
      <c r="D308" s="431" t="s">
        <v>1656</v>
      </c>
      <c r="E308" s="68">
        <v>196375</v>
      </c>
      <c r="F308" s="68" t="s">
        <v>877</v>
      </c>
      <c r="J308" s="396" t="s">
        <v>794</v>
      </c>
      <c r="K308" s="396" t="s">
        <v>794</v>
      </c>
      <c r="L308" s="68" t="s">
        <v>794</v>
      </c>
      <c r="M308" s="68" t="s">
        <v>294</v>
      </c>
      <c r="N308" s="68">
        <v>20.308</v>
      </c>
      <c r="O308" s="68">
        <v>93.01</v>
      </c>
      <c r="P308" s="68" t="s">
        <v>795</v>
      </c>
      <c r="R308" s="486"/>
      <c r="S308" s="400"/>
      <c r="T308" s="101"/>
      <c r="U308" s="488"/>
      <c r="V308" s="484" t="s">
        <v>877</v>
      </c>
      <c r="W308" s="399"/>
    </row>
    <row r="309" spans="1:23" s="68" customFormat="1" ht="14.25" customHeight="1">
      <c r="A309" s="490" t="s">
        <v>2648</v>
      </c>
      <c r="B309" s="490" t="s">
        <v>452</v>
      </c>
      <c r="C309" s="404" t="s">
        <v>2752</v>
      </c>
      <c r="D309" s="398"/>
      <c r="E309" s="68">
        <v>196315</v>
      </c>
      <c r="J309" s="68" t="s">
        <v>2652</v>
      </c>
      <c r="K309" s="68" t="s">
        <v>2622</v>
      </c>
      <c r="L309" s="482" t="s">
        <v>2622</v>
      </c>
      <c r="N309" s="68">
        <v>20.622760772705099</v>
      </c>
      <c r="O309" s="68">
        <v>92.954826354980497</v>
      </c>
      <c r="P309" s="482" t="s">
        <v>1972</v>
      </c>
      <c r="R309" s="405"/>
      <c r="S309" s="400"/>
      <c r="T309" s="101">
        <v>43591</v>
      </c>
      <c r="U309" s="494"/>
      <c r="V309" s="482"/>
      <c r="W309" s="399"/>
    </row>
    <row r="310" spans="1:23" s="68" customFormat="1" ht="14.25" customHeight="1">
      <c r="A310" s="400" t="s">
        <v>2648</v>
      </c>
      <c r="B310" s="484" t="s">
        <v>452</v>
      </c>
      <c r="C310" s="484" t="s">
        <v>510</v>
      </c>
      <c r="D310" s="431" t="s">
        <v>1656</v>
      </c>
      <c r="E310" s="68">
        <v>196312</v>
      </c>
      <c r="F310" s="484"/>
      <c r="J310" s="68" t="s">
        <v>794</v>
      </c>
      <c r="K310" s="482" t="s">
        <v>794</v>
      </c>
      <c r="L310" s="482" t="s">
        <v>794</v>
      </c>
      <c r="M310" s="68" t="s">
        <v>294</v>
      </c>
      <c r="N310" s="68">
        <v>20.63272095</v>
      </c>
      <c r="O310" s="484">
        <v>92.940132140000003</v>
      </c>
      <c r="P310" s="482" t="s">
        <v>795</v>
      </c>
      <c r="Q310" s="68" t="s">
        <v>776</v>
      </c>
      <c r="R310" s="490"/>
      <c r="S310" s="491"/>
      <c r="T310" s="101"/>
      <c r="U310" s="488"/>
      <c r="V310" s="396" t="s">
        <v>915</v>
      </c>
      <c r="W310" s="399"/>
    </row>
    <row r="311" spans="1:23" s="68" customFormat="1" ht="14.25" customHeight="1">
      <c r="A311" s="400" t="s">
        <v>2648</v>
      </c>
      <c r="B311" s="484" t="s">
        <v>452</v>
      </c>
      <c r="C311" s="484" t="s">
        <v>507</v>
      </c>
      <c r="D311" s="431" t="s">
        <v>1656</v>
      </c>
      <c r="E311" s="68">
        <v>196321</v>
      </c>
      <c r="F311" s="484"/>
      <c r="J311" s="68" t="s">
        <v>794</v>
      </c>
      <c r="K311" s="68" t="s">
        <v>794</v>
      </c>
      <c r="L311" s="68" t="s">
        <v>794</v>
      </c>
      <c r="M311" s="68" t="s">
        <v>294</v>
      </c>
      <c r="N311" s="68">
        <v>20.59627914</v>
      </c>
      <c r="O311" s="68">
        <v>92.987480160000004</v>
      </c>
      <c r="P311" s="68" t="s">
        <v>795</v>
      </c>
      <c r="Q311" s="68" t="s">
        <v>776</v>
      </c>
      <c r="R311" s="486"/>
      <c r="S311" s="400"/>
      <c r="T311" s="101"/>
      <c r="U311" s="488"/>
      <c r="V311" s="68" t="s">
        <v>507</v>
      </c>
      <c r="W311" s="399"/>
    </row>
    <row r="312" spans="1:23" s="68" customFormat="1" ht="14.25" customHeight="1">
      <c r="A312" s="400" t="s">
        <v>2648</v>
      </c>
      <c r="B312" s="484" t="s">
        <v>452</v>
      </c>
      <c r="C312" s="484" t="s">
        <v>876</v>
      </c>
      <c r="D312" s="431" t="s">
        <v>1656</v>
      </c>
      <c r="E312" s="68">
        <v>196412</v>
      </c>
      <c r="F312" s="484" t="s">
        <v>876</v>
      </c>
      <c r="J312" s="68" t="s">
        <v>794</v>
      </c>
      <c r="K312" s="396" t="s">
        <v>794</v>
      </c>
      <c r="L312" s="396" t="s">
        <v>794</v>
      </c>
      <c r="M312" s="68" t="s">
        <v>294</v>
      </c>
      <c r="N312" s="68">
        <v>20.242139999999999</v>
      </c>
      <c r="O312" s="68">
        <v>92.921729999999997</v>
      </c>
      <c r="P312" s="68" t="s">
        <v>795</v>
      </c>
      <c r="R312" s="490"/>
      <c r="S312" s="491"/>
      <c r="T312" s="101"/>
      <c r="U312" s="97"/>
      <c r="V312" s="68" t="s">
        <v>876</v>
      </c>
      <c r="W312" s="399"/>
    </row>
    <row r="313" spans="1:23" s="68" customFormat="1" ht="14.25" customHeight="1">
      <c r="A313" s="400" t="s">
        <v>2648</v>
      </c>
      <c r="B313" s="403" t="s">
        <v>452</v>
      </c>
      <c r="C313" s="404" t="s">
        <v>2799</v>
      </c>
      <c r="D313" s="485"/>
      <c r="E313" s="68">
        <v>196234</v>
      </c>
      <c r="J313" s="68" t="s">
        <v>2652</v>
      </c>
      <c r="K313" s="68" t="s">
        <v>2622</v>
      </c>
      <c r="L313" s="68" t="s">
        <v>2622</v>
      </c>
      <c r="N313" s="68">
        <v>20.580810546875</v>
      </c>
      <c r="O313" s="68">
        <v>92.869346618652301</v>
      </c>
      <c r="P313" s="68" t="s">
        <v>1972</v>
      </c>
      <c r="R313" s="494"/>
      <c r="S313" s="96"/>
      <c r="T313" s="101">
        <v>43591</v>
      </c>
      <c r="U313" s="494"/>
      <c r="V313" s="68" t="s">
        <v>2717</v>
      </c>
      <c r="W313" s="399"/>
    </row>
    <row r="314" spans="1:23" s="68" customFormat="1" ht="14.25" customHeight="1">
      <c r="A314" s="400" t="s">
        <v>2648</v>
      </c>
      <c r="B314" s="484" t="s">
        <v>452</v>
      </c>
      <c r="C314" s="484" t="s">
        <v>453</v>
      </c>
      <c r="D314" s="431" t="s">
        <v>1656</v>
      </c>
      <c r="E314" s="482">
        <v>196408</v>
      </c>
      <c r="F314" s="484"/>
      <c r="J314" s="68" t="s">
        <v>794</v>
      </c>
      <c r="K314" s="482" t="s">
        <v>794</v>
      </c>
      <c r="L314" s="482" t="s">
        <v>794</v>
      </c>
      <c r="M314" s="68" t="s">
        <v>294</v>
      </c>
      <c r="N314" s="396">
        <v>20.268000000000001</v>
      </c>
      <c r="O314" s="396">
        <v>92.977999999999994</v>
      </c>
      <c r="P314" s="482" t="s">
        <v>795</v>
      </c>
      <c r="Q314" s="68" t="s">
        <v>776</v>
      </c>
      <c r="R314" s="486"/>
      <c r="S314" s="96"/>
      <c r="T314" s="101"/>
      <c r="U314" s="97"/>
      <c r="V314" s="68" t="s">
        <v>453</v>
      </c>
      <c r="W314" s="399"/>
    </row>
    <row r="315" spans="1:23" s="68" customFormat="1" ht="14.25" customHeight="1">
      <c r="A315" s="400" t="s">
        <v>2648</v>
      </c>
      <c r="B315" s="490" t="s">
        <v>452</v>
      </c>
      <c r="C315" s="491" t="s">
        <v>456</v>
      </c>
      <c r="D315" s="485" t="s">
        <v>1656</v>
      </c>
      <c r="E315" s="68">
        <v>196377</v>
      </c>
      <c r="F315" s="396"/>
      <c r="J315" s="68" t="s">
        <v>794</v>
      </c>
      <c r="K315" s="482" t="s">
        <v>794</v>
      </c>
      <c r="L315" s="482" t="s">
        <v>794</v>
      </c>
      <c r="M315" s="68" t="s">
        <v>294</v>
      </c>
      <c r="N315" s="68">
        <v>20.292100000000001</v>
      </c>
      <c r="O315" s="68">
        <v>92.994100000000003</v>
      </c>
      <c r="P315" s="482" t="s">
        <v>795</v>
      </c>
      <c r="Q315" s="68" t="s">
        <v>776</v>
      </c>
      <c r="R315" s="494"/>
      <c r="S315" s="487"/>
      <c r="T315" s="101"/>
      <c r="U315" s="97"/>
      <c r="V315" s="68" t="s">
        <v>456</v>
      </c>
      <c r="W315" s="399"/>
    </row>
    <row r="316" spans="1:23" s="68" customFormat="1" ht="14.25" customHeight="1">
      <c r="A316" s="400" t="s">
        <v>2648</v>
      </c>
      <c r="B316" s="484" t="s">
        <v>452</v>
      </c>
      <c r="C316" s="484" t="s">
        <v>487</v>
      </c>
      <c r="D316" s="431" t="s">
        <v>1656</v>
      </c>
      <c r="E316" s="482">
        <v>196337</v>
      </c>
      <c r="F316" s="396"/>
      <c r="J316" s="68" t="s">
        <v>794</v>
      </c>
      <c r="K316" s="68" t="s">
        <v>794</v>
      </c>
      <c r="L316" s="68" t="s">
        <v>794</v>
      </c>
      <c r="M316" s="68" t="s">
        <v>294</v>
      </c>
      <c r="N316" s="68">
        <v>20.509660719999999</v>
      </c>
      <c r="O316" s="68">
        <v>92.997230529999996</v>
      </c>
      <c r="P316" s="68" t="s">
        <v>795</v>
      </c>
      <c r="Q316" s="68" t="s">
        <v>776</v>
      </c>
      <c r="R316" s="486"/>
      <c r="S316" s="96"/>
      <c r="T316" s="101"/>
      <c r="U316" s="488"/>
      <c r="V316" s="68" t="s">
        <v>487</v>
      </c>
      <c r="W316" s="399"/>
    </row>
    <row r="317" spans="1:23" s="68" customFormat="1" ht="14.25" customHeight="1">
      <c r="A317" s="490" t="s">
        <v>2648</v>
      </c>
      <c r="B317" s="403" t="s">
        <v>452</v>
      </c>
      <c r="C317" s="404" t="s">
        <v>1735</v>
      </c>
      <c r="D317" s="485"/>
      <c r="E317" s="68">
        <v>196369</v>
      </c>
      <c r="J317" s="68" t="s">
        <v>2652</v>
      </c>
      <c r="K317" s="68" t="s">
        <v>2622</v>
      </c>
      <c r="L317" s="68" t="s">
        <v>2622</v>
      </c>
      <c r="N317" s="68">
        <v>20.337610244751001</v>
      </c>
      <c r="O317" s="68">
        <v>92.969711303710895</v>
      </c>
      <c r="P317" s="68" t="s">
        <v>1972</v>
      </c>
      <c r="R317" s="494"/>
      <c r="S317" s="96"/>
      <c r="T317" s="101">
        <v>43591</v>
      </c>
      <c r="U317" s="494"/>
      <c r="W317" s="399"/>
    </row>
    <row r="318" spans="1:23" s="68" customFormat="1" ht="14.25" customHeight="1">
      <c r="A318" s="490" t="s">
        <v>2648</v>
      </c>
      <c r="B318" s="490" t="s">
        <v>452</v>
      </c>
      <c r="C318" s="491" t="s">
        <v>2748</v>
      </c>
      <c r="D318" s="485"/>
      <c r="E318" s="68">
        <v>196369</v>
      </c>
      <c r="J318" s="68" t="s">
        <v>2652</v>
      </c>
      <c r="K318" s="68" t="s">
        <v>2622</v>
      </c>
      <c r="L318" s="68" t="s">
        <v>2622</v>
      </c>
      <c r="N318" s="68">
        <v>20.337610244751001</v>
      </c>
      <c r="O318" s="68">
        <v>92.969711303710895</v>
      </c>
      <c r="P318" s="482" t="s">
        <v>1972</v>
      </c>
      <c r="R318" s="494"/>
      <c r="S318" s="487"/>
      <c r="T318" s="101">
        <v>43591</v>
      </c>
      <c r="U318" s="494"/>
      <c r="W318" s="399"/>
    </row>
    <row r="319" spans="1:23" s="68" customFormat="1" ht="14.25" customHeight="1">
      <c r="A319" s="400" t="s">
        <v>2648</v>
      </c>
      <c r="B319" s="484" t="s">
        <v>452</v>
      </c>
      <c r="C319" s="484" t="s">
        <v>459</v>
      </c>
      <c r="D319" s="431" t="s">
        <v>1656</v>
      </c>
      <c r="E319" s="68">
        <v>196359</v>
      </c>
      <c r="F319" s="68" t="s">
        <v>459</v>
      </c>
      <c r="J319" s="68" t="s">
        <v>794</v>
      </c>
      <c r="K319" s="68" t="s">
        <v>794</v>
      </c>
      <c r="L319" s="68" t="s">
        <v>794</v>
      </c>
      <c r="M319" s="68" t="s">
        <v>294</v>
      </c>
      <c r="N319" s="68">
        <v>20.361530299999998</v>
      </c>
      <c r="O319" s="68">
        <v>92.992073059999996</v>
      </c>
      <c r="P319" s="482" t="s">
        <v>795</v>
      </c>
      <c r="Q319" s="68" t="s">
        <v>776</v>
      </c>
      <c r="R319" s="486"/>
      <c r="S319" s="400"/>
      <c r="T319" s="101"/>
      <c r="U319" s="97"/>
      <c r="V319" s="68" t="s">
        <v>459</v>
      </c>
      <c r="W319" s="399"/>
    </row>
    <row r="320" spans="1:23" s="68" customFormat="1" ht="14.25" customHeight="1">
      <c r="A320" s="400" t="s">
        <v>2648</v>
      </c>
      <c r="B320" s="484" t="s">
        <v>452</v>
      </c>
      <c r="C320" s="484" t="s">
        <v>486</v>
      </c>
      <c r="D320" s="431" t="s">
        <v>1656</v>
      </c>
      <c r="E320" s="396">
        <v>196351</v>
      </c>
      <c r="F320" s="482"/>
      <c r="G320" s="396"/>
      <c r="H320" s="396"/>
      <c r="I320" s="396"/>
      <c r="J320" s="68" t="s">
        <v>794</v>
      </c>
      <c r="K320" s="482" t="s">
        <v>794</v>
      </c>
      <c r="L320" s="482" t="s">
        <v>794</v>
      </c>
      <c r="M320" s="396" t="s">
        <v>294</v>
      </c>
      <c r="N320" s="396">
        <v>20.50658035</v>
      </c>
      <c r="O320" s="396">
        <v>93.0434494</v>
      </c>
      <c r="P320" s="482" t="s">
        <v>795</v>
      </c>
      <c r="Q320" s="396" t="s">
        <v>776</v>
      </c>
      <c r="R320" s="486"/>
      <c r="S320" s="487"/>
      <c r="T320" s="412"/>
      <c r="U320" s="401"/>
      <c r="V320" s="396" t="s">
        <v>486</v>
      </c>
      <c r="W320" s="399"/>
    </row>
    <row r="321" spans="1:23" s="68" customFormat="1" ht="14.25" customHeight="1">
      <c r="A321" s="400" t="s">
        <v>2648</v>
      </c>
      <c r="B321" s="484" t="s">
        <v>452</v>
      </c>
      <c r="C321" s="484" t="s">
        <v>500</v>
      </c>
      <c r="D321" s="431" t="s">
        <v>1656</v>
      </c>
      <c r="E321" s="396">
        <v>196331</v>
      </c>
      <c r="F321" s="482" t="s">
        <v>500</v>
      </c>
      <c r="I321" s="396"/>
      <c r="J321" s="68" t="s">
        <v>794</v>
      </c>
      <c r="K321" s="482" t="s">
        <v>794</v>
      </c>
      <c r="L321" s="482" t="s">
        <v>794</v>
      </c>
      <c r="M321" s="68" t="s">
        <v>294</v>
      </c>
      <c r="N321" s="68">
        <v>20.564739230000001</v>
      </c>
      <c r="O321" s="396">
        <v>93.064781190000005</v>
      </c>
      <c r="P321" s="68" t="s">
        <v>795</v>
      </c>
      <c r="Q321" s="68" t="s">
        <v>776</v>
      </c>
      <c r="R321" s="486"/>
      <c r="S321" s="487"/>
      <c r="T321" s="101"/>
      <c r="U321" s="97"/>
      <c r="V321" s="68" t="s">
        <v>500</v>
      </c>
      <c r="W321" s="399"/>
    </row>
    <row r="322" spans="1:23" s="68" customFormat="1" ht="14.25" customHeight="1">
      <c r="A322" s="400" t="s">
        <v>2648</v>
      </c>
      <c r="B322" s="484" t="s">
        <v>452</v>
      </c>
      <c r="C322" s="484" t="s">
        <v>468</v>
      </c>
      <c r="D322" s="431" t="s">
        <v>1656</v>
      </c>
      <c r="E322" s="68">
        <v>196356</v>
      </c>
      <c r="J322" s="68" t="s">
        <v>794</v>
      </c>
      <c r="K322" s="68" t="s">
        <v>794</v>
      </c>
      <c r="L322" s="68" t="s">
        <v>794</v>
      </c>
      <c r="M322" s="68" t="s">
        <v>294</v>
      </c>
      <c r="N322" s="68">
        <v>20.424389999999999</v>
      </c>
      <c r="O322" s="68">
        <v>93.012960000000007</v>
      </c>
      <c r="P322" s="482" t="s">
        <v>795</v>
      </c>
      <c r="Q322" s="68" t="s">
        <v>776</v>
      </c>
      <c r="R322" s="486"/>
      <c r="S322" s="487"/>
      <c r="T322" s="101"/>
      <c r="U322" s="97"/>
      <c r="V322" s="68" t="s">
        <v>468</v>
      </c>
      <c r="W322" s="399"/>
    </row>
    <row r="323" spans="1:23" s="68" customFormat="1" ht="14.25" customHeight="1">
      <c r="A323" s="400" t="s">
        <v>2648</v>
      </c>
      <c r="B323" s="403" t="s">
        <v>452</v>
      </c>
      <c r="C323" s="404" t="s">
        <v>2798</v>
      </c>
      <c r="D323" s="485"/>
      <c r="E323" s="68">
        <v>196302</v>
      </c>
      <c r="J323" s="68" t="s">
        <v>2652</v>
      </c>
      <c r="K323" s="68" t="s">
        <v>2622</v>
      </c>
      <c r="L323" s="68" t="s">
        <v>2622</v>
      </c>
      <c r="N323" s="396">
        <v>20.5702304840088</v>
      </c>
      <c r="O323" s="396">
        <v>92.977378845214801</v>
      </c>
      <c r="P323" s="482" t="s">
        <v>1972</v>
      </c>
      <c r="R323" s="494"/>
      <c r="S323" s="96"/>
      <c r="T323" s="101">
        <v>43591</v>
      </c>
      <c r="U323" s="494"/>
      <c r="V323" s="512" t="s">
        <v>2716</v>
      </c>
      <c r="W323" s="399"/>
    </row>
    <row r="324" spans="1:23" s="68" customFormat="1" ht="14.25" customHeight="1">
      <c r="A324" s="400" t="s">
        <v>2648</v>
      </c>
      <c r="B324" s="484" t="s">
        <v>354</v>
      </c>
      <c r="C324" s="484" t="s">
        <v>356</v>
      </c>
      <c r="D324" s="431" t="s">
        <v>1657</v>
      </c>
      <c r="E324" s="68" t="s">
        <v>1346</v>
      </c>
      <c r="F324" s="68" t="s">
        <v>1660</v>
      </c>
      <c r="G324" s="68" t="s">
        <v>1662</v>
      </c>
      <c r="H324" s="68" t="s">
        <v>40</v>
      </c>
      <c r="J324" s="68" t="s">
        <v>42</v>
      </c>
      <c r="K324" s="396" t="s">
        <v>42</v>
      </c>
      <c r="L324" s="68" t="s">
        <v>756</v>
      </c>
      <c r="M324" s="68" t="s">
        <v>294</v>
      </c>
      <c r="N324" s="68">
        <v>19.091054</v>
      </c>
      <c r="O324" s="396">
        <v>93.865170000000006</v>
      </c>
      <c r="P324" s="482" t="s">
        <v>757</v>
      </c>
      <c r="Q324" s="68" t="s">
        <v>776</v>
      </c>
      <c r="R324" s="486"/>
      <c r="S324" s="400"/>
      <c r="T324" s="101"/>
      <c r="U324" s="97"/>
      <c r="V324" s="68" t="s">
        <v>356</v>
      </c>
      <c r="W324" s="399"/>
    </row>
    <row r="325" spans="1:23" s="68" customFormat="1" ht="14.25" customHeight="1">
      <c r="A325" s="400" t="s">
        <v>2648</v>
      </c>
      <c r="B325" s="484" t="s">
        <v>354</v>
      </c>
      <c r="C325" s="484" t="s">
        <v>355</v>
      </c>
      <c r="D325" s="431" t="s">
        <v>1657</v>
      </c>
      <c r="E325" s="68" t="s">
        <v>1345</v>
      </c>
      <c r="F325" s="68" t="s">
        <v>1660</v>
      </c>
      <c r="G325" s="68" t="s">
        <v>1661</v>
      </c>
      <c r="H325" s="68" t="s">
        <v>40</v>
      </c>
      <c r="J325" s="68" t="s">
        <v>42</v>
      </c>
      <c r="K325" s="68" t="s">
        <v>42</v>
      </c>
      <c r="L325" s="68" t="s">
        <v>756</v>
      </c>
      <c r="M325" s="68" t="s">
        <v>791</v>
      </c>
      <c r="N325" s="68">
        <v>19.088283000000001</v>
      </c>
      <c r="O325" s="68">
        <v>93.857592999999994</v>
      </c>
      <c r="P325" s="68" t="s">
        <v>757</v>
      </c>
      <c r="Q325" s="68" t="s">
        <v>776</v>
      </c>
      <c r="R325" s="486"/>
      <c r="S325" s="96"/>
      <c r="T325" s="101"/>
      <c r="U325" s="97" t="s">
        <v>1657</v>
      </c>
      <c r="V325" s="68" t="s">
        <v>792</v>
      </c>
      <c r="W325" s="399"/>
    </row>
    <row r="326" spans="1:23" s="68" customFormat="1" ht="14.25" customHeight="1">
      <c r="A326" s="400" t="s">
        <v>2648</v>
      </c>
      <c r="B326" s="490" t="s">
        <v>295</v>
      </c>
      <c r="C326" s="491" t="s">
        <v>448</v>
      </c>
      <c r="D326" s="485" t="s">
        <v>1656</v>
      </c>
      <c r="E326" s="68">
        <v>196143</v>
      </c>
      <c r="F326" s="482" t="s">
        <v>1664</v>
      </c>
      <c r="J326" s="68" t="s">
        <v>794</v>
      </c>
      <c r="K326" s="482" t="s">
        <v>794</v>
      </c>
      <c r="L326" s="482" t="s">
        <v>794</v>
      </c>
      <c r="M326" s="68" t="s">
        <v>791</v>
      </c>
      <c r="N326" s="68">
        <v>20.235199999999999</v>
      </c>
      <c r="O326" s="68">
        <v>92.805000000000007</v>
      </c>
      <c r="P326" s="482" t="s">
        <v>795</v>
      </c>
      <c r="Q326" s="68" t="s">
        <v>776</v>
      </c>
      <c r="R326" s="494"/>
      <c r="S326" s="487"/>
      <c r="T326" s="101"/>
      <c r="U326" s="97"/>
      <c r="V326" s="68" t="s">
        <v>448</v>
      </c>
      <c r="W326" s="399"/>
    </row>
    <row r="327" spans="1:23" s="68" customFormat="1" ht="14.25" customHeight="1">
      <c r="A327" s="400" t="s">
        <v>2648</v>
      </c>
      <c r="B327" s="490" t="s">
        <v>295</v>
      </c>
      <c r="C327" s="491" t="s">
        <v>1742</v>
      </c>
      <c r="D327" s="485"/>
      <c r="E327" s="396" t="s">
        <v>2955</v>
      </c>
      <c r="F327" s="482"/>
      <c r="G327" s="396"/>
      <c r="H327" s="396"/>
      <c r="I327" s="396"/>
      <c r="J327" s="68" t="s">
        <v>794</v>
      </c>
      <c r="K327" s="482" t="s">
        <v>794</v>
      </c>
      <c r="L327" s="482" t="s">
        <v>794</v>
      </c>
      <c r="M327" s="396"/>
      <c r="N327" s="482"/>
      <c r="O327" s="482"/>
      <c r="P327" s="482" t="s">
        <v>795</v>
      </c>
      <c r="Q327" s="396" t="s">
        <v>2961</v>
      </c>
      <c r="R327" s="494"/>
      <c r="S327" s="487"/>
      <c r="T327" s="412">
        <v>43768</v>
      </c>
      <c r="U327" s="494"/>
      <c r="V327" s="396"/>
      <c r="W327" s="399"/>
    </row>
    <row r="328" spans="1:23" s="68" customFormat="1" ht="14.25" customHeight="1">
      <c r="A328" s="400" t="s">
        <v>2648</v>
      </c>
      <c r="B328" s="490" t="s">
        <v>295</v>
      </c>
      <c r="C328" s="491" t="s">
        <v>1664</v>
      </c>
      <c r="D328" s="485" t="s">
        <v>1876</v>
      </c>
      <c r="E328" s="396">
        <v>196138</v>
      </c>
      <c r="F328" s="482"/>
      <c r="J328" s="68" t="s">
        <v>794</v>
      </c>
      <c r="K328" s="482" t="s">
        <v>794</v>
      </c>
      <c r="L328" s="482" t="s">
        <v>794</v>
      </c>
      <c r="N328" s="68">
        <v>20.2351894378662</v>
      </c>
      <c r="O328" s="396">
        <v>92.790191650390597</v>
      </c>
      <c r="P328" s="482" t="s">
        <v>795</v>
      </c>
      <c r="Q328" s="396"/>
      <c r="R328" s="494"/>
      <c r="S328" s="400"/>
      <c r="T328" s="101"/>
      <c r="U328" s="97"/>
      <c r="V328" s="396"/>
      <c r="W328" s="399"/>
    </row>
    <row r="329" spans="1:23" s="68" customFormat="1" ht="14.25" customHeight="1">
      <c r="A329" s="400" t="s">
        <v>2648</v>
      </c>
      <c r="B329" s="403" t="s">
        <v>295</v>
      </c>
      <c r="C329" s="404" t="s">
        <v>449</v>
      </c>
      <c r="D329" s="485" t="s">
        <v>1656</v>
      </c>
      <c r="E329" s="68">
        <v>196152</v>
      </c>
      <c r="F329" s="482"/>
      <c r="J329" s="68" t="s">
        <v>794</v>
      </c>
      <c r="K329" s="396" t="s">
        <v>794</v>
      </c>
      <c r="L329" s="396" t="s">
        <v>794</v>
      </c>
      <c r="M329" s="68" t="s">
        <v>294</v>
      </c>
      <c r="N329" s="68">
        <v>20.235199999999999</v>
      </c>
      <c r="O329" s="68">
        <v>92.790199999999999</v>
      </c>
      <c r="P329" s="68" t="s">
        <v>795</v>
      </c>
      <c r="Q329" s="68" t="s">
        <v>776</v>
      </c>
      <c r="R329" s="494"/>
      <c r="S329" s="96"/>
      <c r="T329" s="101"/>
      <c r="U329" s="97"/>
      <c r="V329" s="68" t="s">
        <v>449</v>
      </c>
      <c r="W329" s="399"/>
    </row>
    <row r="330" spans="1:23" s="68" customFormat="1" ht="14.25" customHeight="1">
      <c r="A330" s="400" t="s">
        <v>2648</v>
      </c>
      <c r="B330" s="403" t="s">
        <v>295</v>
      </c>
      <c r="C330" s="404" t="s">
        <v>2956</v>
      </c>
      <c r="D330" s="485"/>
      <c r="E330" s="396" t="s">
        <v>2957</v>
      </c>
      <c r="F330" s="396"/>
      <c r="G330" s="396"/>
      <c r="H330" s="396"/>
      <c r="I330" s="396"/>
      <c r="J330" s="396" t="s">
        <v>794</v>
      </c>
      <c r="K330" s="396" t="s">
        <v>794</v>
      </c>
      <c r="L330" s="396" t="s">
        <v>794</v>
      </c>
      <c r="M330" s="396"/>
      <c r="N330" s="482"/>
      <c r="O330" s="482"/>
      <c r="P330" s="396" t="s">
        <v>795</v>
      </c>
      <c r="Q330" s="396" t="s">
        <v>2961</v>
      </c>
      <c r="R330" s="494"/>
      <c r="S330" s="400"/>
      <c r="T330" s="412">
        <v>43768</v>
      </c>
      <c r="U330" s="494"/>
      <c r="V330" s="396"/>
      <c r="W330" s="399"/>
    </row>
    <row r="331" spans="1:23" s="68" customFormat="1" ht="14.25" customHeight="1">
      <c r="A331" s="400" t="s">
        <v>2648</v>
      </c>
      <c r="B331" s="490" t="s">
        <v>295</v>
      </c>
      <c r="C331" s="491" t="s">
        <v>1881</v>
      </c>
      <c r="D331" s="485" t="s">
        <v>1876</v>
      </c>
      <c r="E331" s="482"/>
      <c r="F331" s="396"/>
      <c r="J331" s="68" t="s">
        <v>794</v>
      </c>
      <c r="K331" s="482" t="s">
        <v>794</v>
      </c>
      <c r="L331" s="482" t="s">
        <v>794</v>
      </c>
      <c r="O331" s="396"/>
      <c r="P331" s="482" t="s">
        <v>795</v>
      </c>
      <c r="R331" s="494"/>
      <c r="S331" s="487"/>
      <c r="T331" s="101"/>
      <c r="U331" s="97"/>
      <c r="W331" s="399"/>
    </row>
    <row r="332" spans="1:23" s="68" customFormat="1" ht="14.25" customHeight="1">
      <c r="A332" s="400" t="s">
        <v>2648</v>
      </c>
      <c r="B332" s="490" t="s">
        <v>295</v>
      </c>
      <c r="C332" s="491" t="s">
        <v>413</v>
      </c>
      <c r="D332" s="485" t="s">
        <v>1656</v>
      </c>
      <c r="E332" s="482"/>
      <c r="F332" s="396"/>
      <c r="G332" s="396"/>
      <c r="H332" s="396"/>
      <c r="I332" s="396"/>
      <c r="J332" s="396" t="s">
        <v>794</v>
      </c>
      <c r="K332" s="482" t="s">
        <v>794</v>
      </c>
      <c r="L332" s="482" t="s">
        <v>794</v>
      </c>
      <c r="M332" s="396" t="s">
        <v>791</v>
      </c>
      <c r="N332" s="396"/>
      <c r="O332" s="396"/>
      <c r="P332" s="396" t="s">
        <v>795</v>
      </c>
      <c r="Q332" s="396" t="s">
        <v>776</v>
      </c>
      <c r="R332" s="494"/>
      <c r="S332" s="487"/>
      <c r="T332" s="412"/>
      <c r="U332" s="401"/>
      <c r="V332" s="396" t="s">
        <v>413</v>
      </c>
      <c r="W332" s="399"/>
    </row>
    <row r="333" spans="1:23" s="68" customFormat="1" ht="14.25" customHeight="1">
      <c r="A333" s="400" t="s">
        <v>2648</v>
      </c>
      <c r="B333" s="490" t="s">
        <v>295</v>
      </c>
      <c r="C333" s="491" t="s">
        <v>414</v>
      </c>
      <c r="D333" s="431" t="s">
        <v>2712</v>
      </c>
      <c r="E333" s="482" t="s">
        <v>1356</v>
      </c>
      <c r="F333" s="482" t="s">
        <v>1741</v>
      </c>
      <c r="G333" s="68" t="s">
        <v>1742</v>
      </c>
      <c r="H333" s="68" t="s">
        <v>40</v>
      </c>
      <c r="J333" s="68" t="s">
        <v>42</v>
      </c>
      <c r="K333" s="482" t="s">
        <v>42</v>
      </c>
      <c r="L333" s="482" t="s">
        <v>790</v>
      </c>
      <c r="M333" s="68" t="s">
        <v>791</v>
      </c>
      <c r="N333" s="68">
        <v>20.128488999999998</v>
      </c>
      <c r="O333" s="68">
        <v>92.875814000000005</v>
      </c>
      <c r="P333" s="68" t="s">
        <v>757</v>
      </c>
      <c r="Q333" s="68" t="s">
        <v>776</v>
      </c>
      <c r="R333" s="486">
        <v>396</v>
      </c>
      <c r="S333" s="487">
        <v>2285</v>
      </c>
      <c r="T333" s="101"/>
      <c r="U333" s="97"/>
      <c r="V333" s="68" t="s">
        <v>836</v>
      </c>
      <c r="W333" s="399"/>
    </row>
    <row r="334" spans="1:23" s="68" customFormat="1" ht="14.25" customHeight="1">
      <c r="A334" s="400" t="s">
        <v>2648</v>
      </c>
      <c r="B334" s="403" t="s">
        <v>295</v>
      </c>
      <c r="C334" s="404" t="s">
        <v>861</v>
      </c>
      <c r="D334" s="398" t="s">
        <v>1657</v>
      </c>
      <c r="E334" s="482" t="s">
        <v>1370</v>
      </c>
      <c r="F334" s="396" t="s">
        <v>1663</v>
      </c>
      <c r="G334" s="68" t="s">
        <v>1689</v>
      </c>
      <c r="J334" s="68" t="s">
        <v>42</v>
      </c>
      <c r="K334" s="396" t="s">
        <v>42</v>
      </c>
      <c r="L334" s="396" t="s">
        <v>756</v>
      </c>
      <c r="M334" s="68" t="s">
        <v>791</v>
      </c>
      <c r="N334" s="68">
        <v>20.181238</v>
      </c>
      <c r="O334" s="68">
        <v>92.807418999999996</v>
      </c>
      <c r="P334" s="68" t="s">
        <v>757</v>
      </c>
      <c r="Q334" s="68" t="s">
        <v>776</v>
      </c>
      <c r="R334" s="405"/>
      <c r="S334" s="400"/>
      <c r="T334" s="101"/>
      <c r="U334" s="97"/>
      <c r="V334" s="68" t="s">
        <v>861</v>
      </c>
      <c r="W334" s="399"/>
    </row>
    <row r="335" spans="1:23" s="68" customFormat="1" ht="14.25" customHeight="1">
      <c r="A335" s="400" t="s">
        <v>2648</v>
      </c>
      <c r="B335" s="490" t="s">
        <v>295</v>
      </c>
      <c r="C335" s="491" t="s">
        <v>425</v>
      </c>
      <c r="D335" s="431" t="s">
        <v>2712</v>
      </c>
      <c r="E335" s="68" t="s">
        <v>1368</v>
      </c>
      <c r="F335" s="68" t="s">
        <v>1663</v>
      </c>
      <c r="G335" s="68" t="s">
        <v>1689</v>
      </c>
      <c r="H335" s="68" t="s">
        <v>40</v>
      </c>
      <c r="J335" s="68" t="s">
        <v>42</v>
      </c>
      <c r="K335" s="68" t="s">
        <v>42</v>
      </c>
      <c r="L335" s="68" t="s">
        <v>790</v>
      </c>
      <c r="M335" s="68" t="s">
        <v>791</v>
      </c>
      <c r="N335" s="68">
        <v>20.179417000000001</v>
      </c>
      <c r="O335" s="68">
        <v>92.813028000000003</v>
      </c>
      <c r="P335" s="68" t="s">
        <v>757</v>
      </c>
      <c r="R335" s="486">
        <v>1013</v>
      </c>
      <c r="S335" s="487">
        <v>4774</v>
      </c>
      <c r="T335" s="101"/>
      <c r="U335" s="97" t="s">
        <v>858</v>
      </c>
      <c r="W335" s="399"/>
    </row>
    <row r="336" spans="1:23" s="68" customFormat="1" ht="14.25" customHeight="1">
      <c r="A336" s="400" t="s">
        <v>2648</v>
      </c>
      <c r="B336" s="490" t="s">
        <v>295</v>
      </c>
      <c r="C336" s="491" t="s">
        <v>427</v>
      </c>
      <c r="D336" s="431" t="s">
        <v>2712</v>
      </c>
      <c r="E336" s="68" t="s">
        <v>1371</v>
      </c>
      <c r="F336" s="68" t="s">
        <v>1663</v>
      </c>
      <c r="G336" s="68" t="s">
        <v>1689</v>
      </c>
      <c r="H336" s="68" t="s">
        <v>40</v>
      </c>
      <c r="J336" s="68" t="s">
        <v>42</v>
      </c>
      <c r="K336" s="396" t="s">
        <v>42</v>
      </c>
      <c r="L336" s="396" t="s">
        <v>790</v>
      </c>
      <c r="M336" s="68" t="s">
        <v>791</v>
      </c>
      <c r="N336" s="68">
        <v>20.181405999999999</v>
      </c>
      <c r="O336" s="68">
        <v>92.807552000000001</v>
      </c>
      <c r="P336" s="68" t="s">
        <v>757</v>
      </c>
      <c r="R336" s="486">
        <v>1334</v>
      </c>
      <c r="S336" s="487">
        <v>6643</v>
      </c>
      <c r="T336" s="101"/>
      <c r="U336" s="97" t="s">
        <v>858</v>
      </c>
      <c r="W336" s="399"/>
    </row>
    <row r="337" spans="1:23" s="68" customFormat="1" ht="14.25" customHeight="1">
      <c r="A337" s="400" t="s">
        <v>2648</v>
      </c>
      <c r="B337" s="490" t="s">
        <v>295</v>
      </c>
      <c r="C337" s="491" t="s">
        <v>1089</v>
      </c>
      <c r="D337" s="485" t="s">
        <v>1656</v>
      </c>
      <c r="E337" s="482"/>
      <c r="J337" s="68" t="s">
        <v>794</v>
      </c>
      <c r="K337" s="482" t="s">
        <v>794</v>
      </c>
      <c r="L337" s="482" t="s">
        <v>794</v>
      </c>
      <c r="M337" s="68" t="s">
        <v>791</v>
      </c>
      <c r="P337" s="68" t="s">
        <v>795</v>
      </c>
      <c r="Q337" s="68" t="s">
        <v>758</v>
      </c>
      <c r="R337" s="494"/>
      <c r="S337" s="400"/>
      <c r="T337" s="101">
        <v>42804</v>
      </c>
      <c r="U337" s="97"/>
      <c r="V337" s="68" t="s">
        <v>1089</v>
      </c>
      <c r="W337" s="399"/>
    </row>
    <row r="338" spans="1:23" s="68" customFormat="1" ht="14.25" customHeight="1">
      <c r="A338" s="400" t="s">
        <v>2648</v>
      </c>
      <c r="B338" s="490" t="s">
        <v>295</v>
      </c>
      <c r="C338" s="491" t="s">
        <v>2644</v>
      </c>
      <c r="D338" s="431" t="s">
        <v>2712</v>
      </c>
      <c r="E338" s="68" t="s">
        <v>1374</v>
      </c>
      <c r="F338" s="68" t="s">
        <v>1663</v>
      </c>
      <c r="G338" s="68" t="s">
        <v>1689</v>
      </c>
      <c r="H338" s="68" t="s">
        <v>40</v>
      </c>
      <c r="J338" s="68" t="s">
        <v>42</v>
      </c>
      <c r="K338" s="482" t="s">
        <v>42</v>
      </c>
      <c r="L338" s="482" t="s">
        <v>768</v>
      </c>
      <c r="M338" s="68" t="s">
        <v>791</v>
      </c>
      <c r="N338" s="68">
        <v>20.182987000000001</v>
      </c>
      <c r="O338" s="68">
        <v>92.804803000000007</v>
      </c>
      <c r="P338" s="68" t="s">
        <v>769</v>
      </c>
      <c r="Q338" s="68" t="s">
        <v>776</v>
      </c>
      <c r="R338" s="486">
        <v>41</v>
      </c>
      <c r="S338" s="487">
        <v>226</v>
      </c>
      <c r="T338" s="101"/>
      <c r="U338" s="97"/>
      <c r="V338" s="68" t="s">
        <v>863</v>
      </c>
      <c r="W338" s="399"/>
    </row>
    <row r="339" spans="1:23" s="68" customFormat="1" ht="14.25" customHeight="1">
      <c r="A339" s="400" t="s">
        <v>2648</v>
      </c>
      <c r="B339" s="403" t="s">
        <v>295</v>
      </c>
      <c r="C339" s="404" t="s">
        <v>415</v>
      </c>
      <c r="D339" s="485" t="s">
        <v>1656</v>
      </c>
      <c r="E339" s="482">
        <v>196200</v>
      </c>
      <c r="J339" s="68" t="s">
        <v>800</v>
      </c>
      <c r="K339" s="68" t="s">
        <v>794</v>
      </c>
      <c r="L339" s="68" t="s">
        <v>800</v>
      </c>
      <c r="M339" s="68" t="s">
        <v>791</v>
      </c>
      <c r="N339" s="68">
        <v>20.143859859999999</v>
      </c>
      <c r="O339" s="68">
        <v>92.867576600000007</v>
      </c>
      <c r="P339" s="68" t="s">
        <v>919</v>
      </c>
      <c r="Q339" s="68" t="s">
        <v>758</v>
      </c>
      <c r="R339" s="494"/>
      <c r="S339" s="400"/>
      <c r="T339" s="101">
        <v>42811</v>
      </c>
      <c r="U339" s="97"/>
      <c r="W339" s="399"/>
    </row>
    <row r="340" spans="1:23" s="68" customFormat="1" ht="14.25" customHeight="1">
      <c r="A340" s="400" t="s">
        <v>2648</v>
      </c>
      <c r="B340" s="484" t="s">
        <v>295</v>
      </c>
      <c r="C340" s="484" t="s">
        <v>2590</v>
      </c>
      <c r="D340" s="431"/>
      <c r="E340" s="68">
        <v>196203</v>
      </c>
      <c r="F340" s="484"/>
      <c r="J340" s="68" t="s">
        <v>794</v>
      </c>
      <c r="K340" s="484" t="s">
        <v>794</v>
      </c>
      <c r="L340" s="484" t="s">
        <v>794</v>
      </c>
      <c r="N340" s="68">
        <v>20.142469406127901</v>
      </c>
      <c r="O340" s="68">
        <v>92.863967895507798</v>
      </c>
      <c r="P340" s="68" t="s">
        <v>795</v>
      </c>
      <c r="R340" s="490"/>
      <c r="S340" s="491"/>
      <c r="T340" s="101"/>
      <c r="U340" s="97"/>
      <c r="W340" s="399"/>
    </row>
    <row r="341" spans="1:23" s="68" customFormat="1" ht="14.25" customHeight="1">
      <c r="A341" s="400" t="s">
        <v>2648</v>
      </c>
      <c r="B341" s="484" t="s">
        <v>295</v>
      </c>
      <c r="C341" s="484" t="s">
        <v>2577</v>
      </c>
      <c r="D341" s="431"/>
      <c r="E341" s="68">
        <v>196132</v>
      </c>
      <c r="J341" s="68" t="s">
        <v>794</v>
      </c>
      <c r="K341" s="68" t="s">
        <v>794</v>
      </c>
      <c r="L341" s="68" t="s">
        <v>794</v>
      </c>
      <c r="N341" s="482">
        <v>20.2034397125244</v>
      </c>
      <c r="O341" s="482">
        <v>92.909606933593807</v>
      </c>
      <c r="P341" s="68" t="s">
        <v>795</v>
      </c>
      <c r="R341" s="486"/>
      <c r="S341" s="486"/>
      <c r="T341" s="101"/>
      <c r="U341" s="97"/>
      <c r="W341" s="399"/>
    </row>
    <row r="342" spans="1:23" s="68" customFormat="1" ht="14.25" customHeight="1">
      <c r="A342" s="400" t="s">
        <v>2648</v>
      </c>
      <c r="B342" s="490" t="s">
        <v>295</v>
      </c>
      <c r="C342" s="491" t="s">
        <v>455</v>
      </c>
      <c r="D342" s="485" t="s">
        <v>1656</v>
      </c>
      <c r="E342" s="68">
        <v>196172</v>
      </c>
      <c r="J342" s="68" t="s">
        <v>794</v>
      </c>
      <c r="K342" s="68" t="s">
        <v>794</v>
      </c>
      <c r="L342" s="68" t="s">
        <v>794</v>
      </c>
      <c r="M342" s="68" t="s">
        <v>294</v>
      </c>
      <c r="N342" s="68">
        <v>20.286720280000001</v>
      </c>
      <c r="O342" s="68">
        <v>92.882843019999996</v>
      </c>
      <c r="P342" s="634" t="s">
        <v>795</v>
      </c>
      <c r="Q342" s="68" t="s">
        <v>758</v>
      </c>
      <c r="R342" s="494"/>
      <c r="S342" s="400"/>
      <c r="T342" s="101">
        <v>42811</v>
      </c>
      <c r="U342" s="97"/>
      <c r="W342" s="399"/>
    </row>
    <row r="343" spans="1:23" s="68" customFormat="1" ht="14.25" customHeight="1">
      <c r="A343" s="400" t="s">
        <v>2648</v>
      </c>
      <c r="B343" s="490" t="s">
        <v>295</v>
      </c>
      <c r="C343" s="491" t="s">
        <v>424</v>
      </c>
      <c r="D343" s="431" t="s">
        <v>2712</v>
      </c>
      <c r="E343" s="68" t="s">
        <v>1366</v>
      </c>
      <c r="F343" s="396" t="s">
        <v>415</v>
      </c>
      <c r="G343" s="68" t="s">
        <v>1743</v>
      </c>
      <c r="H343" s="68" t="s">
        <v>40</v>
      </c>
      <c r="J343" s="68" t="s">
        <v>42</v>
      </c>
      <c r="K343" s="482" t="s">
        <v>42</v>
      </c>
      <c r="L343" s="482" t="s">
        <v>790</v>
      </c>
      <c r="M343" s="68" t="s">
        <v>791</v>
      </c>
      <c r="N343" s="68">
        <v>20.16846</v>
      </c>
      <c r="O343" s="68">
        <v>92.827427</v>
      </c>
      <c r="P343" s="68" t="s">
        <v>757</v>
      </c>
      <c r="Q343" s="68" t="s">
        <v>776</v>
      </c>
      <c r="R343" s="486">
        <v>1983</v>
      </c>
      <c r="S343" s="400">
        <v>11391</v>
      </c>
      <c r="T343" s="101"/>
      <c r="U343" s="97"/>
      <c r="V343" s="68" t="s">
        <v>424</v>
      </c>
      <c r="W343" s="399"/>
    </row>
    <row r="344" spans="1:23" s="68" customFormat="1" ht="14.25" customHeight="1">
      <c r="A344" s="400" t="s">
        <v>2648</v>
      </c>
      <c r="B344" s="490" t="s">
        <v>295</v>
      </c>
      <c r="C344" s="491" t="s">
        <v>423</v>
      </c>
      <c r="D344" s="431" t="s">
        <v>2712</v>
      </c>
      <c r="E344" s="396" t="s">
        <v>1365</v>
      </c>
      <c r="F344" s="396" t="s">
        <v>415</v>
      </c>
      <c r="G344" s="396" t="s">
        <v>1743</v>
      </c>
      <c r="H344" s="396" t="s">
        <v>40</v>
      </c>
      <c r="I344" s="396"/>
      <c r="J344" s="396" t="s">
        <v>42</v>
      </c>
      <c r="K344" s="68" t="s">
        <v>42</v>
      </c>
      <c r="L344" s="68" t="s">
        <v>768</v>
      </c>
      <c r="M344" s="68" t="s">
        <v>791</v>
      </c>
      <c r="N344" s="396">
        <v>20.167421999999998</v>
      </c>
      <c r="O344" s="396">
        <v>92.830074999999994</v>
      </c>
      <c r="P344" s="68" t="s">
        <v>769</v>
      </c>
      <c r="Q344" s="396"/>
      <c r="R344" s="486">
        <v>518</v>
      </c>
      <c r="S344" s="400">
        <v>2951</v>
      </c>
      <c r="T344" s="412"/>
      <c r="U344" s="401" t="s">
        <v>853</v>
      </c>
      <c r="V344" s="396" t="s">
        <v>854</v>
      </c>
      <c r="W344" s="399"/>
    </row>
    <row r="345" spans="1:23" s="68" customFormat="1" ht="14.25" customHeight="1">
      <c r="A345" s="400" t="s">
        <v>2648</v>
      </c>
      <c r="B345" s="490" t="s">
        <v>295</v>
      </c>
      <c r="C345" s="491" t="s">
        <v>298</v>
      </c>
      <c r="D345" s="485" t="s">
        <v>1656</v>
      </c>
      <c r="E345" s="396"/>
      <c r="F345" s="482"/>
      <c r="J345" s="68" t="s">
        <v>794</v>
      </c>
      <c r="K345" s="482" t="s">
        <v>794</v>
      </c>
      <c r="L345" s="482" t="s">
        <v>794</v>
      </c>
      <c r="M345" s="68" t="s">
        <v>791</v>
      </c>
      <c r="P345" s="482" t="s">
        <v>795</v>
      </c>
      <c r="Q345" s="68" t="s">
        <v>776</v>
      </c>
      <c r="R345" s="494"/>
      <c r="S345" s="487"/>
      <c r="T345" s="101"/>
      <c r="U345" s="97"/>
      <c r="V345" s="68" t="s">
        <v>298</v>
      </c>
      <c r="W345" s="399"/>
    </row>
    <row r="346" spans="1:23" s="68" customFormat="1" ht="14.25" customHeight="1">
      <c r="A346" s="400" t="s">
        <v>2648</v>
      </c>
      <c r="B346" s="484" t="s">
        <v>295</v>
      </c>
      <c r="C346" s="491" t="s">
        <v>2591</v>
      </c>
      <c r="D346" s="485"/>
      <c r="E346" s="396">
        <v>196202</v>
      </c>
      <c r="F346" s="482" t="s">
        <v>415</v>
      </c>
      <c r="J346" s="68" t="s">
        <v>794</v>
      </c>
      <c r="K346" s="396" t="s">
        <v>794</v>
      </c>
      <c r="L346" s="484" t="s">
        <v>794</v>
      </c>
      <c r="N346" s="68">
        <v>20.170469284057599</v>
      </c>
      <c r="O346" s="68">
        <v>92.8343505859375</v>
      </c>
      <c r="P346" s="68" t="s">
        <v>795</v>
      </c>
      <c r="R346" s="494"/>
      <c r="S346" s="400"/>
      <c r="T346" s="101"/>
      <c r="U346" s="97"/>
      <c r="W346" s="399"/>
    </row>
    <row r="347" spans="1:23" s="68" customFormat="1" ht="14.25" customHeight="1">
      <c r="A347" s="400" t="s">
        <v>2648</v>
      </c>
      <c r="B347" s="484" t="s">
        <v>295</v>
      </c>
      <c r="C347" s="484" t="s">
        <v>1743</v>
      </c>
      <c r="D347" s="431"/>
      <c r="E347" s="396">
        <v>196206</v>
      </c>
      <c r="F347" s="484" t="s">
        <v>415</v>
      </c>
      <c r="G347" s="396"/>
      <c r="H347" s="396"/>
      <c r="I347" s="396"/>
      <c r="J347" s="396" t="s">
        <v>794</v>
      </c>
      <c r="K347" s="484" t="s">
        <v>794</v>
      </c>
      <c r="L347" s="484" t="s">
        <v>794</v>
      </c>
      <c r="N347" s="396">
        <v>20.168970108032202</v>
      </c>
      <c r="O347" s="396">
        <v>92.826896667480497</v>
      </c>
      <c r="P347" s="68" t="s">
        <v>795</v>
      </c>
      <c r="Q347" s="396"/>
      <c r="R347" s="486"/>
      <c r="S347" s="400"/>
      <c r="T347" s="412"/>
      <c r="U347" s="401"/>
      <c r="V347" s="396"/>
      <c r="W347" s="399"/>
    </row>
    <row r="348" spans="1:23" s="68" customFormat="1" ht="14.25" customHeight="1">
      <c r="A348" s="400" t="s">
        <v>2648</v>
      </c>
      <c r="B348" s="490" t="s">
        <v>295</v>
      </c>
      <c r="C348" s="491" t="s">
        <v>1879</v>
      </c>
      <c r="D348" s="485" t="s">
        <v>1876</v>
      </c>
      <c r="E348" s="396"/>
      <c r="F348" s="396"/>
      <c r="G348" s="396"/>
      <c r="H348" s="396"/>
      <c r="I348" s="396"/>
      <c r="J348" s="396" t="s">
        <v>794</v>
      </c>
      <c r="K348" s="482" t="s">
        <v>794</v>
      </c>
      <c r="L348" s="68" t="s">
        <v>794</v>
      </c>
      <c r="N348" s="396"/>
      <c r="O348" s="396"/>
      <c r="P348" s="68" t="s">
        <v>795</v>
      </c>
      <c r="Q348" s="396"/>
      <c r="R348" s="494"/>
      <c r="S348" s="487"/>
      <c r="T348" s="412"/>
      <c r="U348" s="401"/>
      <c r="V348" s="396"/>
      <c r="W348" s="399"/>
    </row>
    <row r="349" spans="1:23" s="68" customFormat="1" ht="14.25" customHeight="1">
      <c r="A349" s="400" t="s">
        <v>2648</v>
      </c>
      <c r="B349" s="490" t="s">
        <v>295</v>
      </c>
      <c r="C349" s="491" t="s">
        <v>443</v>
      </c>
      <c r="D349" s="485" t="s">
        <v>1656</v>
      </c>
      <c r="E349" s="396">
        <v>196140</v>
      </c>
      <c r="J349" s="396" t="s">
        <v>794</v>
      </c>
      <c r="K349" s="482" t="s">
        <v>794</v>
      </c>
      <c r="L349" s="396" t="s">
        <v>794</v>
      </c>
      <c r="M349" s="68" t="s">
        <v>294</v>
      </c>
      <c r="N349" s="68">
        <v>20.218299999999999</v>
      </c>
      <c r="O349" s="68">
        <v>92.805999999999997</v>
      </c>
      <c r="P349" s="68" t="s">
        <v>795</v>
      </c>
      <c r="Q349" s="68" t="s">
        <v>776</v>
      </c>
      <c r="R349" s="494"/>
      <c r="S349" s="487"/>
      <c r="T349" s="101"/>
      <c r="U349" s="97"/>
      <c r="V349" s="68" t="s">
        <v>443</v>
      </c>
      <c r="W349" s="399"/>
    </row>
    <row r="350" spans="1:23" s="68" customFormat="1" ht="14.25" customHeight="1">
      <c r="A350" s="487" t="s">
        <v>2648</v>
      </c>
      <c r="B350" s="490" t="s">
        <v>295</v>
      </c>
      <c r="C350" s="491" t="s">
        <v>846</v>
      </c>
      <c r="D350" s="485" t="s">
        <v>1657</v>
      </c>
      <c r="E350" s="482" t="s">
        <v>1361</v>
      </c>
      <c r="F350" s="482" t="s">
        <v>1688</v>
      </c>
      <c r="G350" s="482">
        <v>0</v>
      </c>
      <c r="H350" s="482"/>
      <c r="I350" s="482"/>
      <c r="J350" s="482" t="s">
        <v>42</v>
      </c>
      <c r="K350" s="482" t="s">
        <v>42</v>
      </c>
      <c r="L350" s="482" t="s">
        <v>756</v>
      </c>
      <c r="M350" s="482"/>
      <c r="N350" s="482">
        <v>20.153129</v>
      </c>
      <c r="O350" s="482">
        <v>92.897177999999997</v>
      </c>
      <c r="P350" s="482" t="s">
        <v>757</v>
      </c>
      <c r="Q350" s="482"/>
      <c r="R350" s="494"/>
      <c r="S350" s="487"/>
      <c r="T350" s="506"/>
      <c r="U350" s="488"/>
      <c r="V350" s="482" t="s">
        <v>847</v>
      </c>
      <c r="W350" s="399"/>
    </row>
    <row r="351" spans="1:23" s="68" customFormat="1" ht="14.25" customHeight="1">
      <c r="A351" s="400" t="s">
        <v>2648</v>
      </c>
      <c r="B351" s="484" t="s">
        <v>295</v>
      </c>
      <c r="C351" s="484" t="s">
        <v>2584</v>
      </c>
      <c r="D351" s="431"/>
      <c r="E351" s="484">
        <v>196126</v>
      </c>
      <c r="F351" s="68" t="s">
        <v>2586</v>
      </c>
      <c r="J351" s="68" t="s">
        <v>794</v>
      </c>
      <c r="K351" s="484" t="s">
        <v>794</v>
      </c>
      <c r="L351" s="484" t="s">
        <v>794</v>
      </c>
      <c r="N351" s="68">
        <v>20.199499130248999</v>
      </c>
      <c r="O351" s="68">
        <v>92.834327697753906</v>
      </c>
      <c r="P351" s="68" t="s">
        <v>795</v>
      </c>
      <c r="R351" s="486"/>
      <c r="S351" s="400"/>
      <c r="T351" s="101"/>
      <c r="U351" s="97"/>
      <c r="W351" s="399"/>
    </row>
    <row r="352" spans="1:23" s="68" customFormat="1" ht="14.25" customHeight="1">
      <c r="A352" s="400" t="s">
        <v>2648</v>
      </c>
      <c r="B352" s="484" t="s">
        <v>295</v>
      </c>
      <c r="C352" s="484" t="s">
        <v>2585</v>
      </c>
      <c r="D352" s="431"/>
      <c r="E352" s="396">
        <v>196128</v>
      </c>
      <c r="F352" s="482" t="s">
        <v>2586</v>
      </c>
      <c r="J352" s="68" t="s">
        <v>794</v>
      </c>
      <c r="K352" s="484" t="s">
        <v>794</v>
      </c>
      <c r="L352" s="484" t="s">
        <v>794</v>
      </c>
      <c r="M352" s="396"/>
      <c r="N352" s="396">
        <v>20.194370269775401</v>
      </c>
      <c r="O352" s="396">
        <v>92.834007263183594</v>
      </c>
      <c r="P352" s="396" t="s">
        <v>795</v>
      </c>
      <c r="R352" s="486"/>
      <c r="S352" s="486"/>
      <c r="T352" s="101"/>
      <c r="U352" s="488"/>
      <c r="W352" s="399"/>
    </row>
    <row r="353" spans="1:23" s="68" customFormat="1" ht="14.25" customHeight="1">
      <c r="A353" s="400" t="s">
        <v>2648</v>
      </c>
      <c r="B353" s="490" t="s">
        <v>295</v>
      </c>
      <c r="C353" s="491" t="s">
        <v>435</v>
      </c>
      <c r="D353" s="398" t="s">
        <v>1656</v>
      </c>
      <c r="E353" s="484">
        <v>196128</v>
      </c>
      <c r="J353" s="68" t="s">
        <v>800</v>
      </c>
      <c r="K353" s="68" t="s">
        <v>794</v>
      </c>
      <c r="L353" s="68" t="s">
        <v>800</v>
      </c>
      <c r="M353" s="68" t="s">
        <v>791</v>
      </c>
      <c r="N353" s="68">
        <v>20.19437027</v>
      </c>
      <c r="O353" s="68">
        <v>92.834007260000007</v>
      </c>
      <c r="P353" s="68" t="s">
        <v>919</v>
      </c>
      <c r="Q353" s="68" t="s">
        <v>758</v>
      </c>
      <c r="R353" s="405"/>
      <c r="S353" s="400"/>
      <c r="T353" s="101">
        <v>42811</v>
      </c>
      <c r="U353" s="488"/>
      <c r="W353" s="399"/>
    </row>
    <row r="354" spans="1:23" s="68" customFormat="1" ht="14.25" customHeight="1">
      <c r="A354" s="400" t="s">
        <v>2648</v>
      </c>
      <c r="B354" s="490" t="s">
        <v>295</v>
      </c>
      <c r="C354" s="491" t="s">
        <v>429</v>
      </c>
      <c r="D354" s="485" t="s">
        <v>1876</v>
      </c>
      <c r="E354" s="482">
        <v>196197</v>
      </c>
      <c r="F354" s="482"/>
      <c r="J354" s="68" t="s">
        <v>794</v>
      </c>
      <c r="K354" s="482" t="s">
        <v>794</v>
      </c>
      <c r="L354" s="482" t="s">
        <v>794</v>
      </c>
      <c r="N354" s="68">
        <v>20.183790210000002</v>
      </c>
      <c r="O354" s="68">
        <v>92.864143369999994</v>
      </c>
      <c r="P354" s="482" t="s">
        <v>795</v>
      </c>
      <c r="R354" s="494"/>
      <c r="S354" s="487"/>
      <c r="T354" s="101"/>
      <c r="U354" s="488"/>
      <c r="W354" s="399"/>
    </row>
    <row r="355" spans="1:23" s="68" customFormat="1" ht="14.25" customHeight="1">
      <c r="A355" s="487" t="s">
        <v>2648</v>
      </c>
      <c r="B355" s="484" t="s">
        <v>295</v>
      </c>
      <c r="C355" s="484" t="s">
        <v>2578</v>
      </c>
      <c r="D355" s="431"/>
      <c r="E355" s="482">
        <v>196135</v>
      </c>
      <c r="F355" s="482"/>
      <c r="G355" s="482"/>
      <c r="H355" s="482"/>
      <c r="I355" s="482"/>
      <c r="J355" s="482" t="s">
        <v>794</v>
      </c>
      <c r="K355" s="482" t="s">
        <v>794</v>
      </c>
      <c r="L355" s="482" t="s">
        <v>794</v>
      </c>
      <c r="M355" s="482"/>
      <c r="N355" s="482">
        <v>20.191799163818398</v>
      </c>
      <c r="O355" s="482">
        <v>92.9066162109375</v>
      </c>
      <c r="P355" s="482" t="s">
        <v>795</v>
      </c>
      <c r="Q355" s="482"/>
      <c r="R355" s="486"/>
      <c r="S355" s="486"/>
      <c r="T355" s="506"/>
      <c r="U355" s="488"/>
      <c r="V355" s="482"/>
      <c r="W355" s="399"/>
    </row>
    <row r="356" spans="1:23" s="68" customFormat="1" ht="14.25" customHeight="1">
      <c r="A356" s="400" t="s">
        <v>2648</v>
      </c>
      <c r="B356" s="484" t="s">
        <v>295</v>
      </c>
      <c r="C356" s="484" t="s">
        <v>2579</v>
      </c>
      <c r="D356" s="431"/>
      <c r="E356" s="68">
        <v>196134</v>
      </c>
      <c r="F356" s="68" t="s">
        <v>2697</v>
      </c>
      <c r="J356" s="68" t="s">
        <v>794</v>
      </c>
      <c r="K356" s="396" t="s">
        <v>794</v>
      </c>
      <c r="L356" s="396" t="s">
        <v>794</v>
      </c>
      <c r="N356" s="68">
        <v>20.187860488891602</v>
      </c>
      <c r="O356" s="68">
        <v>92.903419494628906</v>
      </c>
      <c r="P356" s="68" t="s">
        <v>795</v>
      </c>
      <c r="R356" s="486"/>
      <c r="S356" s="400"/>
      <c r="T356" s="101"/>
      <c r="U356" s="97"/>
      <c r="W356" s="399"/>
    </row>
    <row r="357" spans="1:23" s="68" customFormat="1" ht="14.25" customHeight="1">
      <c r="A357" s="400" t="s">
        <v>2648</v>
      </c>
      <c r="B357" s="484" t="s">
        <v>295</v>
      </c>
      <c r="C357" s="484" t="s">
        <v>2006</v>
      </c>
      <c r="D357" s="431"/>
      <c r="E357" s="68">
        <v>196160</v>
      </c>
      <c r="F357" s="68" t="s">
        <v>2006</v>
      </c>
      <c r="J357" s="68" t="s">
        <v>794</v>
      </c>
      <c r="K357" s="484" t="s">
        <v>794</v>
      </c>
      <c r="L357" s="484" t="s">
        <v>794</v>
      </c>
      <c r="N357" s="68">
        <v>20.246250152587901</v>
      </c>
      <c r="O357" s="68">
        <v>92.822059631347699</v>
      </c>
      <c r="P357" s="396" t="s">
        <v>795</v>
      </c>
      <c r="R357" s="486"/>
      <c r="S357" s="400"/>
      <c r="T357" s="101"/>
      <c r="U357" s="97"/>
      <c r="V357" s="68" t="s">
        <v>2704</v>
      </c>
      <c r="W357" s="399"/>
    </row>
    <row r="358" spans="1:23" s="68" customFormat="1" ht="14.25" customHeight="1">
      <c r="A358" s="400" t="s">
        <v>2648</v>
      </c>
      <c r="B358" s="403" t="s">
        <v>295</v>
      </c>
      <c r="C358" s="404" t="s">
        <v>2285</v>
      </c>
      <c r="D358" s="431" t="s">
        <v>2712</v>
      </c>
      <c r="E358" s="68" t="s">
        <v>1373</v>
      </c>
      <c r="F358" s="68" t="s">
        <v>1663</v>
      </c>
      <c r="G358" s="68" t="s">
        <v>1663</v>
      </c>
      <c r="H358" s="68" t="s">
        <v>40</v>
      </c>
      <c r="J358" s="68" t="s">
        <v>42</v>
      </c>
      <c r="K358" s="68" t="s">
        <v>42</v>
      </c>
      <c r="L358" s="68" t="s">
        <v>790</v>
      </c>
      <c r="M358" s="68" t="s">
        <v>791</v>
      </c>
      <c r="N358" s="68">
        <v>20.181778000000001</v>
      </c>
      <c r="O358" s="68">
        <v>92.823166999999998</v>
      </c>
      <c r="P358" s="68" t="s">
        <v>757</v>
      </c>
      <c r="Q358" s="68" t="s">
        <v>776</v>
      </c>
      <c r="R358" s="486">
        <v>400</v>
      </c>
      <c r="S358" s="400">
        <v>2325</v>
      </c>
      <c r="T358" s="101"/>
      <c r="U358" s="97"/>
      <c r="V358" s="68" t="s">
        <v>862</v>
      </c>
      <c r="W358" s="399"/>
    </row>
    <row r="359" spans="1:23" s="68" customFormat="1" ht="14.25" customHeight="1">
      <c r="A359" s="400" t="s">
        <v>2648</v>
      </c>
      <c r="B359" s="490" t="s">
        <v>295</v>
      </c>
      <c r="C359" s="404" t="s">
        <v>2286</v>
      </c>
      <c r="D359" s="431" t="s">
        <v>2712</v>
      </c>
      <c r="E359" s="396" t="s">
        <v>1373</v>
      </c>
      <c r="F359" s="396" t="s">
        <v>1663</v>
      </c>
      <c r="G359" s="396">
        <v>0</v>
      </c>
      <c r="H359" s="396"/>
      <c r="I359" s="396"/>
      <c r="J359" s="396" t="s">
        <v>42</v>
      </c>
      <c r="K359" s="482" t="s">
        <v>42</v>
      </c>
      <c r="L359" s="482" t="s">
        <v>790</v>
      </c>
      <c r="M359" s="396" t="s">
        <v>791</v>
      </c>
      <c r="N359" s="396">
        <v>20.180194</v>
      </c>
      <c r="O359" s="396">
        <v>92.816638999999995</v>
      </c>
      <c r="P359" s="396" t="s">
        <v>757</v>
      </c>
      <c r="Q359" s="396" t="s">
        <v>776</v>
      </c>
      <c r="R359" s="486">
        <v>399</v>
      </c>
      <c r="S359" s="487">
        <v>2230</v>
      </c>
      <c r="T359" s="412">
        <v>43488</v>
      </c>
      <c r="U359" s="488"/>
      <c r="V359" s="396" t="s">
        <v>860</v>
      </c>
      <c r="W359" s="399"/>
    </row>
    <row r="360" spans="1:23" s="68" customFormat="1" ht="14.25" customHeight="1">
      <c r="A360" s="400" t="s">
        <v>2648</v>
      </c>
      <c r="B360" s="490" t="s">
        <v>295</v>
      </c>
      <c r="C360" s="404" t="s">
        <v>2593</v>
      </c>
      <c r="D360" s="485"/>
      <c r="E360" s="68">
        <v>196195</v>
      </c>
      <c r="J360" s="68" t="s">
        <v>794</v>
      </c>
      <c r="K360" s="482" t="s">
        <v>794</v>
      </c>
      <c r="L360" s="482" t="s">
        <v>794</v>
      </c>
      <c r="N360" s="68">
        <v>20.172649383544901</v>
      </c>
      <c r="O360" s="68">
        <v>92.874351501464801</v>
      </c>
      <c r="P360" s="482" t="s">
        <v>795</v>
      </c>
      <c r="R360" s="494"/>
      <c r="S360" s="487"/>
      <c r="T360" s="101"/>
      <c r="U360" s="488"/>
      <c r="W360" s="399"/>
    </row>
    <row r="361" spans="1:23" s="68" customFormat="1" ht="14.25" customHeight="1">
      <c r="A361" s="400" t="s">
        <v>2648</v>
      </c>
      <c r="B361" s="403" t="s">
        <v>295</v>
      </c>
      <c r="C361" s="404" t="s">
        <v>2594</v>
      </c>
      <c r="D361" s="485"/>
      <c r="J361" s="68" t="s">
        <v>794</v>
      </c>
      <c r="K361" s="68" t="s">
        <v>794</v>
      </c>
      <c r="L361" s="68" t="s">
        <v>794</v>
      </c>
      <c r="P361" s="68" t="s">
        <v>795</v>
      </c>
      <c r="R361" s="494"/>
      <c r="S361" s="400"/>
      <c r="T361" s="101"/>
      <c r="U361" s="97"/>
      <c r="W361" s="399"/>
    </row>
    <row r="362" spans="1:23" s="68" customFormat="1" ht="14.25" customHeight="1">
      <c r="A362" s="400" t="s">
        <v>2648</v>
      </c>
      <c r="B362" s="403" t="s">
        <v>295</v>
      </c>
      <c r="C362" s="404" t="s">
        <v>2002</v>
      </c>
      <c r="D362" s="485"/>
      <c r="E362" s="68">
        <v>196180</v>
      </c>
      <c r="F362" s="68" t="s">
        <v>2003</v>
      </c>
      <c r="J362" s="68" t="s">
        <v>794</v>
      </c>
      <c r="K362" s="68" t="s">
        <v>794</v>
      </c>
      <c r="L362" s="68" t="s">
        <v>794</v>
      </c>
      <c r="M362" s="68" t="s">
        <v>1906</v>
      </c>
      <c r="N362" s="68">
        <v>20.2315197</v>
      </c>
      <c r="O362" s="68">
        <v>92.876129149999997</v>
      </c>
      <c r="P362" s="68" t="s">
        <v>795</v>
      </c>
      <c r="R362" s="494"/>
      <c r="S362" s="400"/>
      <c r="T362" s="101">
        <v>43294</v>
      </c>
      <c r="U362" s="97"/>
      <c r="W362" s="399"/>
    </row>
    <row r="363" spans="1:23" s="68" customFormat="1" ht="14.25" customHeight="1">
      <c r="A363" s="400" t="s">
        <v>2648</v>
      </c>
      <c r="B363" s="484" t="s">
        <v>295</v>
      </c>
      <c r="C363" s="484" t="s">
        <v>2583</v>
      </c>
      <c r="D363" s="431"/>
      <c r="E363" s="396">
        <v>196169</v>
      </c>
      <c r="F363" s="396" t="s">
        <v>2583</v>
      </c>
      <c r="G363" s="396"/>
      <c r="H363" s="396"/>
      <c r="I363" s="396"/>
      <c r="J363" s="396" t="s">
        <v>794</v>
      </c>
      <c r="K363" s="396" t="s">
        <v>794</v>
      </c>
      <c r="L363" s="396" t="s">
        <v>794</v>
      </c>
      <c r="M363" s="396"/>
      <c r="N363" s="396">
        <v>20.2375602722168</v>
      </c>
      <c r="O363" s="396">
        <v>92.861152648925795</v>
      </c>
      <c r="P363" s="396" t="s">
        <v>795</v>
      </c>
      <c r="Q363" s="396"/>
      <c r="R363" s="486"/>
      <c r="S363" s="400"/>
      <c r="T363" s="412"/>
      <c r="U363" s="401"/>
      <c r="V363" s="396"/>
      <c r="W363" s="399"/>
    </row>
    <row r="364" spans="1:23" s="68" customFormat="1" ht="14.25" customHeight="1">
      <c r="A364" s="400" t="s">
        <v>2648</v>
      </c>
      <c r="B364" s="484" t="s">
        <v>295</v>
      </c>
      <c r="C364" s="484" t="s">
        <v>2582</v>
      </c>
      <c r="D364" s="431"/>
      <c r="E364" s="68">
        <v>196170</v>
      </c>
      <c r="F364" s="482" t="s">
        <v>2583</v>
      </c>
      <c r="J364" s="68" t="s">
        <v>794</v>
      </c>
      <c r="K364" s="482" t="s">
        <v>794</v>
      </c>
      <c r="L364" s="482" t="s">
        <v>794</v>
      </c>
      <c r="N364" s="68">
        <v>20.248519897460898</v>
      </c>
      <c r="O364" s="68">
        <v>92.8621826171875</v>
      </c>
      <c r="P364" s="68" t="s">
        <v>795</v>
      </c>
      <c r="R364" s="486"/>
      <c r="S364" s="487"/>
      <c r="T364" s="101"/>
      <c r="U364" s="97"/>
      <c r="W364" s="399"/>
    </row>
    <row r="365" spans="1:23" s="68" customFormat="1" ht="14.25" customHeight="1">
      <c r="A365" s="400" t="s">
        <v>2648</v>
      </c>
      <c r="B365" s="484" t="s">
        <v>295</v>
      </c>
      <c r="C365" s="484" t="s">
        <v>2581</v>
      </c>
      <c r="D365" s="431"/>
      <c r="E365" s="68">
        <v>196166</v>
      </c>
      <c r="F365" s="482" t="s">
        <v>454</v>
      </c>
      <c r="J365" s="68" t="s">
        <v>794</v>
      </c>
      <c r="K365" s="482" t="s">
        <v>794</v>
      </c>
      <c r="L365" s="482" t="s">
        <v>794</v>
      </c>
      <c r="N365" s="68">
        <v>20.2630290985107</v>
      </c>
      <c r="O365" s="68">
        <v>92.858856201171903</v>
      </c>
      <c r="P365" s="68" t="s">
        <v>795</v>
      </c>
      <c r="R365" s="486"/>
      <c r="S365" s="487"/>
      <c r="T365" s="101"/>
      <c r="U365" s="97"/>
      <c r="W365" s="399"/>
    </row>
    <row r="366" spans="1:23" s="68" customFormat="1" ht="14.25" customHeight="1">
      <c r="A366" s="400" t="s">
        <v>2648</v>
      </c>
      <c r="B366" s="490" t="s">
        <v>295</v>
      </c>
      <c r="C366" s="491" t="s">
        <v>450</v>
      </c>
      <c r="D366" s="485" t="s">
        <v>1656</v>
      </c>
      <c r="E366" s="68">
        <v>196137</v>
      </c>
      <c r="F366" s="484" t="s">
        <v>450</v>
      </c>
      <c r="J366" s="68" t="s">
        <v>794</v>
      </c>
      <c r="K366" s="482" t="s">
        <v>794</v>
      </c>
      <c r="L366" s="482" t="s">
        <v>794</v>
      </c>
      <c r="M366" s="68" t="s">
        <v>294</v>
      </c>
      <c r="N366" s="68">
        <v>20.245159149999999</v>
      </c>
      <c r="O366" s="68">
        <v>92.807418819999995</v>
      </c>
      <c r="P366" s="68" t="s">
        <v>795</v>
      </c>
      <c r="Q366" s="68" t="s">
        <v>776</v>
      </c>
      <c r="R366" s="494"/>
      <c r="S366" s="487"/>
      <c r="T366" s="101"/>
      <c r="U366" s="97"/>
      <c r="V366" s="68" t="s">
        <v>450</v>
      </c>
      <c r="W366" s="399"/>
    </row>
    <row r="367" spans="1:23" s="68" customFormat="1" ht="14.25" customHeight="1">
      <c r="A367" s="400" t="s">
        <v>2648</v>
      </c>
      <c r="B367" s="403" t="s">
        <v>295</v>
      </c>
      <c r="C367" s="404" t="s">
        <v>454</v>
      </c>
      <c r="D367" s="398" t="s">
        <v>1656</v>
      </c>
      <c r="E367" s="396">
        <v>196163</v>
      </c>
      <c r="F367" s="396"/>
      <c r="G367" s="396"/>
      <c r="H367" s="396"/>
      <c r="J367" s="68" t="s">
        <v>800</v>
      </c>
      <c r="K367" s="68" t="s">
        <v>794</v>
      </c>
      <c r="L367" s="396" t="s">
        <v>800</v>
      </c>
      <c r="M367" s="68" t="s">
        <v>294</v>
      </c>
      <c r="N367" s="396">
        <v>20.27263069</v>
      </c>
      <c r="O367" s="396">
        <v>92.843261720000001</v>
      </c>
      <c r="P367" s="396" t="s">
        <v>919</v>
      </c>
      <c r="Q367" s="68" t="s">
        <v>758</v>
      </c>
      <c r="R367" s="405"/>
      <c r="S367" s="400"/>
      <c r="T367" s="101">
        <v>42811</v>
      </c>
      <c r="U367" s="401"/>
      <c r="V367" s="396"/>
      <c r="W367" s="399"/>
    </row>
    <row r="368" spans="1:23" s="68" customFormat="1" ht="14.25" customHeight="1">
      <c r="A368" s="400" t="s">
        <v>2648</v>
      </c>
      <c r="B368" s="484" t="s">
        <v>295</v>
      </c>
      <c r="C368" s="484" t="s">
        <v>2586</v>
      </c>
      <c r="D368" s="431"/>
      <c r="E368" s="68">
        <v>196125</v>
      </c>
      <c r="F368" s="68" t="s">
        <v>2586</v>
      </c>
      <c r="J368" s="68" t="s">
        <v>794</v>
      </c>
      <c r="K368" s="484" t="s">
        <v>794</v>
      </c>
      <c r="L368" s="68" t="s">
        <v>794</v>
      </c>
      <c r="N368" s="68">
        <v>20.2105598449707</v>
      </c>
      <c r="O368" s="68">
        <v>92.836456298828097</v>
      </c>
      <c r="P368" s="68" t="s">
        <v>795</v>
      </c>
      <c r="R368" s="486"/>
      <c r="S368" s="486"/>
      <c r="T368" s="101"/>
      <c r="U368" s="97"/>
      <c r="W368" s="399"/>
    </row>
    <row r="369" spans="1:23" s="68" customFormat="1" ht="14.25" customHeight="1">
      <c r="A369" s="656" t="s">
        <v>2648</v>
      </c>
      <c r="B369" s="669" t="s">
        <v>295</v>
      </c>
      <c r="C369" s="668" t="s">
        <v>3108</v>
      </c>
      <c r="D369" s="485"/>
      <c r="E369" s="659"/>
      <c r="F369" s="659"/>
      <c r="G369" s="659"/>
      <c r="H369" s="659"/>
      <c r="I369" s="659"/>
      <c r="J369" s="659" t="s">
        <v>794</v>
      </c>
      <c r="K369" s="659" t="s">
        <v>794</v>
      </c>
      <c r="L369" s="659" t="s">
        <v>794</v>
      </c>
      <c r="M369" s="659"/>
      <c r="N369" s="659"/>
      <c r="O369" s="659"/>
      <c r="P369" s="659"/>
      <c r="Q369" s="659" t="s">
        <v>3102</v>
      </c>
      <c r="R369" s="660"/>
      <c r="S369" s="656"/>
      <c r="T369" s="661">
        <v>43843</v>
      </c>
      <c r="U369" s="660"/>
      <c r="V369" s="659"/>
      <c r="W369" s="399"/>
    </row>
    <row r="370" spans="1:23" s="68" customFormat="1" ht="14.25" customHeight="1">
      <c r="A370" s="400" t="s">
        <v>2648</v>
      </c>
      <c r="B370" s="403" t="s">
        <v>295</v>
      </c>
      <c r="C370" s="404" t="s">
        <v>431</v>
      </c>
      <c r="D370" s="431" t="s">
        <v>2712</v>
      </c>
      <c r="E370" s="68" t="s">
        <v>1376</v>
      </c>
      <c r="F370" s="68" t="s">
        <v>415</v>
      </c>
      <c r="G370" s="68" t="s">
        <v>415</v>
      </c>
      <c r="H370" s="68" t="s">
        <v>40</v>
      </c>
      <c r="J370" s="396" t="s">
        <v>42</v>
      </c>
      <c r="K370" s="396" t="s">
        <v>42</v>
      </c>
      <c r="L370" s="68" t="s">
        <v>790</v>
      </c>
      <c r="M370" s="68" t="s">
        <v>791</v>
      </c>
      <c r="N370" s="68">
        <v>20.185917</v>
      </c>
      <c r="O370" s="68">
        <v>92.831000000000003</v>
      </c>
      <c r="P370" s="68" t="s">
        <v>757</v>
      </c>
      <c r="Q370" s="68" t="s">
        <v>776</v>
      </c>
      <c r="R370" s="486">
        <v>621</v>
      </c>
      <c r="S370" s="400">
        <v>3379</v>
      </c>
      <c r="T370" s="101"/>
      <c r="U370" s="97"/>
      <c r="V370" s="68" t="s">
        <v>865</v>
      </c>
      <c r="W370" s="399"/>
    </row>
    <row r="371" spans="1:23" s="68" customFormat="1" ht="14.25" customHeight="1">
      <c r="A371" s="400" t="s">
        <v>2648</v>
      </c>
      <c r="B371" s="490" t="s">
        <v>295</v>
      </c>
      <c r="C371" s="491" t="s">
        <v>447</v>
      </c>
      <c r="D371" s="485" t="s">
        <v>1656</v>
      </c>
      <c r="E371" s="396">
        <v>196139</v>
      </c>
      <c r="F371" s="482"/>
      <c r="G371" s="396"/>
      <c r="H371" s="396"/>
      <c r="J371" s="68" t="s">
        <v>794</v>
      </c>
      <c r="K371" s="482" t="s">
        <v>794</v>
      </c>
      <c r="L371" s="482" t="s">
        <v>794</v>
      </c>
      <c r="M371" s="68" t="s">
        <v>791</v>
      </c>
      <c r="N371" s="396">
        <v>20.2302</v>
      </c>
      <c r="O371" s="396">
        <v>92.817999999999998</v>
      </c>
      <c r="P371" s="396" t="s">
        <v>795</v>
      </c>
      <c r="Q371" s="68" t="s">
        <v>776</v>
      </c>
      <c r="R371" s="494"/>
      <c r="S371" s="487"/>
      <c r="T371" s="101"/>
      <c r="U371" s="401"/>
      <c r="V371" s="396" t="s">
        <v>447</v>
      </c>
      <c r="W371" s="399"/>
    </row>
    <row r="372" spans="1:23" s="68" customFormat="1" ht="14.25" customHeight="1">
      <c r="A372" s="400" t="s">
        <v>2648</v>
      </c>
      <c r="B372" s="490" t="s">
        <v>295</v>
      </c>
      <c r="C372" s="491" t="s">
        <v>1882</v>
      </c>
      <c r="D372" s="485" t="s">
        <v>1876</v>
      </c>
      <c r="E372" s="396"/>
      <c r="F372" s="396"/>
      <c r="G372" s="396"/>
      <c r="H372" s="396"/>
      <c r="I372" s="396"/>
      <c r="J372" s="396" t="s">
        <v>794</v>
      </c>
      <c r="K372" s="482" t="s">
        <v>794</v>
      </c>
      <c r="L372" s="482" t="s">
        <v>794</v>
      </c>
      <c r="M372" s="396"/>
      <c r="N372" s="396"/>
      <c r="O372" s="396"/>
      <c r="P372" s="396" t="s">
        <v>795</v>
      </c>
      <c r="Q372" s="396"/>
      <c r="R372" s="494"/>
      <c r="S372" s="487"/>
      <c r="T372" s="412"/>
      <c r="U372" s="401"/>
      <c r="V372" s="396"/>
      <c r="W372" s="399"/>
    </row>
    <row r="373" spans="1:23" s="68" customFormat="1" ht="14.25" customHeight="1">
      <c r="A373" s="400" t="s">
        <v>2648</v>
      </c>
      <c r="B373" s="490" t="s">
        <v>295</v>
      </c>
      <c r="C373" s="491" t="s">
        <v>2951</v>
      </c>
      <c r="D373" s="485"/>
      <c r="E373" s="482" t="s">
        <v>2958</v>
      </c>
      <c r="F373" s="482"/>
      <c r="G373" s="396"/>
      <c r="H373" s="396"/>
      <c r="I373" s="396"/>
      <c r="J373" s="396" t="s">
        <v>794</v>
      </c>
      <c r="K373" s="482" t="s">
        <v>794</v>
      </c>
      <c r="L373" s="482" t="s">
        <v>794</v>
      </c>
      <c r="M373" s="396"/>
      <c r="N373" s="482"/>
      <c r="O373" s="482"/>
      <c r="P373" s="396" t="s">
        <v>795</v>
      </c>
      <c r="Q373" s="396" t="s">
        <v>2961</v>
      </c>
      <c r="R373" s="494"/>
      <c r="S373" s="487"/>
      <c r="T373" s="412">
        <v>43768</v>
      </c>
      <c r="U373" s="494"/>
      <c r="V373" s="396"/>
      <c r="W373" s="399"/>
    </row>
    <row r="374" spans="1:23" s="68" customFormat="1" ht="14.25" customHeight="1">
      <c r="A374" s="400" t="s">
        <v>2648</v>
      </c>
      <c r="B374" s="490" t="s">
        <v>295</v>
      </c>
      <c r="C374" s="491" t="s">
        <v>2949</v>
      </c>
      <c r="D374" s="485"/>
      <c r="E374" s="482">
        <v>196153</v>
      </c>
      <c r="F374" s="482" t="s">
        <v>2949</v>
      </c>
      <c r="G374" s="396"/>
      <c r="H374" s="396"/>
      <c r="J374" s="68" t="s">
        <v>794</v>
      </c>
      <c r="K374" s="482" t="s">
        <v>794</v>
      </c>
      <c r="L374" s="482" t="s">
        <v>794</v>
      </c>
      <c r="N374" s="396">
        <v>20.219699859619102</v>
      </c>
      <c r="O374" s="396">
        <v>92.851379394531307</v>
      </c>
      <c r="P374" s="396" t="s">
        <v>795</v>
      </c>
      <c r="Q374" s="68" t="s">
        <v>2961</v>
      </c>
      <c r="R374" s="494"/>
      <c r="S374" s="487"/>
      <c r="T374" s="101">
        <v>43768</v>
      </c>
      <c r="U374" s="494"/>
      <c r="V374" s="396"/>
      <c r="W374" s="399"/>
    </row>
    <row r="375" spans="1:23" s="68" customFormat="1" ht="14.25" customHeight="1">
      <c r="A375" s="400" t="s">
        <v>2648</v>
      </c>
      <c r="B375" s="490" t="s">
        <v>295</v>
      </c>
      <c r="C375" s="491" t="s">
        <v>1880</v>
      </c>
      <c r="D375" s="485" t="s">
        <v>1876</v>
      </c>
      <c r="E375" s="482"/>
      <c r="F375" s="482"/>
      <c r="G375" s="396"/>
      <c r="H375" s="396"/>
      <c r="J375" s="68" t="s">
        <v>794</v>
      </c>
      <c r="K375" s="482" t="s">
        <v>794</v>
      </c>
      <c r="L375" s="482" t="s">
        <v>794</v>
      </c>
      <c r="N375" s="396"/>
      <c r="O375" s="396"/>
      <c r="P375" s="396" t="s">
        <v>795</v>
      </c>
      <c r="R375" s="494"/>
      <c r="S375" s="487"/>
      <c r="T375" s="101"/>
      <c r="U375" s="401"/>
      <c r="V375" s="396"/>
      <c r="W375" s="399"/>
    </row>
    <row r="376" spans="1:23" s="68" customFormat="1" ht="14.25" customHeight="1">
      <c r="A376" s="400" t="s">
        <v>2648</v>
      </c>
      <c r="B376" s="490" t="s">
        <v>295</v>
      </c>
      <c r="C376" s="491" t="s">
        <v>2009</v>
      </c>
      <c r="D376" s="485"/>
      <c r="J376" s="482" t="s">
        <v>794</v>
      </c>
      <c r="K376" s="482" t="s">
        <v>794</v>
      </c>
      <c r="L376" s="482" t="s">
        <v>794</v>
      </c>
      <c r="N376" s="396"/>
      <c r="O376" s="396"/>
      <c r="P376" s="482" t="s">
        <v>795</v>
      </c>
      <c r="R376" s="494"/>
      <c r="S376" s="487"/>
      <c r="T376" s="101">
        <v>43297</v>
      </c>
      <c r="U376" s="97"/>
      <c r="W376" s="399"/>
    </row>
    <row r="377" spans="1:23" s="68" customFormat="1" ht="14.25" customHeight="1">
      <c r="A377" s="400" t="s">
        <v>2648</v>
      </c>
      <c r="B377" s="403" t="s">
        <v>295</v>
      </c>
      <c r="C377" s="404" t="s">
        <v>442</v>
      </c>
      <c r="D377" s="485" t="s">
        <v>1656</v>
      </c>
      <c r="E377" s="68">
        <v>196144</v>
      </c>
      <c r="J377" s="68" t="s">
        <v>794</v>
      </c>
      <c r="K377" s="68" t="s">
        <v>794</v>
      </c>
      <c r="L377" s="68" t="s">
        <v>794</v>
      </c>
      <c r="M377" s="68" t="s">
        <v>791</v>
      </c>
      <c r="N377" s="68">
        <v>20.212700000000002</v>
      </c>
      <c r="O377" s="68">
        <v>92.820800000000006</v>
      </c>
      <c r="P377" s="396" t="s">
        <v>795</v>
      </c>
      <c r="Q377" s="68" t="s">
        <v>776</v>
      </c>
      <c r="R377" s="494"/>
      <c r="S377" s="400"/>
      <c r="T377" s="101"/>
      <c r="U377" s="97"/>
      <c r="V377" s="68" t="s">
        <v>442</v>
      </c>
      <c r="W377" s="399"/>
    </row>
    <row r="378" spans="1:23" s="68" customFormat="1" ht="14.25" customHeight="1">
      <c r="A378" s="400" t="s">
        <v>2648</v>
      </c>
      <c r="B378" s="490" t="s">
        <v>295</v>
      </c>
      <c r="C378" s="491" t="s">
        <v>871</v>
      </c>
      <c r="D378" s="485" t="s">
        <v>1656</v>
      </c>
      <c r="E378" s="396">
        <v>196145</v>
      </c>
      <c r="F378" s="396"/>
      <c r="G378" s="396"/>
      <c r="H378" s="396"/>
      <c r="I378" s="396"/>
      <c r="J378" s="396" t="s">
        <v>794</v>
      </c>
      <c r="K378" s="482" t="s">
        <v>794</v>
      </c>
      <c r="L378" s="482" t="s">
        <v>794</v>
      </c>
      <c r="M378" s="396" t="s">
        <v>791</v>
      </c>
      <c r="N378" s="396">
        <v>20.219509120000001</v>
      </c>
      <c r="O378" s="396">
        <v>92.811332699999994</v>
      </c>
      <c r="P378" s="396" t="s">
        <v>795</v>
      </c>
      <c r="Q378" s="396" t="s">
        <v>758</v>
      </c>
      <c r="R378" s="494"/>
      <c r="S378" s="487"/>
      <c r="T378" s="412">
        <v>42811</v>
      </c>
      <c r="U378" s="401"/>
      <c r="V378" s="396"/>
      <c r="W378" s="399"/>
    </row>
    <row r="379" spans="1:23" s="68" customFormat="1" ht="14.25" customHeight="1">
      <c r="A379" s="400" t="s">
        <v>2648</v>
      </c>
      <c r="B379" s="490" t="s">
        <v>295</v>
      </c>
      <c r="C379" s="404" t="s">
        <v>451</v>
      </c>
      <c r="D379" s="485" t="s">
        <v>1656</v>
      </c>
      <c r="E379" s="396">
        <v>196178</v>
      </c>
      <c r="F379" s="396"/>
      <c r="G379" s="396"/>
      <c r="H379" s="396"/>
      <c r="I379" s="396"/>
      <c r="J379" s="396" t="s">
        <v>800</v>
      </c>
      <c r="K379" s="482" t="s">
        <v>794</v>
      </c>
      <c r="L379" s="482" t="s">
        <v>800</v>
      </c>
      <c r="M379" s="396" t="s">
        <v>294</v>
      </c>
      <c r="N379" s="396">
        <v>20.26078987</v>
      </c>
      <c r="O379" s="396">
        <v>92.878593440000003</v>
      </c>
      <c r="P379" s="482" t="s">
        <v>919</v>
      </c>
      <c r="Q379" s="396" t="s">
        <v>758</v>
      </c>
      <c r="R379" s="494"/>
      <c r="S379" s="487"/>
      <c r="T379" s="412">
        <v>42811</v>
      </c>
      <c r="U379" s="401"/>
      <c r="V379" s="396"/>
      <c r="W379" s="399"/>
    </row>
    <row r="380" spans="1:23" s="68" customFormat="1" ht="14.25" customHeight="1">
      <c r="A380" s="400" t="s">
        <v>2648</v>
      </c>
      <c r="B380" s="490" t="s">
        <v>295</v>
      </c>
      <c r="C380" s="491" t="s">
        <v>441</v>
      </c>
      <c r="D380" s="431" t="s">
        <v>2712</v>
      </c>
      <c r="E380" s="482" t="s">
        <v>1379</v>
      </c>
      <c r="F380" s="482" t="s">
        <v>1745</v>
      </c>
      <c r="G380" s="396" t="s">
        <v>440</v>
      </c>
      <c r="H380" s="396" t="s">
        <v>40</v>
      </c>
      <c r="I380" s="396"/>
      <c r="J380" s="396" t="s">
        <v>42</v>
      </c>
      <c r="K380" s="482" t="s">
        <v>42</v>
      </c>
      <c r="L380" s="482" t="s">
        <v>790</v>
      </c>
      <c r="M380" s="396" t="s">
        <v>791</v>
      </c>
      <c r="N380" s="396">
        <v>20.206778</v>
      </c>
      <c r="O380" s="396">
        <v>92.774193999999994</v>
      </c>
      <c r="P380" s="482" t="s">
        <v>757</v>
      </c>
      <c r="Q380" s="396" t="s">
        <v>776</v>
      </c>
      <c r="R380" s="486">
        <v>729</v>
      </c>
      <c r="S380" s="400">
        <v>4175</v>
      </c>
      <c r="T380" s="412"/>
      <c r="U380" s="401"/>
      <c r="V380" s="396" t="s">
        <v>441</v>
      </c>
      <c r="W380" s="399"/>
    </row>
    <row r="381" spans="1:23" s="68" customFormat="1" ht="14.25" customHeight="1">
      <c r="A381" s="400" t="s">
        <v>2648</v>
      </c>
      <c r="B381" s="490" t="s">
        <v>295</v>
      </c>
      <c r="C381" s="491" t="s">
        <v>436</v>
      </c>
      <c r="D381" s="485" t="s">
        <v>1656</v>
      </c>
      <c r="E381" s="396">
        <v>196156</v>
      </c>
      <c r="F381" s="396" t="s">
        <v>1745</v>
      </c>
      <c r="G381" s="396"/>
      <c r="H381" s="396"/>
      <c r="I381" s="396"/>
      <c r="J381" s="396" t="s">
        <v>794</v>
      </c>
      <c r="K381" s="482" t="s">
        <v>794</v>
      </c>
      <c r="L381" s="482" t="s">
        <v>794</v>
      </c>
      <c r="M381" s="396" t="s">
        <v>791</v>
      </c>
      <c r="N381" s="396">
        <v>20.197549819999999</v>
      </c>
      <c r="O381" s="396">
        <v>92.785682679999994</v>
      </c>
      <c r="P381" s="396" t="s">
        <v>795</v>
      </c>
      <c r="Q381" s="396" t="s">
        <v>776</v>
      </c>
      <c r="R381" s="494"/>
      <c r="S381" s="487"/>
      <c r="T381" s="412"/>
      <c r="U381" s="401"/>
      <c r="V381" s="396" t="s">
        <v>436</v>
      </c>
      <c r="W381" s="399"/>
    </row>
    <row r="382" spans="1:23" s="68" customFormat="1" ht="14.25" customHeight="1">
      <c r="A382" s="400" t="s">
        <v>2648</v>
      </c>
      <c r="B382" s="403" t="s">
        <v>295</v>
      </c>
      <c r="C382" s="404" t="s">
        <v>432</v>
      </c>
      <c r="D382" s="431" t="s">
        <v>2712</v>
      </c>
      <c r="E382" s="396" t="s">
        <v>1377</v>
      </c>
      <c r="F382" s="396" t="s">
        <v>1663</v>
      </c>
      <c r="G382" s="396" t="s">
        <v>1689</v>
      </c>
      <c r="H382" s="396" t="s">
        <v>40</v>
      </c>
      <c r="I382" s="396"/>
      <c r="J382" s="396" t="s">
        <v>42</v>
      </c>
      <c r="K382" s="396" t="s">
        <v>42</v>
      </c>
      <c r="L382" s="396" t="s">
        <v>790</v>
      </c>
      <c r="M382" s="396" t="s">
        <v>791</v>
      </c>
      <c r="N382" s="396">
        <v>20.18994</v>
      </c>
      <c r="O382" s="396">
        <v>92.798880999999994</v>
      </c>
      <c r="P382" s="396" t="s">
        <v>757</v>
      </c>
      <c r="Q382" s="396" t="s">
        <v>776</v>
      </c>
      <c r="R382" s="486">
        <v>2728</v>
      </c>
      <c r="S382" s="400">
        <v>13812</v>
      </c>
      <c r="T382" s="412"/>
      <c r="U382" s="401"/>
      <c r="V382" s="396" t="s">
        <v>866</v>
      </c>
      <c r="W382" s="399"/>
    </row>
    <row r="383" spans="1:23" s="68" customFormat="1" ht="14.25" customHeight="1">
      <c r="A383" s="487" t="s">
        <v>2648</v>
      </c>
      <c r="B383" s="490" t="s">
        <v>295</v>
      </c>
      <c r="C383" s="491" t="s">
        <v>430</v>
      </c>
      <c r="D383" s="431" t="s">
        <v>2712</v>
      </c>
      <c r="E383" s="482" t="s">
        <v>1375</v>
      </c>
      <c r="F383" s="482" t="s">
        <v>1663</v>
      </c>
      <c r="G383" s="482" t="s">
        <v>1689</v>
      </c>
      <c r="H383" s="482" t="s">
        <v>40</v>
      </c>
      <c r="I383" s="482"/>
      <c r="J383" s="482" t="s">
        <v>42</v>
      </c>
      <c r="K383" s="482" t="s">
        <v>42</v>
      </c>
      <c r="L383" s="482" t="s">
        <v>790</v>
      </c>
      <c r="M383" s="482" t="s">
        <v>791</v>
      </c>
      <c r="N383" s="482">
        <v>20.185092000000001</v>
      </c>
      <c r="O383" s="482">
        <v>92.802295999999998</v>
      </c>
      <c r="P383" s="482" t="s">
        <v>757</v>
      </c>
      <c r="Q383" s="482" t="s">
        <v>776</v>
      </c>
      <c r="R383" s="486">
        <v>2259</v>
      </c>
      <c r="S383" s="487">
        <v>11375</v>
      </c>
      <c r="T383" s="506"/>
      <c r="U383" s="488"/>
      <c r="V383" s="482" t="s">
        <v>864</v>
      </c>
      <c r="W383" s="399"/>
    </row>
    <row r="384" spans="1:23" s="68" customFormat="1" ht="14.25" customHeight="1">
      <c r="A384" s="400" t="s">
        <v>2648</v>
      </c>
      <c r="B384" s="490" t="s">
        <v>295</v>
      </c>
      <c r="C384" s="491" t="s">
        <v>440</v>
      </c>
      <c r="D384" s="485" t="s">
        <v>1656</v>
      </c>
      <c r="E384" s="482">
        <v>196158</v>
      </c>
      <c r="F384" s="482"/>
      <c r="J384" s="68" t="s">
        <v>800</v>
      </c>
      <c r="K384" s="482" t="s">
        <v>794</v>
      </c>
      <c r="L384" s="482" t="s">
        <v>800</v>
      </c>
      <c r="M384" s="68" t="s">
        <v>791</v>
      </c>
      <c r="N384" s="68">
        <v>20.2043705</v>
      </c>
      <c r="O384" s="482">
        <v>92.780357359999996</v>
      </c>
      <c r="P384" s="482" t="s">
        <v>919</v>
      </c>
      <c r="Q384" s="68" t="s">
        <v>758</v>
      </c>
      <c r="R384" s="494"/>
      <c r="S384" s="487"/>
      <c r="T384" s="101">
        <v>42811</v>
      </c>
      <c r="U384" s="488"/>
      <c r="W384" s="399"/>
    </row>
    <row r="385" spans="1:23" s="68" customFormat="1" ht="14.25" customHeight="1">
      <c r="A385" s="400" t="s">
        <v>2648</v>
      </c>
      <c r="B385" s="484" t="s">
        <v>295</v>
      </c>
      <c r="C385" s="484" t="s">
        <v>2588</v>
      </c>
      <c r="D385" s="431"/>
      <c r="E385" s="68">
        <v>220593</v>
      </c>
      <c r="F385" s="484" t="s">
        <v>450</v>
      </c>
      <c r="J385" s="68" t="s">
        <v>794</v>
      </c>
      <c r="K385" s="484" t="s">
        <v>794</v>
      </c>
      <c r="L385" s="484" t="s">
        <v>794</v>
      </c>
      <c r="N385" s="68">
        <v>20.261358000000001</v>
      </c>
      <c r="O385" s="68">
        <v>92.805672999999999</v>
      </c>
      <c r="P385" s="68" t="s">
        <v>795</v>
      </c>
      <c r="R385" s="486"/>
      <c r="S385" s="486"/>
      <c r="T385" s="101"/>
      <c r="U385" s="488"/>
      <c r="W385" s="399"/>
    </row>
    <row r="386" spans="1:23" s="68" customFormat="1" ht="14.25" customHeight="1">
      <c r="A386" s="400" t="s">
        <v>2648</v>
      </c>
      <c r="B386" s="403" t="s">
        <v>295</v>
      </c>
      <c r="C386" s="404" t="s">
        <v>835</v>
      </c>
      <c r="D386" s="485" t="s">
        <v>1656</v>
      </c>
      <c r="E386" s="68">
        <v>196142</v>
      </c>
      <c r="J386" s="68" t="s">
        <v>794</v>
      </c>
      <c r="K386" s="396" t="s">
        <v>794</v>
      </c>
      <c r="L386" s="396" t="s">
        <v>794</v>
      </c>
      <c r="M386" s="68" t="s">
        <v>791</v>
      </c>
      <c r="N386" s="68">
        <v>20.208799362182599</v>
      </c>
      <c r="O386" s="68">
        <v>92.794113159179702</v>
      </c>
      <c r="P386" s="68" t="s">
        <v>795</v>
      </c>
      <c r="R386" s="494"/>
      <c r="S386" s="400"/>
      <c r="T386" s="101"/>
      <c r="U386" s="488"/>
      <c r="V386" s="68" t="s">
        <v>835</v>
      </c>
      <c r="W386" s="399"/>
    </row>
    <row r="387" spans="1:23" s="68" customFormat="1" ht="14.25" customHeight="1">
      <c r="A387" s="487" t="s">
        <v>2648</v>
      </c>
      <c r="B387" s="490" t="s">
        <v>295</v>
      </c>
      <c r="C387" s="491" t="s">
        <v>837</v>
      </c>
      <c r="D387" s="485" t="s">
        <v>1656</v>
      </c>
      <c r="E387" s="396">
        <v>196141</v>
      </c>
      <c r="J387" s="68" t="s">
        <v>794</v>
      </c>
      <c r="K387" s="396" t="s">
        <v>794</v>
      </c>
      <c r="L387" s="396" t="s">
        <v>794</v>
      </c>
      <c r="M387" s="68" t="s">
        <v>294</v>
      </c>
      <c r="N387" s="68">
        <v>20.2199096679688</v>
      </c>
      <c r="O387" s="68">
        <v>92.7716064453125</v>
      </c>
      <c r="P387" s="68" t="s">
        <v>795</v>
      </c>
      <c r="R387" s="494"/>
      <c r="S387" s="400"/>
      <c r="T387" s="101"/>
      <c r="U387" s="488"/>
      <c r="V387" s="68" t="s">
        <v>837</v>
      </c>
      <c r="W387" s="486"/>
    </row>
    <row r="388" spans="1:23" s="68" customFormat="1" ht="14.25" customHeight="1">
      <c r="A388" s="487" t="s">
        <v>2648</v>
      </c>
      <c r="B388" s="490" t="s">
        <v>295</v>
      </c>
      <c r="C388" s="491" t="s">
        <v>838</v>
      </c>
      <c r="D388" s="485" t="s">
        <v>1656</v>
      </c>
      <c r="E388" s="482">
        <v>196141</v>
      </c>
      <c r="F388" s="482"/>
      <c r="G388" s="482"/>
      <c r="H388" s="482"/>
      <c r="I388" s="482"/>
      <c r="J388" s="482" t="s">
        <v>794</v>
      </c>
      <c r="K388" s="482" t="s">
        <v>794</v>
      </c>
      <c r="L388" s="482" t="s">
        <v>794</v>
      </c>
      <c r="M388" s="482" t="s">
        <v>294</v>
      </c>
      <c r="N388" s="482">
        <v>20.2199096679688</v>
      </c>
      <c r="O388" s="482">
        <v>92.7716064453125</v>
      </c>
      <c r="P388" s="482" t="s">
        <v>795</v>
      </c>
      <c r="Q388" s="482"/>
      <c r="R388" s="494"/>
      <c r="S388" s="487"/>
      <c r="T388" s="506"/>
      <c r="U388" s="488"/>
      <c r="V388" s="482" t="s">
        <v>838</v>
      </c>
      <c r="W388" s="486"/>
    </row>
    <row r="389" spans="1:23" s="68" customFormat="1" ht="14.25" customHeight="1">
      <c r="A389" s="487" t="s">
        <v>2648</v>
      </c>
      <c r="B389" s="490" t="s">
        <v>295</v>
      </c>
      <c r="C389" s="491" t="s">
        <v>300</v>
      </c>
      <c r="D389" s="485" t="s">
        <v>1656</v>
      </c>
      <c r="J389" s="68" t="s">
        <v>794</v>
      </c>
      <c r="K389" s="396" t="s">
        <v>794</v>
      </c>
      <c r="L389" s="396" t="s">
        <v>794</v>
      </c>
      <c r="M389" s="68" t="s">
        <v>791</v>
      </c>
      <c r="P389" s="68" t="s">
        <v>795</v>
      </c>
      <c r="Q389" s="68" t="s">
        <v>776</v>
      </c>
      <c r="R389" s="494"/>
      <c r="S389" s="487"/>
      <c r="T389" s="101"/>
      <c r="U389" s="97"/>
      <c r="V389" s="68" t="s">
        <v>869</v>
      </c>
      <c r="W389" s="486"/>
    </row>
    <row r="390" spans="1:23" s="68" customFormat="1" ht="14.25" customHeight="1">
      <c r="A390" s="487" t="s">
        <v>2648</v>
      </c>
      <c r="B390" s="490" t="s">
        <v>295</v>
      </c>
      <c r="C390" s="491" t="s">
        <v>2287</v>
      </c>
      <c r="D390" s="485"/>
      <c r="E390" s="396" t="s">
        <v>1378</v>
      </c>
      <c r="F390" s="68" t="s">
        <v>1664</v>
      </c>
      <c r="G390" s="68" t="s">
        <v>1665</v>
      </c>
      <c r="J390" s="68" t="s">
        <v>42</v>
      </c>
      <c r="K390" s="68" t="s">
        <v>42</v>
      </c>
      <c r="L390" s="68" t="s">
        <v>790</v>
      </c>
      <c r="M390" s="68" t="s">
        <v>791</v>
      </c>
      <c r="N390" s="68">
        <v>20.207284999999999</v>
      </c>
      <c r="O390" s="68">
        <v>92.788177000000005</v>
      </c>
      <c r="P390" s="68" t="s">
        <v>757</v>
      </c>
      <c r="Q390" s="68" t="s">
        <v>776</v>
      </c>
      <c r="R390" s="494"/>
      <c r="S390" s="400"/>
      <c r="T390" s="101">
        <v>43488</v>
      </c>
      <c r="U390" s="97"/>
      <c r="V390" s="68" t="s">
        <v>869</v>
      </c>
      <c r="W390" s="486"/>
    </row>
    <row r="391" spans="1:23" s="68" customFormat="1" ht="14.25" customHeight="1">
      <c r="A391" s="487" t="s">
        <v>2648</v>
      </c>
      <c r="B391" s="490" t="s">
        <v>295</v>
      </c>
      <c r="C391" s="491" t="s">
        <v>839</v>
      </c>
      <c r="D391" s="485" t="s">
        <v>1656</v>
      </c>
      <c r="E391" s="396">
        <v>196130</v>
      </c>
      <c r="F391" s="482"/>
      <c r="J391" s="68" t="s">
        <v>794</v>
      </c>
      <c r="K391" s="68" t="s">
        <v>794</v>
      </c>
      <c r="L391" s="68" t="s">
        <v>794</v>
      </c>
      <c r="M391" s="68" t="s">
        <v>294</v>
      </c>
      <c r="N391" s="482">
        <v>20.236940383911101</v>
      </c>
      <c r="O391" s="482">
        <v>92.833259582519503</v>
      </c>
      <c r="P391" s="68" t="s">
        <v>795</v>
      </c>
      <c r="R391" s="494"/>
      <c r="S391" s="487"/>
      <c r="T391" s="101"/>
      <c r="U391" s="488"/>
      <c r="V391" s="68" t="s">
        <v>839</v>
      </c>
      <c r="W391" s="486"/>
    </row>
    <row r="392" spans="1:23" s="68" customFormat="1" ht="14.25" customHeight="1">
      <c r="A392" s="487" t="s">
        <v>2648</v>
      </c>
      <c r="B392" s="484" t="s">
        <v>295</v>
      </c>
      <c r="C392" s="484" t="s">
        <v>2587</v>
      </c>
      <c r="D392" s="431"/>
      <c r="E392" s="396">
        <v>196130</v>
      </c>
      <c r="F392" s="482"/>
      <c r="J392" s="68" t="s">
        <v>794</v>
      </c>
      <c r="K392" s="484" t="s">
        <v>794</v>
      </c>
      <c r="L392" s="484" t="s">
        <v>794</v>
      </c>
      <c r="M392" s="68" t="s">
        <v>294</v>
      </c>
      <c r="N392" s="396">
        <v>20.236940383911101</v>
      </c>
      <c r="O392" s="396">
        <v>92.833259582519503</v>
      </c>
      <c r="P392" s="68" t="s">
        <v>795</v>
      </c>
      <c r="R392" s="490"/>
      <c r="S392" s="491"/>
      <c r="T392" s="101"/>
      <c r="U392" s="488"/>
      <c r="W392" s="486"/>
    </row>
    <row r="393" spans="1:23" s="68" customFormat="1" ht="14.25" customHeight="1">
      <c r="A393" s="487" t="s">
        <v>2648</v>
      </c>
      <c r="B393" s="490" t="s">
        <v>295</v>
      </c>
      <c r="C393" s="491" t="s">
        <v>2007</v>
      </c>
      <c r="D393" s="485"/>
      <c r="E393" s="396">
        <v>196162</v>
      </c>
      <c r="F393" s="396" t="s">
        <v>2006</v>
      </c>
      <c r="G393" s="396"/>
      <c r="H393" s="396"/>
      <c r="I393" s="396"/>
      <c r="J393" s="396" t="s">
        <v>794</v>
      </c>
      <c r="K393" s="396" t="s">
        <v>794</v>
      </c>
      <c r="L393" s="396" t="s">
        <v>794</v>
      </c>
      <c r="M393" s="396" t="s">
        <v>791</v>
      </c>
      <c r="N393" s="396">
        <v>20.239929199999999</v>
      </c>
      <c r="O393" s="396">
        <v>92.827529909999996</v>
      </c>
      <c r="P393" s="396" t="s">
        <v>795</v>
      </c>
      <c r="Q393" s="396"/>
      <c r="R393" s="494"/>
      <c r="S393" s="487"/>
      <c r="T393" s="412">
        <v>43294</v>
      </c>
      <c r="U393" s="401"/>
      <c r="V393" s="396"/>
      <c r="W393" s="486"/>
    </row>
    <row r="394" spans="1:23" s="68" customFormat="1" ht="14.25" customHeight="1">
      <c r="A394" s="487" t="s">
        <v>2648</v>
      </c>
      <c r="B394" s="484" t="s">
        <v>295</v>
      </c>
      <c r="C394" s="484" t="s">
        <v>2589</v>
      </c>
      <c r="D394" s="431"/>
      <c r="E394" s="484">
        <v>196131</v>
      </c>
      <c r="F394" s="484" t="s">
        <v>874</v>
      </c>
      <c r="G394" s="396"/>
      <c r="H394" s="396"/>
      <c r="I394" s="396"/>
      <c r="J394" s="68" t="s">
        <v>794</v>
      </c>
      <c r="K394" s="484" t="s">
        <v>794</v>
      </c>
      <c r="L394" s="484" t="s">
        <v>794</v>
      </c>
      <c r="N394" s="68">
        <v>20.239799499511701</v>
      </c>
      <c r="O394" s="68">
        <v>92.825088500976605</v>
      </c>
      <c r="P394" s="68" t="s">
        <v>795</v>
      </c>
      <c r="R394" s="486"/>
      <c r="S394" s="400"/>
      <c r="T394" s="101"/>
      <c r="U394" s="97"/>
      <c r="W394" s="486"/>
    </row>
    <row r="395" spans="1:23" s="68" customFormat="1" ht="14.25" customHeight="1">
      <c r="A395" s="487" t="s">
        <v>2648</v>
      </c>
      <c r="B395" s="484" t="s">
        <v>295</v>
      </c>
      <c r="C395" s="484" t="s">
        <v>2592</v>
      </c>
      <c r="D395" s="485"/>
      <c r="E395" s="396"/>
      <c r="F395" s="396"/>
      <c r="G395" s="396"/>
      <c r="H395" s="396"/>
      <c r="I395" s="396"/>
      <c r="J395" s="68" t="s">
        <v>794</v>
      </c>
      <c r="K395" s="484" t="s">
        <v>794</v>
      </c>
      <c r="L395" s="484" t="s">
        <v>794</v>
      </c>
      <c r="M395" s="396"/>
      <c r="N395" s="396"/>
      <c r="O395" s="396"/>
      <c r="P395" s="68" t="s">
        <v>795</v>
      </c>
      <c r="Q395" s="396"/>
      <c r="R395" s="484"/>
      <c r="S395" s="484"/>
      <c r="T395" s="412"/>
      <c r="U395" s="401"/>
      <c r="V395" s="396"/>
      <c r="W395" s="486"/>
    </row>
    <row r="396" spans="1:23" s="68" customFormat="1" ht="14.25" customHeight="1">
      <c r="A396" s="400" t="s">
        <v>2648</v>
      </c>
      <c r="B396" s="490" t="s">
        <v>295</v>
      </c>
      <c r="C396" s="491" t="s">
        <v>845</v>
      </c>
      <c r="D396" s="485" t="s">
        <v>1657</v>
      </c>
      <c r="E396" s="396" t="s">
        <v>1358</v>
      </c>
      <c r="F396" s="68" t="s">
        <v>1686</v>
      </c>
      <c r="G396" s="68" t="s">
        <v>1687</v>
      </c>
      <c r="J396" s="68" t="s">
        <v>42</v>
      </c>
      <c r="K396" s="68" t="s">
        <v>42</v>
      </c>
      <c r="L396" s="68" t="s">
        <v>756</v>
      </c>
      <c r="M396" s="68" t="s">
        <v>294</v>
      </c>
      <c r="N396" s="396">
        <v>20.151471999999998</v>
      </c>
      <c r="O396" s="396">
        <v>92.887277999999995</v>
      </c>
      <c r="P396" s="482" t="s">
        <v>757</v>
      </c>
      <c r="R396" s="494"/>
      <c r="S396" s="400"/>
      <c r="T396" s="101"/>
      <c r="U396" s="97"/>
      <c r="V396" s="68" t="s">
        <v>845</v>
      </c>
      <c r="W396" s="486"/>
    </row>
    <row r="397" spans="1:23" s="68" customFormat="1" ht="14.25" customHeight="1">
      <c r="A397" s="487" t="s">
        <v>2648</v>
      </c>
      <c r="B397" s="490" t="s">
        <v>295</v>
      </c>
      <c r="C397" s="491" t="s">
        <v>418</v>
      </c>
      <c r="D397" s="431" t="s">
        <v>2712</v>
      </c>
      <c r="E397" s="396" t="s">
        <v>1359</v>
      </c>
      <c r="F397" s="396" t="s">
        <v>1686</v>
      </c>
      <c r="G397" s="396" t="s">
        <v>1687</v>
      </c>
      <c r="H397" s="396"/>
      <c r="I397" s="396"/>
      <c r="J397" s="396" t="s">
        <v>794</v>
      </c>
      <c r="K397" s="396" t="s">
        <v>794</v>
      </c>
      <c r="L397" s="396" t="s">
        <v>817</v>
      </c>
      <c r="M397" s="396" t="s">
        <v>294</v>
      </c>
      <c r="N397" s="396">
        <v>20.151471999999998</v>
      </c>
      <c r="O397" s="396">
        <v>92.887277999999995</v>
      </c>
      <c r="P397" s="482" t="s">
        <v>795</v>
      </c>
      <c r="Q397" s="396" t="s">
        <v>776</v>
      </c>
      <c r="R397" s="486">
        <v>249</v>
      </c>
      <c r="S397" s="487">
        <v>1282</v>
      </c>
      <c r="T397" s="412"/>
      <c r="U397" s="401"/>
      <c r="V397" s="396" t="s">
        <v>418</v>
      </c>
      <c r="W397" s="486"/>
    </row>
    <row r="398" spans="1:23" s="68" customFormat="1" ht="14.25" customHeight="1">
      <c r="A398" s="487" t="s">
        <v>2648</v>
      </c>
      <c r="B398" s="490" t="s">
        <v>295</v>
      </c>
      <c r="C398" s="491" t="s">
        <v>419</v>
      </c>
      <c r="D398" s="431" t="s">
        <v>2712</v>
      </c>
      <c r="E398" s="396" t="s">
        <v>1360</v>
      </c>
      <c r="F398" s="396" t="s">
        <v>1686</v>
      </c>
      <c r="G398" s="396" t="s">
        <v>1687</v>
      </c>
      <c r="H398" s="396"/>
      <c r="I398" s="396"/>
      <c r="J398" s="396" t="s">
        <v>794</v>
      </c>
      <c r="K398" s="396" t="s">
        <v>794</v>
      </c>
      <c r="L398" s="396" t="s">
        <v>817</v>
      </c>
      <c r="M398" s="396" t="s">
        <v>294</v>
      </c>
      <c r="N398" s="396">
        <v>20.151471999999998</v>
      </c>
      <c r="O398" s="396">
        <v>92.887277999999995</v>
      </c>
      <c r="P398" s="396" t="s">
        <v>795</v>
      </c>
      <c r="Q398" s="396" t="s">
        <v>776</v>
      </c>
      <c r="R398" s="486">
        <v>420</v>
      </c>
      <c r="S398" s="487">
        <v>2200</v>
      </c>
      <c r="T398" s="412"/>
      <c r="U398" s="401"/>
      <c r="V398" s="396" t="s">
        <v>419</v>
      </c>
      <c r="W398" s="486"/>
    </row>
    <row r="399" spans="1:23" s="68" customFormat="1" ht="14.25" customHeight="1">
      <c r="A399" s="487" t="s">
        <v>2648</v>
      </c>
      <c r="B399" s="490" t="s">
        <v>295</v>
      </c>
      <c r="C399" s="491" t="s">
        <v>439</v>
      </c>
      <c r="D399" s="431" t="s">
        <v>2712</v>
      </c>
      <c r="E399" s="396" t="s">
        <v>1378</v>
      </c>
      <c r="F399" s="482" t="s">
        <v>1745</v>
      </c>
      <c r="G399" s="396" t="s">
        <v>439</v>
      </c>
      <c r="H399" s="396" t="s">
        <v>40</v>
      </c>
      <c r="I399" s="396"/>
      <c r="J399" s="68" t="s">
        <v>42</v>
      </c>
      <c r="K399" s="396" t="s">
        <v>42</v>
      </c>
      <c r="L399" s="396" t="s">
        <v>790</v>
      </c>
      <c r="M399" s="396" t="s">
        <v>791</v>
      </c>
      <c r="N399" s="396">
        <v>20.202525000000001</v>
      </c>
      <c r="O399" s="396">
        <v>92.792479999999998</v>
      </c>
      <c r="P399" s="482" t="s">
        <v>757</v>
      </c>
      <c r="Q399" s="396" t="s">
        <v>776</v>
      </c>
      <c r="R399" s="486">
        <v>2682</v>
      </c>
      <c r="S399" s="487">
        <v>13653</v>
      </c>
      <c r="T399" s="412"/>
      <c r="U399" s="401"/>
      <c r="V399" s="396" t="s">
        <v>439</v>
      </c>
      <c r="W399" s="486"/>
    </row>
    <row r="400" spans="1:23" s="68" customFormat="1" ht="14.25" customHeight="1">
      <c r="A400" s="487" t="s">
        <v>2648</v>
      </c>
      <c r="B400" s="490" t="s">
        <v>295</v>
      </c>
      <c r="C400" s="491" t="s">
        <v>437</v>
      </c>
      <c r="D400" s="485"/>
      <c r="E400" s="396">
        <v>196154</v>
      </c>
      <c r="F400" s="482"/>
      <c r="G400" s="396"/>
      <c r="H400" s="396"/>
      <c r="I400" s="396"/>
      <c r="J400" s="396" t="s">
        <v>794</v>
      </c>
      <c r="K400" s="396" t="s">
        <v>794</v>
      </c>
      <c r="L400" s="396" t="s">
        <v>794</v>
      </c>
      <c r="M400" s="396" t="s">
        <v>791</v>
      </c>
      <c r="N400" s="396">
        <v>20.201499999999999</v>
      </c>
      <c r="O400" s="396">
        <v>92.796599999999998</v>
      </c>
      <c r="P400" s="396" t="s">
        <v>795</v>
      </c>
      <c r="Q400" s="396" t="s">
        <v>776</v>
      </c>
      <c r="R400" s="494"/>
      <c r="S400" s="487"/>
      <c r="T400" s="412">
        <v>42745</v>
      </c>
      <c r="U400" s="401"/>
      <c r="V400" s="396"/>
      <c r="W400" s="486"/>
    </row>
    <row r="401" spans="1:23" s="68" customFormat="1" ht="14.25" customHeight="1">
      <c r="A401" s="487" t="s">
        <v>2648</v>
      </c>
      <c r="B401" s="490" t="s">
        <v>295</v>
      </c>
      <c r="C401" s="491" t="s">
        <v>433</v>
      </c>
      <c r="D401" s="485" t="s">
        <v>1656</v>
      </c>
      <c r="E401" s="482">
        <v>196155</v>
      </c>
      <c r="F401" s="482"/>
      <c r="G401" s="482"/>
      <c r="H401" s="482"/>
      <c r="I401" s="482"/>
      <c r="J401" s="482" t="s">
        <v>794</v>
      </c>
      <c r="K401" s="68" t="s">
        <v>794</v>
      </c>
      <c r="L401" s="68" t="s">
        <v>794</v>
      </c>
      <c r="M401" s="68" t="s">
        <v>791</v>
      </c>
      <c r="N401" s="482">
        <v>20.19171906</v>
      </c>
      <c r="O401" s="482">
        <v>92.808166499999999</v>
      </c>
      <c r="P401" s="68" t="s">
        <v>795</v>
      </c>
      <c r="Q401" s="482" t="s">
        <v>776</v>
      </c>
      <c r="R401" s="494"/>
      <c r="S401" s="487"/>
      <c r="T401" s="506"/>
      <c r="U401" s="488"/>
      <c r="V401" s="482" t="s">
        <v>433</v>
      </c>
      <c r="W401" s="486"/>
    </row>
    <row r="402" spans="1:23" s="68" customFormat="1" ht="14.25" customHeight="1">
      <c r="A402" s="656" t="s">
        <v>2648</v>
      </c>
      <c r="B402" s="669" t="s">
        <v>295</v>
      </c>
      <c r="C402" s="668" t="s">
        <v>3107</v>
      </c>
      <c r="D402" s="485"/>
      <c r="E402" s="659"/>
      <c r="F402" s="659"/>
      <c r="G402" s="659"/>
      <c r="H402" s="659"/>
      <c r="I402" s="659"/>
      <c r="J402" s="659" t="s">
        <v>794</v>
      </c>
      <c r="K402" s="659" t="s">
        <v>794</v>
      </c>
      <c r="L402" s="659" t="s">
        <v>794</v>
      </c>
      <c r="M402" s="659"/>
      <c r="N402" s="659"/>
      <c r="O402" s="659"/>
      <c r="P402" s="659"/>
      <c r="Q402" s="659" t="s">
        <v>3102</v>
      </c>
      <c r="R402" s="660"/>
      <c r="S402" s="656"/>
      <c r="T402" s="661">
        <v>43843</v>
      </c>
      <c r="U402" s="660"/>
      <c r="V402" s="659"/>
      <c r="W402" s="486"/>
    </row>
    <row r="403" spans="1:23" s="68" customFormat="1" ht="14.25" customHeight="1">
      <c r="A403" s="487" t="s">
        <v>2648</v>
      </c>
      <c r="B403" s="490" t="s">
        <v>295</v>
      </c>
      <c r="C403" s="491" t="s">
        <v>416</v>
      </c>
      <c r="D403" s="431" t="s">
        <v>2712</v>
      </c>
      <c r="E403" s="482" t="s">
        <v>1357</v>
      </c>
      <c r="F403" s="396" t="s">
        <v>1874</v>
      </c>
      <c r="G403" s="396" t="s">
        <v>1874</v>
      </c>
      <c r="H403" s="396"/>
      <c r="I403" s="396"/>
      <c r="J403" s="396" t="s">
        <v>794</v>
      </c>
      <c r="K403" s="396" t="s">
        <v>794</v>
      </c>
      <c r="L403" s="396" t="s">
        <v>817</v>
      </c>
      <c r="M403" s="396" t="s">
        <v>842</v>
      </c>
      <c r="N403" s="396">
        <v>20.148584</v>
      </c>
      <c r="O403" s="396">
        <v>92.880319999999998</v>
      </c>
      <c r="P403" s="396" t="s">
        <v>795</v>
      </c>
      <c r="Q403" s="396" t="s">
        <v>776</v>
      </c>
      <c r="R403" s="486">
        <v>72</v>
      </c>
      <c r="S403" s="400">
        <v>462</v>
      </c>
      <c r="T403" s="412"/>
      <c r="U403" s="401"/>
      <c r="V403" s="396" t="s">
        <v>416</v>
      </c>
      <c r="W403" s="486"/>
    </row>
    <row r="404" spans="1:23" s="68" customFormat="1" ht="14.25" customHeight="1">
      <c r="A404" s="487" t="s">
        <v>2648</v>
      </c>
      <c r="B404" s="490" t="s">
        <v>295</v>
      </c>
      <c r="C404" s="491" t="s">
        <v>1898</v>
      </c>
      <c r="D404" s="431" t="s">
        <v>2712</v>
      </c>
      <c r="E404" s="482" t="s">
        <v>1362</v>
      </c>
      <c r="F404" s="396" t="s">
        <v>1874</v>
      </c>
      <c r="G404" s="396" t="s">
        <v>1874</v>
      </c>
      <c r="H404" s="396"/>
      <c r="I404" s="396"/>
      <c r="J404" s="396" t="s">
        <v>794</v>
      </c>
      <c r="K404" s="396" t="s">
        <v>794</v>
      </c>
      <c r="L404" s="396" t="s">
        <v>817</v>
      </c>
      <c r="M404" s="396" t="s">
        <v>294</v>
      </c>
      <c r="N404" s="396">
        <v>20.155805999999998</v>
      </c>
      <c r="O404" s="396">
        <v>92.879138999999995</v>
      </c>
      <c r="P404" s="482" t="s">
        <v>795</v>
      </c>
      <c r="Q404" s="396" t="s">
        <v>776</v>
      </c>
      <c r="R404" s="486">
        <v>151</v>
      </c>
      <c r="S404" s="487">
        <v>654</v>
      </c>
      <c r="T404" s="412"/>
      <c r="U404" s="401"/>
      <c r="V404" s="396" t="s">
        <v>420</v>
      </c>
      <c r="W404" s="486"/>
    </row>
    <row r="405" spans="1:23" s="68" customFormat="1" ht="14.25" customHeight="1">
      <c r="A405" s="487" t="s">
        <v>2648</v>
      </c>
      <c r="B405" s="490" t="s">
        <v>295</v>
      </c>
      <c r="C405" s="491" t="s">
        <v>2950</v>
      </c>
      <c r="D405" s="485"/>
      <c r="E405" s="482"/>
      <c r="F405" s="482"/>
      <c r="G405" s="482"/>
      <c r="H405" s="482"/>
      <c r="I405" s="482"/>
      <c r="J405" s="482" t="s">
        <v>794</v>
      </c>
      <c r="K405" s="482" t="s">
        <v>794</v>
      </c>
      <c r="L405" s="482" t="s">
        <v>794</v>
      </c>
      <c r="M405" s="482"/>
      <c r="N405" s="482"/>
      <c r="O405" s="482"/>
      <c r="P405" s="482" t="s">
        <v>795</v>
      </c>
      <c r="Q405" s="482" t="s">
        <v>2961</v>
      </c>
      <c r="R405" s="494"/>
      <c r="S405" s="487"/>
      <c r="T405" s="506">
        <v>43768</v>
      </c>
      <c r="U405" s="494"/>
      <c r="V405" s="482"/>
      <c r="W405" s="486"/>
    </row>
    <row r="406" spans="1:23" s="68" customFormat="1" ht="14.25" customHeight="1">
      <c r="A406" s="487" t="s">
        <v>2648</v>
      </c>
      <c r="B406" s="490" t="s">
        <v>295</v>
      </c>
      <c r="C406" s="491" t="s">
        <v>2953</v>
      </c>
      <c r="D406" s="485"/>
      <c r="E406" s="482" t="s">
        <v>2954</v>
      </c>
      <c r="F406" s="482"/>
      <c r="J406" s="68" t="s">
        <v>794</v>
      </c>
      <c r="K406" s="482" t="s">
        <v>794</v>
      </c>
      <c r="L406" s="482" t="s">
        <v>794</v>
      </c>
      <c r="N406" s="482"/>
      <c r="O406" s="482"/>
      <c r="P406" s="68" t="s">
        <v>795</v>
      </c>
      <c r="Q406" s="68" t="s">
        <v>2961</v>
      </c>
      <c r="R406" s="494"/>
      <c r="S406" s="487"/>
      <c r="T406" s="101">
        <v>43768</v>
      </c>
      <c r="U406" s="494"/>
      <c r="W406" s="486"/>
    </row>
    <row r="407" spans="1:23" s="68" customFormat="1" ht="14.25" customHeight="1">
      <c r="A407" s="487" t="s">
        <v>2648</v>
      </c>
      <c r="B407" s="490" t="s">
        <v>295</v>
      </c>
      <c r="C407" s="491" t="s">
        <v>2003</v>
      </c>
      <c r="D407" s="485"/>
      <c r="E407" s="68">
        <v>196179</v>
      </c>
      <c r="F407" s="68" t="s">
        <v>2003</v>
      </c>
      <c r="J407" s="68" t="s">
        <v>794</v>
      </c>
      <c r="K407" s="68" t="s">
        <v>794</v>
      </c>
      <c r="L407" s="68" t="s">
        <v>794</v>
      </c>
      <c r="M407" s="68" t="s">
        <v>1906</v>
      </c>
      <c r="N407" s="68">
        <v>20.236970899999999</v>
      </c>
      <c r="O407" s="68">
        <v>92.877876279999995</v>
      </c>
      <c r="P407" s="68" t="s">
        <v>795</v>
      </c>
      <c r="R407" s="494"/>
      <c r="S407" s="400"/>
      <c r="T407" s="101">
        <v>43294</v>
      </c>
      <c r="U407" s="97"/>
      <c r="W407" s="486"/>
    </row>
    <row r="408" spans="1:23" s="68" customFormat="1" ht="14.25" customHeight="1">
      <c r="A408" s="487" t="s">
        <v>2648</v>
      </c>
      <c r="B408" s="490" t="s">
        <v>295</v>
      </c>
      <c r="C408" s="491" t="s">
        <v>422</v>
      </c>
      <c r="D408" s="431" t="s">
        <v>2712</v>
      </c>
      <c r="E408" s="396" t="s">
        <v>1364</v>
      </c>
      <c r="F408" s="396" t="s">
        <v>415</v>
      </c>
      <c r="G408" s="396" t="s">
        <v>421</v>
      </c>
      <c r="H408" s="396" t="s">
        <v>40</v>
      </c>
      <c r="I408" s="396"/>
      <c r="J408" s="396" t="s">
        <v>42</v>
      </c>
      <c r="K408" s="396" t="s">
        <v>42</v>
      </c>
      <c r="L408" s="396" t="s">
        <v>793</v>
      </c>
      <c r="M408" s="396" t="s">
        <v>791</v>
      </c>
      <c r="N408" s="396">
        <v>20.1585</v>
      </c>
      <c r="O408" s="396">
        <v>92.839416999999997</v>
      </c>
      <c r="P408" s="396" t="s">
        <v>757</v>
      </c>
      <c r="Q408" s="396" t="s">
        <v>776</v>
      </c>
      <c r="R408" s="486">
        <v>2270</v>
      </c>
      <c r="S408" s="487">
        <v>13069</v>
      </c>
      <c r="T408" s="412"/>
      <c r="U408" s="401"/>
      <c r="V408" s="396" t="s">
        <v>852</v>
      </c>
      <c r="W408" s="486"/>
    </row>
    <row r="409" spans="1:23" s="68" customFormat="1" ht="14.25" customHeight="1">
      <c r="A409" s="487" t="s">
        <v>2648</v>
      </c>
      <c r="B409" s="490" t="s">
        <v>295</v>
      </c>
      <c r="C409" s="491" t="s">
        <v>848</v>
      </c>
      <c r="D409" s="485" t="s">
        <v>1657</v>
      </c>
      <c r="E409" s="482" t="s">
        <v>1363</v>
      </c>
      <c r="F409" s="482" t="s">
        <v>415</v>
      </c>
      <c r="G409" s="396" t="s">
        <v>421</v>
      </c>
      <c r="H409" s="396"/>
      <c r="I409" s="396"/>
      <c r="J409" s="396" t="s">
        <v>42</v>
      </c>
      <c r="K409" s="482" t="s">
        <v>42</v>
      </c>
      <c r="L409" s="482" t="s">
        <v>756</v>
      </c>
      <c r="M409" s="396"/>
      <c r="N409" s="396">
        <v>20.156842000000001</v>
      </c>
      <c r="O409" s="482">
        <v>92.837576999999996</v>
      </c>
      <c r="P409" s="396" t="s">
        <v>757</v>
      </c>
      <c r="Q409" s="396"/>
      <c r="R409" s="494"/>
      <c r="S409" s="487"/>
      <c r="T409" s="412"/>
      <c r="U409" s="401"/>
      <c r="V409" s="396" t="s">
        <v>849</v>
      </c>
      <c r="W409" s="486"/>
    </row>
    <row r="410" spans="1:23" s="68" customFormat="1" ht="14.25" customHeight="1">
      <c r="A410" s="487" t="s">
        <v>2648</v>
      </c>
      <c r="B410" s="490" t="s">
        <v>295</v>
      </c>
      <c r="C410" s="491" t="s">
        <v>689</v>
      </c>
      <c r="D410" s="485" t="s">
        <v>1656</v>
      </c>
      <c r="E410" s="482">
        <v>196210</v>
      </c>
      <c r="F410" s="482"/>
      <c r="G410" s="482"/>
      <c r="H410" s="482"/>
      <c r="I410" s="482"/>
      <c r="J410" s="482" t="s">
        <v>794</v>
      </c>
      <c r="K410" s="482" t="s">
        <v>794</v>
      </c>
      <c r="L410" s="482" t="s">
        <v>794</v>
      </c>
      <c r="M410" s="482" t="s">
        <v>294</v>
      </c>
      <c r="N410" s="482">
        <v>20.16259956</v>
      </c>
      <c r="O410" s="482">
        <v>92.834457400000005</v>
      </c>
      <c r="P410" s="482" t="s">
        <v>795</v>
      </c>
      <c r="Q410" s="482" t="s">
        <v>776</v>
      </c>
      <c r="R410" s="494"/>
      <c r="S410" s="487"/>
      <c r="T410" s="506"/>
      <c r="U410" s="488"/>
      <c r="V410" s="482"/>
      <c r="W410" s="486"/>
    </row>
    <row r="411" spans="1:23" s="68" customFormat="1" ht="14.25" customHeight="1">
      <c r="A411" s="487" t="s">
        <v>2648</v>
      </c>
      <c r="B411" s="490" t="s">
        <v>295</v>
      </c>
      <c r="C411" s="491" t="s">
        <v>301</v>
      </c>
      <c r="D411" s="485" t="s">
        <v>1656</v>
      </c>
      <c r="J411" s="68" t="s">
        <v>794</v>
      </c>
      <c r="K411" s="68" t="s">
        <v>794</v>
      </c>
      <c r="L411" s="68" t="s">
        <v>794</v>
      </c>
      <c r="M411" s="68" t="s">
        <v>791</v>
      </c>
      <c r="P411" s="68" t="s">
        <v>795</v>
      </c>
      <c r="Q411" s="68" t="s">
        <v>758</v>
      </c>
      <c r="R411" s="494"/>
      <c r="S411" s="487"/>
      <c r="T411" s="101">
        <v>42811</v>
      </c>
      <c r="U411" s="97"/>
      <c r="W411" s="486"/>
    </row>
    <row r="412" spans="1:23" s="68" customFormat="1" ht="14.25" customHeight="1">
      <c r="A412" s="487" t="s">
        <v>2648</v>
      </c>
      <c r="B412" s="490" t="s">
        <v>295</v>
      </c>
      <c r="C412" s="491" t="s">
        <v>421</v>
      </c>
      <c r="D412" s="485" t="s">
        <v>1656</v>
      </c>
      <c r="E412" s="68">
        <v>196211</v>
      </c>
      <c r="J412" s="68" t="s">
        <v>794</v>
      </c>
      <c r="K412" s="68" t="s">
        <v>794</v>
      </c>
      <c r="L412" s="68" t="s">
        <v>794</v>
      </c>
      <c r="M412" s="68" t="s">
        <v>791</v>
      </c>
      <c r="N412" s="68">
        <v>20.15736008</v>
      </c>
      <c r="O412" s="68">
        <v>92.838653559999997</v>
      </c>
      <c r="P412" s="396" t="s">
        <v>795</v>
      </c>
      <c r="Q412" s="68" t="s">
        <v>776</v>
      </c>
      <c r="R412" s="494"/>
      <c r="S412" s="487"/>
      <c r="T412" s="101"/>
      <c r="U412" s="97"/>
      <c r="V412" s="68" t="s">
        <v>850</v>
      </c>
      <c r="W412" s="486"/>
    </row>
    <row r="413" spans="1:23" s="68" customFormat="1" ht="14.25" customHeight="1">
      <c r="A413" s="487" t="s">
        <v>2648</v>
      </c>
      <c r="B413" s="490" t="s">
        <v>295</v>
      </c>
      <c r="C413" s="491" t="s">
        <v>417</v>
      </c>
      <c r="D413" s="485" t="s">
        <v>1656</v>
      </c>
      <c r="E413" s="68">
        <v>196209</v>
      </c>
      <c r="F413" s="484" t="s">
        <v>415</v>
      </c>
      <c r="J413" s="68" t="s">
        <v>794</v>
      </c>
      <c r="K413" s="68" t="s">
        <v>794</v>
      </c>
      <c r="L413" s="68" t="s">
        <v>794</v>
      </c>
      <c r="M413" s="68" t="s">
        <v>791</v>
      </c>
      <c r="N413" s="68">
        <v>20.147863431600001</v>
      </c>
      <c r="O413" s="68">
        <v>92.846768572000002</v>
      </c>
      <c r="P413" s="68" t="s">
        <v>795</v>
      </c>
      <c r="Q413" s="68" t="s">
        <v>758</v>
      </c>
      <c r="R413" s="494"/>
      <c r="S413" s="487"/>
      <c r="T413" s="101"/>
      <c r="U413" s="97"/>
      <c r="V413" s="68" t="s">
        <v>843</v>
      </c>
      <c r="W413" s="486"/>
    </row>
    <row r="414" spans="1:23" s="68" customFormat="1" ht="14.25" customHeight="1">
      <c r="A414" s="487" t="s">
        <v>2648</v>
      </c>
      <c r="B414" s="490" t="s">
        <v>295</v>
      </c>
      <c r="C414" s="491" t="s">
        <v>851</v>
      </c>
      <c r="D414" s="485" t="s">
        <v>1656</v>
      </c>
      <c r="E414" s="482">
        <v>196211</v>
      </c>
      <c r="F414" s="482"/>
      <c r="J414" s="68" t="s">
        <v>794</v>
      </c>
      <c r="K414" s="482" t="s">
        <v>794</v>
      </c>
      <c r="L414" s="482" t="s">
        <v>794</v>
      </c>
      <c r="M414" s="68" t="s">
        <v>791</v>
      </c>
      <c r="N414" s="68">
        <v>20.15736008</v>
      </c>
      <c r="O414" s="482">
        <v>92.838653559999997</v>
      </c>
      <c r="P414" s="68" t="s">
        <v>795</v>
      </c>
      <c r="R414" s="494"/>
      <c r="S414" s="487"/>
      <c r="T414" s="101"/>
      <c r="U414" s="97"/>
      <c r="V414" s="68" t="s">
        <v>851</v>
      </c>
      <c r="W414" s="486"/>
    </row>
    <row r="415" spans="1:23" s="68" customFormat="1" ht="14.25" customHeight="1">
      <c r="A415" s="487" t="s">
        <v>2648</v>
      </c>
      <c r="B415" s="490" t="s">
        <v>295</v>
      </c>
      <c r="C415" s="491" t="s">
        <v>446</v>
      </c>
      <c r="D415" s="485" t="s">
        <v>1656</v>
      </c>
      <c r="E415" s="68">
        <v>196167</v>
      </c>
      <c r="F415" s="68" t="s">
        <v>446</v>
      </c>
      <c r="J415" s="68" t="s">
        <v>794</v>
      </c>
      <c r="K415" s="68" t="s">
        <v>794</v>
      </c>
      <c r="L415" s="68" t="s">
        <v>794</v>
      </c>
      <c r="M415" s="68" t="s">
        <v>294</v>
      </c>
      <c r="N415" s="68">
        <v>20.22929001</v>
      </c>
      <c r="O415" s="68">
        <v>92.864669800000001</v>
      </c>
      <c r="P415" s="68" t="s">
        <v>795</v>
      </c>
      <c r="Q415" s="68" t="s">
        <v>758</v>
      </c>
      <c r="R415" s="494"/>
      <c r="S415" s="487"/>
      <c r="T415" s="101">
        <v>42811</v>
      </c>
      <c r="U415" s="97"/>
      <c r="W415" s="486"/>
    </row>
    <row r="416" spans="1:23" s="68" customFormat="1" ht="14.25" customHeight="1">
      <c r="A416" s="487" t="s">
        <v>2648</v>
      </c>
      <c r="B416" s="490" t="s">
        <v>295</v>
      </c>
      <c r="C416" s="491" t="s">
        <v>426</v>
      </c>
      <c r="D416" s="431" t="s">
        <v>2712</v>
      </c>
      <c r="E416" s="68" t="s">
        <v>1369</v>
      </c>
      <c r="F416" s="68" t="s">
        <v>415</v>
      </c>
      <c r="G416" s="68" t="s">
        <v>1744</v>
      </c>
      <c r="H416" s="68" t="s">
        <v>40</v>
      </c>
      <c r="J416" s="68" t="s">
        <v>42</v>
      </c>
      <c r="K416" s="68" t="s">
        <v>42</v>
      </c>
      <c r="L416" s="68" t="s">
        <v>790</v>
      </c>
      <c r="M416" s="68" t="s">
        <v>791</v>
      </c>
      <c r="N416" s="68">
        <v>20.179939999999998</v>
      </c>
      <c r="O416" s="68">
        <v>92.831879000000001</v>
      </c>
      <c r="P416" s="68" t="s">
        <v>757</v>
      </c>
      <c r="Q416" s="68" t="s">
        <v>776</v>
      </c>
      <c r="R416" s="486">
        <v>981</v>
      </c>
      <c r="S416" s="487">
        <v>5936</v>
      </c>
      <c r="T416" s="101"/>
      <c r="U416" s="97"/>
      <c r="V416" s="68" t="s">
        <v>859</v>
      </c>
      <c r="W416" s="486"/>
    </row>
    <row r="417" spans="1:23" s="68" customFormat="1" ht="14.25" customHeight="1">
      <c r="A417" s="487" t="s">
        <v>2648</v>
      </c>
      <c r="B417" s="490" t="s">
        <v>295</v>
      </c>
      <c r="C417" s="491" t="s">
        <v>428</v>
      </c>
      <c r="D417" s="431" t="s">
        <v>2712</v>
      </c>
      <c r="E417" s="68" t="s">
        <v>1372</v>
      </c>
      <c r="H417" s="68" t="s">
        <v>40</v>
      </c>
      <c r="J417" s="68" t="s">
        <v>42</v>
      </c>
      <c r="K417" s="68" t="s">
        <v>42</v>
      </c>
      <c r="L417" s="68" t="s">
        <v>768</v>
      </c>
      <c r="M417" s="68" t="s">
        <v>791</v>
      </c>
      <c r="N417" s="68">
        <v>20.181742</v>
      </c>
      <c r="O417" s="68">
        <v>92.842230000000001</v>
      </c>
      <c r="P417" s="68" t="s">
        <v>769</v>
      </c>
      <c r="R417" s="486">
        <v>496</v>
      </c>
      <c r="S417" s="487">
        <v>2942</v>
      </c>
      <c r="T417" s="101">
        <v>42745</v>
      </c>
      <c r="U417" s="97" t="s">
        <v>853</v>
      </c>
      <c r="W417" s="486"/>
    </row>
    <row r="418" spans="1:23" s="68" customFormat="1" ht="14.25" customHeight="1">
      <c r="A418" s="487" t="s">
        <v>2648</v>
      </c>
      <c r="B418" s="490" t="s">
        <v>295</v>
      </c>
      <c r="C418" s="491" t="s">
        <v>2595</v>
      </c>
      <c r="D418" s="485" t="s">
        <v>1656</v>
      </c>
      <c r="E418" s="396"/>
      <c r="F418" s="396"/>
      <c r="G418" s="396"/>
      <c r="H418" s="396"/>
      <c r="I418" s="396"/>
      <c r="J418" s="396" t="s">
        <v>794</v>
      </c>
      <c r="K418" s="396" t="s">
        <v>794</v>
      </c>
      <c r="L418" s="396" t="s">
        <v>794</v>
      </c>
      <c r="M418" s="396" t="s">
        <v>791</v>
      </c>
      <c r="N418" s="396"/>
      <c r="O418" s="396"/>
      <c r="P418" s="634" t="s">
        <v>795</v>
      </c>
      <c r="Q418" s="396" t="s">
        <v>758</v>
      </c>
      <c r="R418" s="494"/>
      <c r="S418" s="487"/>
      <c r="T418" s="412">
        <v>42811</v>
      </c>
      <c r="U418" s="401"/>
      <c r="V418" s="396"/>
      <c r="W418" s="486"/>
    </row>
    <row r="419" spans="1:23" s="68" customFormat="1" ht="14.25" customHeight="1">
      <c r="A419" s="487" t="s">
        <v>2648</v>
      </c>
      <c r="B419" s="490" t="s">
        <v>295</v>
      </c>
      <c r="C419" s="491" t="s">
        <v>434</v>
      </c>
      <c r="D419" s="485" t="s">
        <v>1656</v>
      </c>
      <c r="E419" s="396">
        <v>196147</v>
      </c>
      <c r="F419" s="396"/>
      <c r="G419" s="396"/>
      <c r="H419" s="396"/>
      <c r="I419" s="396"/>
      <c r="J419" s="396" t="s">
        <v>794</v>
      </c>
      <c r="K419" s="396" t="s">
        <v>794</v>
      </c>
      <c r="L419" s="396" t="s">
        <v>794</v>
      </c>
      <c r="M419" s="396" t="s">
        <v>791</v>
      </c>
      <c r="N419" s="396">
        <v>20.193460460000001</v>
      </c>
      <c r="O419" s="396">
        <v>92.867782590000004</v>
      </c>
      <c r="P419" s="396" t="s">
        <v>795</v>
      </c>
      <c r="Q419" s="396" t="s">
        <v>758</v>
      </c>
      <c r="R419" s="494"/>
      <c r="S419" s="487"/>
      <c r="T419" s="412">
        <v>42811</v>
      </c>
      <c r="U419" s="401"/>
      <c r="V419" s="396"/>
      <c r="W419" s="486"/>
    </row>
    <row r="420" spans="1:23" s="68" customFormat="1" ht="14.25" customHeight="1">
      <c r="A420" s="487" t="s">
        <v>2648</v>
      </c>
      <c r="B420" s="490" t="s">
        <v>295</v>
      </c>
      <c r="C420" s="491" t="s">
        <v>1142</v>
      </c>
      <c r="D420" s="485" t="s">
        <v>1656</v>
      </c>
      <c r="J420" s="68" t="s">
        <v>794</v>
      </c>
      <c r="K420" s="68" t="s">
        <v>794</v>
      </c>
      <c r="L420" s="68" t="s">
        <v>794</v>
      </c>
      <c r="M420" s="68" t="s">
        <v>791</v>
      </c>
      <c r="P420" s="68" t="s">
        <v>795</v>
      </c>
      <c r="Q420" s="68" t="s">
        <v>776</v>
      </c>
      <c r="R420" s="494"/>
      <c r="S420" s="487"/>
      <c r="T420" s="101"/>
      <c r="U420" s="97"/>
      <c r="V420" s="68" t="s">
        <v>1142</v>
      </c>
      <c r="W420" s="486"/>
    </row>
    <row r="421" spans="1:23" s="68" customFormat="1" ht="14.25" customHeight="1">
      <c r="A421" s="487" t="s">
        <v>2648</v>
      </c>
      <c r="B421" s="490" t="s">
        <v>295</v>
      </c>
      <c r="C421" s="491" t="s">
        <v>2226</v>
      </c>
      <c r="D421" s="485"/>
      <c r="E421" s="68">
        <v>196193</v>
      </c>
      <c r="F421" s="482" t="s">
        <v>2226</v>
      </c>
      <c r="J421" s="68" t="s">
        <v>794</v>
      </c>
      <c r="K421" s="68" t="s">
        <v>794</v>
      </c>
      <c r="L421" s="68" t="s">
        <v>794</v>
      </c>
      <c r="N421" s="68">
        <v>20.1663494110107</v>
      </c>
      <c r="O421" s="68">
        <v>92.871902465820298</v>
      </c>
      <c r="P421" s="68" t="s">
        <v>795</v>
      </c>
      <c r="R421" s="494"/>
      <c r="S421" s="487"/>
      <c r="T421" s="101"/>
      <c r="U421" s="97"/>
      <c r="W421" s="486"/>
    </row>
    <row r="422" spans="1:23" s="68" customFormat="1" ht="14.25" customHeight="1">
      <c r="A422" s="487" t="s">
        <v>2648</v>
      </c>
      <c r="B422" s="490" t="s">
        <v>295</v>
      </c>
      <c r="C422" s="491" t="s">
        <v>874</v>
      </c>
      <c r="D422" s="485" t="s">
        <v>1656</v>
      </c>
      <c r="E422" s="482">
        <v>196129</v>
      </c>
      <c r="F422" s="482" t="s">
        <v>874</v>
      </c>
      <c r="G422" s="482"/>
      <c r="H422" s="482"/>
      <c r="I422" s="482"/>
      <c r="J422" s="482" t="s">
        <v>875</v>
      </c>
      <c r="K422" s="68" t="s">
        <v>794</v>
      </c>
      <c r="L422" s="68" t="s">
        <v>875</v>
      </c>
      <c r="M422" s="396" t="s">
        <v>294</v>
      </c>
      <c r="N422" s="482">
        <v>20.226730346679702</v>
      </c>
      <c r="O422" s="482">
        <v>92.836929321289105</v>
      </c>
      <c r="P422" s="68" t="s">
        <v>795</v>
      </c>
      <c r="Q422" s="482" t="s">
        <v>798</v>
      </c>
      <c r="R422" s="494"/>
      <c r="S422" s="487"/>
      <c r="T422" s="506">
        <v>42926</v>
      </c>
      <c r="U422" s="488"/>
      <c r="V422" s="482" t="s">
        <v>874</v>
      </c>
      <c r="W422" s="486"/>
    </row>
    <row r="423" spans="1:23" s="68" customFormat="1" ht="14.25" customHeight="1">
      <c r="A423" s="487" t="s">
        <v>2648</v>
      </c>
      <c r="B423" s="484" t="s">
        <v>295</v>
      </c>
      <c r="C423" s="484" t="s">
        <v>2580</v>
      </c>
      <c r="D423" s="431"/>
      <c r="E423" s="482">
        <v>196136</v>
      </c>
      <c r="F423" s="482" t="s">
        <v>2697</v>
      </c>
      <c r="G423" s="482"/>
      <c r="H423" s="482"/>
      <c r="I423" s="482"/>
      <c r="J423" s="482" t="s">
        <v>794</v>
      </c>
      <c r="K423" s="396" t="s">
        <v>794</v>
      </c>
      <c r="L423" s="396" t="s">
        <v>794</v>
      </c>
      <c r="M423" s="396"/>
      <c r="N423" s="482">
        <v>20.1899604797363</v>
      </c>
      <c r="O423" s="482">
        <v>92.895767211914105</v>
      </c>
      <c r="P423" s="396" t="s">
        <v>795</v>
      </c>
      <c r="Q423" s="482"/>
      <c r="R423" s="486"/>
      <c r="S423" s="487"/>
      <c r="T423" s="506"/>
      <c r="U423" s="488"/>
      <c r="V423" s="482"/>
      <c r="W423" s="486"/>
    </row>
    <row r="424" spans="1:23" s="68" customFormat="1" ht="14.25" customHeight="1">
      <c r="A424" s="656" t="s">
        <v>2648</v>
      </c>
      <c r="B424" s="669" t="s">
        <v>295</v>
      </c>
      <c r="C424" s="668" t="s">
        <v>3109</v>
      </c>
      <c r="D424" s="485"/>
      <c r="E424" s="659"/>
      <c r="F424" s="659"/>
      <c r="G424" s="659"/>
      <c r="H424" s="659"/>
      <c r="I424" s="659"/>
      <c r="J424" s="659" t="s">
        <v>794</v>
      </c>
      <c r="K424" s="659" t="s">
        <v>794</v>
      </c>
      <c r="L424" s="659" t="s">
        <v>794</v>
      </c>
      <c r="M424" s="659"/>
      <c r="N424" s="659"/>
      <c r="O424" s="659"/>
      <c r="P424" s="659"/>
      <c r="Q424" s="659" t="s">
        <v>3102</v>
      </c>
      <c r="R424" s="660"/>
      <c r="S424" s="656"/>
      <c r="T424" s="661">
        <v>43843</v>
      </c>
      <c r="U424" s="660"/>
      <c r="V424" s="659"/>
      <c r="W424" s="486"/>
    </row>
    <row r="425" spans="1:23" s="68" customFormat="1" ht="14.25" customHeight="1">
      <c r="A425" s="487" t="s">
        <v>2648</v>
      </c>
      <c r="B425" s="490" t="s">
        <v>295</v>
      </c>
      <c r="C425" s="491" t="s">
        <v>2010</v>
      </c>
      <c r="D425" s="485"/>
      <c r="E425" s="482">
        <v>196181</v>
      </c>
      <c r="F425" s="482" t="s">
        <v>2010</v>
      </c>
      <c r="J425" s="68" t="s">
        <v>794</v>
      </c>
      <c r="K425" s="68" t="s">
        <v>794</v>
      </c>
      <c r="L425" s="68" t="s">
        <v>794</v>
      </c>
      <c r="N425" s="68">
        <v>20.227340699999999</v>
      </c>
      <c r="O425" s="68">
        <v>92.893341059999997</v>
      </c>
      <c r="P425" s="68" t="s">
        <v>795</v>
      </c>
      <c r="R425" s="494"/>
      <c r="S425" s="487"/>
      <c r="T425" s="101">
        <v>43297</v>
      </c>
      <c r="U425" s="97"/>
      <c r="W425" s="486"/>
    </row>
    <row r="426" spans="1:23" s="68" customFormat="1" ht="14.25" customHeight="1">
      <c r="A426" s="487" t="s">
        <v>2648</v>
      </c>
      <c r="B426" s="490" t="s">
        <v>295</v>
      </c>
      <c r="C426" s="491" t="s">
        <v>2005</v>
      </c>
      <c r="D426" s="485"/>
      <c r="E426" s="482">
        <v>196161</v>
      </c>
      <c r="F426" s="482" t="s">
        <v>2006</v>
      </c>
      <c r="G426" s="482"/>
      <c r="H426" s="482"/>
      <c r="I426" s="482"/>
      <c r="J426" s="482" t="s">
        <v>794</v>
      </c>
      <c r="K426" s="68" t="s">
        <v>794</v>
      </c>
      <c r="L426" s="68" t="s">
        <v>794</v>
      </c>
      <c r="M426" s="68" t="s">
        <v>294</v>
      </c>
      <c r="N426" s="482">
        <v>20.257850650000002</v>
      </c>
      <c r="O426" s="482">
        <v>92.811126709999996</v>
      </c>
      <c r="P426" s="396" t="s">
        <v>795</v>
      </c>
      <c r="Q426" s="482"/>
      <c r="R426" s="494"/>
      <c r="S426" s="487"/>
      <c r="T426" s="506">
        <v>43294</v>
      </c>
      <c r="U426" s="488"/>
      <c r="V426" s="482"/>
      <c r="W426" s="486"/>
    </row>
    <row r="427" spans="1:23" s="68" customFormat="1" ht="14.25" customHeight="1">
      <c r="A427" s="487" t="s">
        <v>2648</v>
      </c>
      <c r="B427" s="490" t="s">
        <v>295</v>
      </c>
      <c r="C427" s="491" t="s">
        <v>2004</v>
      </c>
      <c r="D427" s="485"/>
      <c r="E427" s="482">
        <v>196168</v>
      </c>
      <c r="F427" s="482" t="s">
        <v>446</v>
      </c>
      <c r="G427" s="482"/>
      <c r="H427" s="482"/>
      <c r="I427" s="396"/>
      <c r="J427" s="68" t="s">
        <v>794</v>
      </c>
      <c r="K427" s="68" t="s">
        <v>794</v>
      </c>
      <c r="L427" s="482" t="s">
        <v>794</v>
      </c>
      <c r="M427" s="396" t="s">
        <v>1906</v>
      </c>
      <c r="N427" s="482">
        <v>20.223510739999998</v>
      </c>
      <c r="O427" s="482">
        <v>92.86984253</v>
      </c>
      <c r="P427" s="482" t="s">
        <v>795</v>
      </c>
      <c r="Q427" s="396"/>
      <c r="R427" s="494"/>
      <c r="S427" s="487"/>
      <c r="T427" s="412">
        <v>43294</v>
      </c>
      <c r="U427" s="488"/>
      <c r="V427" s="482"/>
      <c r="W427" s="486"/>
    </row>
    <row r="428" spans="1:23" s="68" customFormat="1" ht="14.25" customHeight="1">
      <c r="A428" s="487" t="s">
        <v>2648</v>
      </c>
      <c r="B428" s="484" t="s">
        <v>295</v>
      </c>
      <c r="C428" s="484" t="s">
        <v>669</v>
      </c>
      <c r="D428" s="431"/>
      <c r="E428" s="484">
        <v>196208</v>
      </c>
      <c r="F428" s="484" t="s">
        <v>669</v>
      </c>
      <c r="J428" s="68" t="s">
        <v>794</v>
      </c>
      <c r="K428" s="484" t="s">
        <v>794</v>
      </c>
      <c r="L428" s="484" t="s">
        <v>794</v>
      </c>
      <c r="N428" s="68">
        <v>20.128850936889599</v>
      </c>
      <c r="O428" s="484">
        <v>92.872497558593807</v>
      </c>
      <c r="P428" s="68" t="s">
        <v>795</v>
      </c>
      <c r="R428" s="399"/>
      <c r="S428" s="486"/>
      <c r="T428" s="101"/>
      <c r="U428" s="97"/>
      <c r="W428" s="486"/>
    </row>
    <row r="429" spans="1:23" s="68" customFormat="1" ht="14.25" customHeight="1">
      <c r="A429" s="487" t="s">
        <v>2648</v>
      </c>
      <c r="B429" s="490" t="s">
        <v>295</v>
      </c>
      <c r="C429" s="491" t="s">
        <v>1878</v>
      </c>
      <c r="D429" s="485" t="s">
        <v>1876</v>
      </c>
      <c r="E429" s="482"/>
      <c r="F429" s="482"/>
      <c r="G429" s="482"/>
      <c r="H429" s="482"/>
      <c r="I429" s="396"/>
      <c r="J429" s="396" t="s">
        <v>794</v>
      </c>
      <c r="K429" s="396" t="s">
        <v>794</v>
      </c>
      <c r="L429" s="482" t="s">
        <v>794</v>
      </c>
      <c r="M429" s="396"/>
      <c r="N429" s="482"/>
      <c r="O429" s="482"/>
      <c r="P429" s="482" t="s">
        <v>795</v>
      </c>
      <c r="Q429" s="396"/>
      <c r="R429" s="494"/>
      <c r="S429" s="487"/>
      <c r="T429" s="412"/>
      <c r="U429" s="488"/>
      <c r="V429" s="482"/>
      <c r="W429" s="486"/>
    </row>
    <row r="430" spans="1:23" s="68" customFormat="1" ht="14.25" customHeight="1">
      <c r="A430" s="487" t="s">
        <v>2648</v>
      </c>
      <c r="B430" s="490" t="s">
        <v>295</v>
      </c>
      <c r="C430" s="491" t="s">
        <v>438</v>
      </c>
      <c r="D430" s="485" t="s">
        <v>1656</v>
      </c>
      <c r="E430" s="68">
        <v>196159</v>
      </c>
      <c r="F430" s="482"/>
      <c r="J430" s="68" t="s">
        <v>794</v>
      </c>
      <c r="K430" s="68" t="s">
        <v>794</v>
      </c>
      <c r="L430" s="68" t="s">
        <v>794</v>
      </c>
      <c r="M430" s="68" t="s">
        <v>294</v>
      </c>
      <c r="N430" s="68">
        <v>20.2023601531982</v>
      </c>
      <c r="O430" s="68">
        <v>92.812782287597699</v>
      </c>
      <c r="P430" s="396" t="s">
        <v>795</v>
      </c>
      <c r="Q430" s="68" t="s">
        <v>776</v>
      </c>
      <c r="R430" s="494"/>
      <c r="S430" s="487"/>
      <c r="T430" s="101"/>
      <c r="U430" s="97"/>
      <c r="V430" s="68" t="s">
        <v>438</v>
      </c>
      <c r="W430" s="486"/>
    </row>
    <row r="431" spans="1:23" s="68" customFormat="1" ht="14.25" customHeight="1">
      <c r="A431" s="482" t="s">
        <v>36</v>
      </c>
      <c r="B431" s="482" t="s">
        <v>185</v>
      </c>
      <c r="C431" s="482" t="s">
        <v>1082</v>
      </c>
      <c r="D431" s="431" t="s">
        <v>1656</v>
      </c>
      <c r="E431" s="482"/>
      <c r="F431" s="482"/>
      <c r="G431" s="482"/>
      <c r="H431" s="482"/>
      <c r="I431" s="482"/>
      <c r="J431" s="482" t="s">
        <v>1460</v>
      </c>
      <c r="K431" s="396" t="s">
        <v>42</v>
      </c>
      <c r="L431" s="396" t="s">
        <v>1083</v>
      </c>
      <c r="M431" s="68" t="s">
        <v>43</v>
      </c>
      <c r="N431" s="482"/>
      <c r="O431" s="482"/>
      <c r="P431" s="482" t="s">
        <v>757</v>
      </c>
      <c r="Q431" s="482"/>
      <c r="R431" s="486"/>
      <c r="S431" s="487"/>
      <c r="T431" s="506"/>
      <c r="U431" s="488"/>
      <c r="V431" s="482" t="s">
        <v>1082</v>
      </c>
      <c r="W431" s="482"/>
    </row>
    <row r="432" spans="1:23" s="68" customFormat="1" ht="14.25" customHeight="1">
      <c r="A432" s="396" t="s">
        <v>36</v>
      </c>
      <c r="B432" s="482" t="s">
        <v>185</v>
      </c>
      <c r="C432" s="482" t="s">
        <v>267</v>
      </c>
      <c r="D432" s="431" t="s">
        <v>2817</v>
      </c>
      <c r="E432" s="482" t="s">
        <v>1493</v>
      </c>
      <c r="F432" s="68" t="s">
        <v>1786</v>
      </c>
      <c r="G432" s="68" t="s">
        <v>1786</v>
      </c>
      <c r="H432" s="68" t="s">
        <v>40</v>
      </c>
      <c r="I432" s="68" t="s">
        <v>41</v>
      </c>
      <c r="J432" s="68" t="s">
        <v>42</v>
      </c>
      <c r="K432" s="396" t="s">
        <v>42</v>
      </c>
      <c r="L432" s="396" t="s">
        <v>42</v>
      </c>
      <c r="M432" s="68" t="s">
        <v>43</v>
      </c>
      <c r="N432" s="396">
        <v>24.260719999999999</v>
      </c>
      <c r="O432" s="396">
        <v>97.238829999999993</v>
      </c>
      <c r="P432" s="396" t="s">
        <v>757</v>
      </c>
      <c r="Q432" s="68" t="s">
        <v>776</v>
      </c>
      <c r="R432" s="399">
        <v>218</v>
      </c>
      <c r="S432" s="486">
        <v>1067</v>
      </c>
      <c r="T432" s="101"/>
      <c r="U432" s="97"/>
      <c r="V432" s="68" t="s">
        <v>267</v>
      </c>
      <c r="W432" s="482"/>
    </row>
    <row r="433" spans="1:23" s="68" customFormat="1" ht="14.25" customHeight="1">
      <c r="A433" s="396" t="s">
        <v>36</v>
      </c>
      <c r="B433" s="482" t="s">
        <v>185</v>
      </c>
      <c r="C433" s="482" t="s">
        <v>186</v>
      </c>
      <c r="D433" s="431" t="s">
        <v>2817</v>
      </c>
      <c r="E433" s="482" t="s">
        <v>1492</v>
      </c>
      <c r="F433" s="68" t="s">
        <v>1785</v>
      </c>
      <c r="G433" s="68" t="s">
        <v>1785</v>
      </c>
      <c r="H433" s="68" t="s">
        <v>40</v>
      </c>
      <c r="I433" s="68" t="s">
        <v>131</v>
      </c>
      <c r="J433" s="68" t="s">
        <v>42</v>
      </c>
      <c r="K433" s="68" t="s">
        <v>42</v>
      </c>
      <c r="L433" s="396" t="s">
        <v>42</v>
      </c>
      <c r="M433" s="68" t="s">
        <v>43</v>
      </c>
      <c r="N433" s="68">
        <v>24.260466999999998</v>
      </c>
      <c r="O433" s="68">
        <v>97.252650000000003</v>
      </c>
      <c r="P433" s="396" t="s">
        <v>757</v>
      </c>
      <c r="Q433" s="68" t="s">
        <v>776</v>
      </c>
      <c r="R433" s="399">
        <v>12</v>
      </c>
      <c r="S433" s="486">
        <v>52</v>
      </c>
      <c r="T433" s="101"/>
      <c r="U433" s="97"/>
      <c r="V433" s="68" t="s">
        <v>186</v>
      </c>
      <c r="W433" s="482"/>
    </row>
    <row r="434" spans="1:23" s="68" customFormat="1" ht="14.25" customHeight="1">
      <c r="A434" s="482" t="s">
        <v>36</v>
      </c>
      <c r="B434" s="482" t="s">
        <v>185</v>
      </c>
      <c r="C434" s="482" t="s">
        <v>1090</v>
      </c>
      <c r="D434" s="431" t="s">
        <v>1656</v>
      </c>
      <c r="E434" s="482"/>
      <c r="J434" s="68" t="s">
        <v>794</v>
      </c>
      <c r="K434" s="482" t="s">
        <v>794</v>
      </c>
      <c r="L434" s="482" t="s">
        <v>794</v>
      </c>
      <c r="M434" s="68" t="s">
        <v>43</v>
      </c>
      <c r="P434" s="396" t="s">
        <v>795</v>
      </c>
      <c r="R434" s="486"/>
      <c r="S434" s="487"/>
      <c r="T434" s="101"/>
      <c r="U434" s="401"/>
      <c r="W434" s="482"/>
    </row>
    <row r="435" spans="1:23" s="68" customFormat="1" ht="14.25" customHeight="1">
      <c r="A435" s="396" t="s">
        <v>36</v>
      </c>
      <c r="B435" s="396" t="s">
        <v>185</v>
      </c>
      <c r="C435" s="396" t="s">
        <v>1005</v>
      </c>
      <c r="D435" s="431" t="s">
        <v>2817</v>
      </c>
      <c r="E435" s="68" t="s">
        <v>1496</v>
      </c>
      <c r="I435" s="68" t="s">
        <v>2116</v>
      </c>
      <c r="J435" s="68" t="s">
        <v>42</v>
      </c>
      <c r="K435" s="68" t="s">
        <v>42</v>
      </c>
      <c r="L435" s="68" t="s">
        <v>768</v>
      </c>
      <c r="M435" s="68" t="s">
        <v>43</v>
      </c>
      <c r="N435" s="68">
        <v>24.263786</v>
      </c>
      <c r="O435" s="68">
        <v>97.228835000000004</v>
      </c>
      <c r="P435" s="396" t="s">
        <v>769</v>
      </c>
      <c r="Q435" s="68" t="s">
        <v>758</v>
      </c>
      <c r="R435" s="399">
        <v>181</v>
      </c>
      <c r="S435" s="486">
        <v>906</v>
      </c>
      <c r="T435" s="101"/>
      <c r="U435" s="97" t="s">
        <v>1006</v>
      </c>
      <c r="V435" s="68" t="s">
        <v>768</v>
      </c>
      <c r="W435" s="482"/>
    </row>
    <row r="436" spans="1:23" s="68" customFormat="1" ht="14.25" customHeight="1">
      <c r="A436" s="396" t="s">
        <v>36</v>
      </c>
      <c r="B436" s="396" t="s">
        <v>185</v>
      </c>
      <c r="C436" s="68" t="s">
        <v>764</v>
      </c>
      <c r="D436" s="431" t="s">
        <v>1657</v>
      </c>
      <c r="E436" s="68" t="s">
        <v>1323</v>
      </c>
      <c r="F436" s="68">
        <v>0</v>
      </c>
      <c r="G436" s="68">
        <v>0</v>
      </c>
      <c r="I436" s="68">
        <v>0</v>
      </c>
      <c r="J436" s="68" t="s">
        <v>42</v>
      </c>
      <c r="K436" s="68" t="s">
        <v>42</v>
      </c>
      <c r="L436" s="68" t="s">
        <v>756</v>
      </c>
      <c r="M436" s="68" t="s">
        <v>43</v>
      </c>
      <c r="P436" s="68" t="s">
        <v>757</v>
      </c>
      <c r="R436" s="95"/>
      <c r="S436" s="487"/>
      <c r="T436" s="101"/>
      <c r="U436" s="97"/>
      <c r="V436" s="68" t="s">
        <v>764</v>
      </c>
      <c r="W436" s="482" t="s">
        <v>2117</v>
      </c>
    </row>
    <row r="437" spans="1:23" s="68" customFormat="1" ht="14.25" customHeight="1">
      <c r="A437" s="396" t="s">
        <v>36</v>
      </c>
      <c r="B437" s="482" t="s">
        <v>185</v>
      </c>
      <c r="C437" s="482" t="s">
        <v>188</v>
      </c>
      <c r="D437" s="431" t="s">
        <v>2817</v>
      </c>
      <c r="E437" s="68" t="s">
        <v>1484</v>
      </c>
      <c r="F437" s="68" t="s">
        <v>1783</v>
      </c>
      <c r="G437" s="68" t="s">
        <v>1784</v>
      </c>
      <c r="H437" s="68" t="s">
        <v>40</v>
      </c>
      <c r="I437" s="68" t="s">
        <v>131</v>
      </c>
      <c r="J437" s="68" t="s">
        <v>42</v>
      </c>
      <c r="K437" s="68" t="s">
        <v>42</v>
      </c>
      <c r="L437" s="396" t="s">
        <v>42</v>
      </c>
      <c r="M437" s="68" t="s">
        <v>43</v>
      </c>
      <c r="N437" s="396">
        <v>24.24766</v>
      </c>
      <c r="O437" s="396">
        <v>97.236919999999998</v>
      </c>
      <c r="P437" s="396" t="s">
        <v>757</v>
      </c>
      <c r="Q437" s="68" t="s">
        <v>776</v>
      </c>
      <c r="R437" s="399">
        <v>40</v>
      </c>
      <c r="S437" s="486">
        <v>232</v>
      </c>
      <c r="T437" s="101"/>
      <c r="U437" s="401"/>
      <c r="V437" s="68" t="s">
        <v>188</v>
      </c>
      <c r="W437" s="482"/>
    </row>
    <row r="438" spans="1:23" s="68" customFormat="1" ht="14.25" customHeight="1">
      <c r="A438" s="396" t="s">
        <v>36</v>
      </c>
      <c r="B438" s="396" t="s">
        <v>185</v>
      </c>
      <c r="C438" s="396" t="s">
        <v>1004</v>
      </c>
      <c r="D438" s="431" t="s">
        <v>1657</v>
      </c>
      <c r="E438" s="68" t="s">
        <v>1494</v>
      </c>
      <c r="F438" s="68">
        <v>0</v>
      </c>
      <c r="G438" s="68">
        <v>0</v>
      </c>
      <c r="I438" s="68">
        <v>0</v>
      </c>
      <c r="J438" s="68" t="s">
        <v>42</v>
      </c>
      <c r="K438" s="68" t="s">
        <v>42</v>
      </c>
      <c r="L438" s="396" t="s">
        <v>756</v>
      </c>
      <c r="M438" s="68" t="s">
        <v>43</v>
      </c>
      <c r="N438" s="68">
        <v>24.262418019999998</v>
      </c>
      <c r="O438" s="68">
        <v>97.221556500000005</v>
      </c>
      <c r="P438" s="396" t="s">
        <v>757</v>
      </c>
      <c r="R438" s="399"/>
      <c r="S438" s="487"/>
      <c r="T438" s="101"/>
      <c r="U438" s="401"/>
      <c r="V438" s="68" t="s">
        <v>1004</v>
      </c>
      <c r="W438" s="482" t="s">
        <v>2118</v>
      </c>
    </row>
    <row r="439" spans="1:23" s="68" customFormat="1" ht="14.25" customHeight="1">
      <c r="A439" s="396" t="s">
        <v>36</v>
      </c>
      <c r="B439" s="396" t="s">
        <v>185</v>
      </c>
      <c r="C439" s="396" t="s">
        <v>190</v>
      </c>
      <c r="D439" s="431" t="s">
        <v>2817</v>
      </c>
      <c r="E439" s="68" t="s">
        <v>1495</v>
      </c>
      <c r="F439" s="68" t="s">
        <v>1786</v>
      </c>
      <c r="G439" s="68" t="s">
        <v>1786</v>
      </c>
      <c r="H439" s="68" t="s">
        <v>40</v>
      </c>
      <c r="I439" s="68" t="s">
        <v>232</v>
      </c>
      <c r="J439" s="68" t="s">
        <v>42</v>
      </c>
      <c r="K439" s="68" t="s">
        <v>42</v>
      </c>
      <c r="L439" s="68" t="s">
        <v>42</v>
      </c>
      <c r="M439" s="68" t="s">
        <v>43</v>
      </c>
      <c r="N439" s="68">
        <v>24.263174360000001</v>
      </c>
      <c r="O439" s="68">
        <v>97.240183459999997</v>
      </c>
      <c r="P439" s="396" t="s">
        <v>757</v>
      </c>
      <c r="Q439" s="68" t="s">
        <v>776</v>
      </c>
      <c r="R439" s="399">
        <v>139</v>
      </c>
      <c r="S439" s="486">
        <v>777</v>
      </c>
      <c r="T439" s="101"/>
      <c r="U439" s="97"/>
      <c r="V439" s="68" t="s">
        <v>190</v>
      </c>
      <c r="W439" s="396"/>
    </row>
    <row r="440" spans="1:23" s="68" customFormat="1" ht="14.25" customHeight="1">
      <c r="A440" s="487" t="s">
        <v>36</v>
      </c>
      <c r="B440" s="396" t="s">
        <v>185</v>
      </c>
      <c r="C440" s="390" t="s">
        <v>2013</v>
      </c>
      <c r="D440" s="485"/>
      <c r="J440" s="68" t="s">
        <v>1460</v>
      </c>
      <c r="K440" s="68" t="s">
        <v>42</v>
      </c>
      <c r="L440" s="68" t="s">
        <v>1083</v>
      </c>
      <c r="M440" s="68" t="s">
        <v>43</v>
      </c>
      <c r="N440" s="396"/>
      <c r="O440" s="396"/>
      <c r="P440" s="396" t="s">
        <v>1972</v>
      </c>
      <c r="R440" s="494"/>
      <c r="S440" s="487"/>
      <c r="T440" s="101">
        <v>43298</v>
      </c>
      <c r="U440" s="401"/>
      <c r="W440" s="482"/>
    </row>
    <row r="441" spans="1:23" s="68" customFormat="1" ht="14.25" customHeight="1">
      <c r="A441" s="396" t="s">
        <v>36</v>
      </c>
      <c r="B441" s="482" t="s">
        <v>185</v>
      </c>
      <c r="C441" s="482" t="s">
        <v>191</v>
      </c>
      <c r="D441" s="431" t="s">
        <v>2817</v>
      </c>
      <c r="E441" s="68" t="s">
        <v>1490</v>
      </c>
      <c r="F441" s="68" t="s">
        <v>1783</v>
      </c>
      <c r="G441" s="68" t="s">
        <v>1784</v>
      </c>
      <c r="H441" s="68" t="s">
        <v>40</v>
      </c>
      <c r="I441" s="68" t="s">
        <v>232</v>
      </c>
      <c r="J441" s="68" t="s">
        <v>42</v>
      </c>
      <c r="K441" s="68" t="s">
        <v>42</v>
      </c>
      <c r="L441" s="68" t="s">
        <v>42</v>
      </c>
      <c r="M441" s="68" t="s">
        <v>43</v>
      </c>
      <c r="N441" s="68">
        <v>24.253067000000001</v>
      </c>
      <c r="O441" s="68">
        <v>97.234200000000001</v>
      </c>
      <c r="P441" s="396" t="s">
        <v>757</v>
      </c>
      <c r="Q441" s="68" t="s">
        <v>776</v>
      </c>
      <c r="R441" s="399">
        <v>14</v>
      </c>
      <c r="S441" s="486">
        <v>55</v>
      </c>
      <c r="T441" s="101"/>
      <c r="U441" s="401"/>
      <c r="V441" s="68" t="s">
        <v>191</v>
      </c>
      <c r="W441" s="482"/>
    </row>
    <row r="442" spans="1:23" s="68" customFormat="1" ht="14.25" customHeight="1">
      <c r="A442" s="396" t="s">
        <v>36</v>
      </c>
      <c r="B442" s="482" t="s">
        <v>185</v>
      </c>
      <c r="C442" s="482" t="s">
        <v>193</v>
      </c>
      <c r="D442" s="431" t="s">
        <v>2817</v>
      </c>
      <c r="E442" s="68" t="s">
        <v>1500</v>
      </c>
      <c r="F442" s="68" t="s">
        <v>1790</v>
      </c>
      <c r="G442" s="68" t="s">
        <v>1790</v>
      </c>
      <c r="H442" s="68" t="s">
        <v>40</v>
      </c>
      <c r="I442" s="68" t="s">
        <v>41</v>
      </c>
      <c r="J442" s="68" t="s">
        <v>42</v>
      </c>
      <c r="K442" s="482" t="s">
        <v>42</v>
      </c>
      <c r="L442" s="482" t="s">
        <v>756</v>
      </c>
      <c r="M442" s="68" t="s">
        <v>43</v>
      </c>
      <c r="N442" s="68">
        <v>24.32638</v>
      </c>
      <c r="O442" s="68">
        <v>97.315860000000001</v>
      </c>
      <c r="P442" s="68" t="s">
        <v>757</v>
      </c>
      <c r="Q442" s="68" t="s">
        <v>776</v>
      </c>
      <c r="R442" s="399"/>
      <c r="S442" s="486"/>
      <c r="T442" s="101"/>
      <c r="U442" s="97"/>
      <c r="V442" s="68" t="s">
        <v>193</v>
      </c>
      <c r="W442" s="396"/>
    </row>
    <row r="443" spans="1:23" s="68" customFormat="1" ht="14.25" customHeight="1">
      <c r="A443" s="396" t="s">
        <v>36</v>
      </c>
      <c r="B443" s="396" t="s">
        <v>185</v>
      </c>
      <c r="C443" s="482" t="s">
        <v>269</v>
      </c>
      <c r="D443" s="431" t="s">
        <v>2817</v>
      </c>
      <c r="E443" s="68" t="s">
        <v>1481</v>
      </c>
      <c r="F443" s="68" t="s">
        <v>1780</v>
      </c>
      <c r="G443" s="68" t="s">
        <v>1781</v>
      </c>
      <c r="H443" s="68" t="s">
        <v>40</v>
      </c>
      <c r="I443" s="68" t="s">
        <v>131</v>
      </c>
      <c r="J443" s="68" t="s">
        <v>42</v>
      </c>
      <c r="K443" s="482" t="s">
        <v>42</v>
      </c>
      <c r="L443" s="482" t="s">
        <v>42</v>
      </c>
      <c r="M443" s="68" t="s">
        <v>43</v>
      </c>
      <c r="N443" s="68">
        <v>24.222349999999999</v>
      </c>
      <c r="O443" s="68">
        <v>97.252650000000003</v>
      </c>
      <c r="P443" s="68" t="s">
        <v>757</v>
      </c>
      <c r="Q443" s="68" t="s">
        <v>776</v>
      </c>
      <c r="R443" s="399">
        <v>147</v>
      </c>
      <c r="S443" s="486">
        <v>783</v>
      </c>
      <c r="T443" s="101"/>
      <c r="U443" s="97"/>
      <c r="V443" s="68" t="s">
        <v>269</v>
      </c>
      <c r="W443" s="482"/>
    </row>
    <row r="444" spans="1:23" s="68" customFormat="1" ht="14.25" customHeight="1">
      <c r="A444" s="396" t="s">
        <v>36</v>
      </c>
      <c r="B444" s="484" t="s">
        <v>185</v>
      </c>
      <c r="C444" s="484" t="s">
        <v>270</v>
      </c>
      <c r="D444" s="431" t="s">
        <v>2817</v>
      </c>
      <c r="E444" s="68" t="s">
        <v>1497</v>
      </c>
      <c r="F444" s="484" t="s">
        <v>1783</v>
      </c>
      <c r="G444" s="68" t="s">
        <v>1787</v>
      </c>
      <c r="H444" s="68" t="s">
        <v>40</v>
      </c>
      <c r="I444" s="68" t="s">
        <v>131</v>
      </c>
      <c r="J444" s="68" t="s">
        <v>42</v>
      </c>
      <c r="K444" s="482" t="s">
        <v>42</v>
      </c>
      <c r="L444" s="482" t="s">
        <v>42</v>
      </c>
      <c r="M444" s="68" t="s">
        <v>43</v>
      </c>
      <c r="N444" s="68">
        <v>24.26829283</v>
      </c>
      <c r="O444" s="68">
        <v>97.229116809999994</v>
      </c>
      <c r="P444" s="68" t="s">
        <v>757</v>
      </c>
      <c r="Q444" s="68" t="s">
        <v>776</v>
      </c>
      <c r="R444" s="490">
        <v>641</v>
      </c>
      <c r="S444" s="490">
        <v>4027</v>
      </c>
      <c r="T444" s="101"/>
      <c r="U444" s="97"/>
      <c r="V444" s="68" t="s">
        <v>270</v>
      </c>
      <c r="W444" s="391" t="s">
        <v>2246</v>
      </c>
    </row>
    <row r="445" spans="1:23" s="68" customFormat="1" ht="14.25" customHeight="1">
      <c r="A445" s="491" t="s">
        <v>36</v>
      </c>
      <c r="B445" s="490" t="s">
        <v>185</v>
      </c>
      <c r="C445" s="496" t="s">
        <v>1650</v>
      </c>
      <c r="D445" s="431" t="s">
        <v>1656</v>
      </c>
      <c r="E445" s="484"/>
      <c r="F445" s="484"/>
      <c r="G445" s="484"/>
      <c r="H445" s="484" t="s">
        <v>126</v>
      </c>
      <c r="I445" s="484"/>
      <c r="J445" s="484" t="s">
        <v>1460</v>
      </c>
      <c r="K445" s="68" t="s">
        <v>42</v>
      </c>
      <c r="L445" s="68" t="s">
        <v>42</v>
      </c>
      <c r="M445" s="68" t="s">
        <v>43</v>
      </c>
      <c r="N445" s="484"/>
      <c r="O445" s="484"/>
      <c r="P445" s="68" t="s">
        <v>757</v>
      </c>
      <c r="Q445" s="484"/>
      <c r="R445" s="495"/>
      <c r="S445" s="491"/>
      <c r="T445" s="507">
        <v>43245</v>
      </c>
      <c r="U445" s="492"/>
      <c r="V445" s="484"/>
      <c r="W445" s="482"/>
    </row>
    <row r="446" spans="1:23" s="68" customFormat="1" ht="14.25" customHeight="1">
      <c r="A446" s="396" t="s">
        <v>36</v>
      </c>
      <c r="B446" s="484" t="s">
        <v>185</v>
      </c>
      <c r="C446" s="484" t="s">
        <v>1007</v>
      </c>
      <c r="D446" s="431" t="s">
        <v>1941</v>
      </c>
      <c r="E446" s="484" t="s">
        <v>1499</v>
      </c>
      <c r="F446" s="396" t="s">
        <v>1783</v>
      </c>
      <c r="G446" s="396" t="s">
        <v>1863</v>
      </c>
      <c r="H446" s="396" t="s">
        <v>40</v>
      </c>
      <c r="I446" s="396" t="s">
        <v>232</v>
      </c>
      <c r="J446" s="396" t="s">
        <v>42</v>
      </c>
      <c r="K446" s="396" t="s">
        <v>42</v>
      </c>
      <c r="L446" s="396" t="s">
        <v>756</v>
      </c>
      <c r="M446" s="396" t="s">
        <v>43</v>
      </c>
      <c r="N446" s="396">
        <v>24.29138</v>
      </c>
      <c r="O446" s="396">
        <v>97.227789999999999</v>
      </c>
      <c r="P446" s="396" t="s">
        <v>757</v>
      </c>
      <c r="Q446" s="396" t="s">
        <v>758</v>
      </c>
      <c r="R446" s="399"/>
      <c r="S446" s="487"/>
      <c r="T446" s="412">
        <v>43276</v>
      </c>
      <c r="U446" s="401" t="s">
        <v>1942</v>
      </c>
      <c r="V446" s="396" t="s">
        <v>1007</v>
      </c>
      <c r="W446" s="391" t="s">
        <v>2119</v>
      </c>
    </row>
    <row r="447" spans="1:23" s="68" customFormat="1" ht="14.25" customHeight="1">
      <c r="A447" s="482" t="s">
        <v>36</v>
      </c>
      <c r="B447" s="484" t="s">
        <v>185</v>
      </c>
      <c r="C447" s="484" t="s">
        <v>787</v>
      </c>
      <c r="D447" s="431" t="s">
        <v>1657</v>
      </c>
      <c r="E447" s="484" t="s">
        <v>1343</v>
      </c>
      <c r="F447" s="68">
        <v>0</v>
      </c>
      <c r="G447" s="68">
        <v>0</v>
      </c>
      <c r="I447" s="68">
        <v>0</v>
      </c>
      <c r="J447" s="68" t="s">
        <v>42</v>
      </c>
      <c r="K447" s="396" t="s">
        <v>42</v>
      </c>
      <c r="L447" s="396" t="s">
        <v>756</v>
      </c>
      <c r="M447" s="68" t="s">
        <v>43</v>
      </c>
      <c r="P447" s="68" t="s">
        <v>757</v>
      </c>
      <c r="R447" s="486"/>
      <c r="S447" s="487"/>
      <c r="T447" s="101"/>
      <c r="U447" s="97"/>
      <c r="V447" s="68" t="s">
        <v>787</v>
      </c>
      <c r="W447" s="68" t="s">
        <v>2120</v>
      </c>
    </row>
    <row r="448" spans="1:23" s="68" customFormat="1" ht="14.25" customHeight="1">
      <c r="A448" s="482" t="s">
        <v>36</v>
      </c>
      <c r="B448" s="484" t="s">
        <v>185</v>
      </c>
      <c r="C448" s="484" t="s">
        <v>194</v>
      </c>
      <c r="D448" s="431" t="s">
        <v>2657</v>
      </c>
      <c r="E448" s="484" t="s">
        <v>1485</v>
      </c>
      <c r="F448" s="482" t="s">
        <v>1780</v>
      </c>
      <c r="G448" s="482" t="s">
        <v>1780</v>
      </c>
      <c r="H448" s="482" t="s">
        <v>40</v>
      </c>
      <c r="I448" s="68" t="s">
        <v>232</v>
      </c>
      <c r="J448" s="68" t="s">
        <v>42</v>
      </c>
      <c r="K448" s="68" t="s">
        <v>42</v>
      </c>
      <c r="L448" s="482" t="s">
        <v>756</v>
      </c>
      <c r="M448" s="68" t="s">
        <v>43</v>
      </c>
      <c r="N448" s="482">
        <v>24.24953</v>
      </c>
      <c r="O448" s="482">
        <v>97.240639999999999</v>
      </c>
      <c r="P448" s="482" t="s">
        <v>757</v>
      </c>
      <c r="Q448" s="68" t="s">
        <v>776</v>
      </c>
      <c r="R448" s="486"/>
      <c r="S448" s="486"/>
      <c r="T448" s="101"/>
      <c r="U448" s="488"/>
      <c r="V448" s="482" t="s">
        <v>194</v>
      </c>
      <c r="W448" s="482"/>
    </row>
    <row r="449" spans="1:23" s="68" customFormat="1" ht="14.25" customHeight="1">
      <c r="A449" s="482" t="s">
        <v>36</v>
      </c>
      <c r="B449" s="482" t="s">
        <v>136</v>
      </c>
      <c r="C449" s="482" t="s">
        <v>1094</v>
      </c>
      <c r="D449" s="431" t="s">
        <v>1656</v>
      </c>
      <c r="E449" s="482"/>
      <c r="F449" s="482"/>
      <c r="G449" s="482"/>
      <c r="H449" s="482"/>
      <c r="J449" s="68" t="s">
        <v>42</v>
      </c>
      <c r="K449" s="68" t="s">
        <v>42</v>
      </c>
      <c r="L449" s="482" t="s">
        <v>1095</v>
      </c>
      <c r="M449" s="68" t="s">
        <v>43</v>
      </c>
      <c r="N449" s="482"/>
      <c r="O449" s="482"/>
      <c r="P449" s="482" t="s">
        <v>757</v>
      </c>
      <c r="R449" s="399"/>
      <c r="S449" s="487"/>
      <c r="T449" s="101"/>
      <c r="U449" s="488"/>
      <c r="V449" s="482" t="s">
        <v>1094</v>
      </c>
      <c r="W449" s="482"/>
    </row>
    <row r="450" spans="1:23" s="68" customFormat="1" ht="14.25" customHeight="1">
      <c r="A450" s="482" t="s">
        <v>36</v>
      </c>
      <c r="B450" s="482" t="s">
        <v>136</v>
      </c>
      <c r="C450" s="482" t="s">
        <v>235</v>
      </c>
      <c r="D450" s="431" t="s">
        <v>2817</v>
      </c>
      <c r="E450" s="482" t="s">
        <v>1605</v>
      </c>
      <c r="F450" s="482" t="s">
        <v>1844</v>
      </c>
      <c r="G450" s="482" t="s">
        <v>1845</v>
      </c>
      <c r="H450" s="482" t="s">
        <v>40</v>
      </c>
      <c r="I450" s="68" t="s">
        <v>232</v>
      </c>
      <c r="J450" s="68" t="s">
        <v>42</v>
      </c>
      <c r="K450" s="396" t="s">
        <v>42</v>
      </c>
      <c r="L450" s="482" t="s">
        <v>42</v>
      </c>
      <c r="M450" s="68" t="s">
        <v>43</v>
      </c>
      <c r="N450" s="482">
        <v>25.889410000000002</v>
      </c>
      <c r="O450" s="482">
        <v>98.131550000000004</v>
      </c>
      <c r="P450" s="482" t="s">
        <v>757</v>
      </c>
      <c r="Q450" s="68" t="s">
        <v>776</v>
      </c>
      <c r="R450" s="399">
        <v>163</v>
      </c>
      <c r="S450" s="486">
        <v>830</v>
      </c>
      <c r="T450" s="101"/>
      <c r="U450" s="488"/>
      <c r="V450" s="482" t="s">
        <v>235</v>
      </c>
      <c r="W450" s="482"/>
    </row>
    <row r="451" spans="1:23" s="68" customFormat="1" ht="14.25" customHeight="1">
      <c r="A451" s="482" t="s">
        <v>36</v>
      </c>
      <c r="B451" s="482" t="s">
        <v>136</v>
      </c>
      <c r="C451" s="482" t="s">
        <v>765</v>
      </c>
      <c r="D451" s="431" t="s">
        <v>1657</v>
      </c>
      <c r="E451" s="482" t="s">
        <v>1324</v>
      </c>
      <c r="F451" s="482">
        <v>0</v>
      </c>
      <c r="G451" s="482">
        <v>0</v>
      </c>
      <c r="H451" s="482" t="s">
        <v>40</v>
      </c>
      <c r="I451" s="68" t="s">
        <v>1325</v>
      </c>
      <c r="J451" s="68" t="s">
        <v>42</v>
      </c>
      <c r="K451" s="396" t="s">
        <v>42</v>
      </c>
      <c r="L451" s="482" t="s">
        <v>756</v>
      </c>
      <c r="M451" s="68" t="s">
        <v>43</v>
      </c>
      <c r="N451" s="482"/>
      <c r="O451" s="482"/>
      <c r="P451" s="482" t="s">
        <v>757</v>
      </c>
      <c r="R451" s="486"/>
      <c r="S451" s="487"/>
      <c r="T451" s="101"/>
      <c r="U451" s="488"/>
      <c r="V451" s="482" t="s">
        <v>765</v>
      </c>
      <c r="W451" s="391" t="s">
        <v>2121</v>
      </c>
    </row>
    <row r="452" spans="1:23" s="68" customFormat="1" ht="14.25" customHeight="1">
      <c r="A452" s="482" t="s">
        <v>36</v>
      </c>
      <c r="B452" s="482" t="s">
        <v>136</v>
      </c>
      <c r="C452" s="482" t="s">
        <v>137</v>
      </c>
      <c r="D452" s="431" t="s">
        <v>2817</v>
      </c>
      <c r="E452" s="482" t="s">
        <v>1601</v>
      </c>
      <c r="F452" s="482" t="s">
        <v>1841</v>
      </c>
      <c r="G452" s="482" t="s">
        <v>1842</v>
      </c>
      <c r="H452" s="482" t="s">
        <v>40</v>
      </c>
      <c r="I452" s="68" t="s">
        <v>131</v>
      </c>
      <c r="J452" s="68" t="s">
        <v>42</v>
      </c>
      <c r="K452" s="68" t="s">
        <v>42</v>
      </c>
      <c r="L452" s="482" t="s">
        <v>42</v>
      </c>
      <c r="M452" s="68" t="s">
        <v>774</v>
      </c>
      <c r="N452" s="482">
        <v>25.754110000000001</v>
      </c>
      <c r="O452" s="482">
        <v>98.475719999999995</v>
      </c>
      <c r="P452" s="482" t="s">
        <v>757</v>
      </c>
      <c r="Q452" s="68" t="s">
        <v>776</v>
      </c>
      <c r="R452" s="486">
        <v>163</v>
      </c>
      <c r="S452" s="486">
        <v>967</v>
      </c>
      <c r="T452" s="101"/>
      <c r="U452" s="488"/>
      <c r="V452" s="482" t="s">
        <v>137</v>
      </c>
      <c r="W452" s="391" t="s">
        <v>2247</v>
      </c>
    </row>
    <row r="453" spans="1:23" s="68" customFormat="1" ht="14.25" customHeight="1">
      <c r="A453" s="482" t="s">
        <v>36</v>
      </c>
      <c r="B453" s="482" t="s">
        <v>136</v>
      </c>
      <c r="C453" s="482" t="s">
        <v>1058</v>
      </c>
      <c r="D453" s="431" t="s">
        <v>1657</v>
      </c>
      <c r="E453" s="482" t="s">
        <v>1599</v>
      </c>
      <c r="F453" s="482" t="s">
        <v>1722</v>
      </c>
      <c r="G453" s="482" t="s">
        <v>1723</v>
      </c>
      <c r="H453" s="482"/>
      <c r="I453" s="482">
        <v>0</v>
      </c>
      <c r="J453" s="68" t="s">
        <v>42</v>
      </c>
      <c r="K453" s="482" t="s">
        <v>42</v>
      </c>
      <c r="L453" s="482" t="s">
        <v>756</v>
      </c>
      <c r="M453" s="68" t="s">
        <v>43</v>
      </c>
      <c r="N453" s="68">
        <v>25.708763000000001</v>
      </c>
      <c r="O453" s="68">
        <v>98.354146999999998</v>
      </c>
      <c r="P453" s="482" t="s">
        <v>769</v>
      </c>
      <c r="Q453" s="68" t="s">
        <v>758</v>
      </c>
      <c r="R453" s="486"/>
      <c r="S453" s="487"/>
      <c r="T453" s="101">
        <v>42983</v>
      </c>
      <c r="U453" s="97" t="s">
        <v>1059</v>
      </c>
      <c r="V453" s="68" t="s">
        <v>1058</v>
      </c>
      <c r="W453" s="482" t="s">
        <v>2122</v>
      </c>
    </row>
    <row r="454" spans="1:23" s="68" customFormat="1" ht="14.25" customHeight="1">
      <c r="A454" s="482" t="s">
        <v>36</v>
      </c>
      <c r="B454" s="482" t="s">
        <v>136</v>
      </c>
      <c r="C454" s="482" t="s">
        <v>237</v>
      </c>
      <c r="D454" s="431" t="s">
        <v>2817</v>
      </c>
      <c r="E454" s="482" t="s">
        <v>1604</v>
      </c>
      <c r="F454" s="482" t="s">
        <v>1686</v>
      </c>
      <c r="G454" s="482" t="s">
        <v>1843</v>
      </c>
      <c r="H454" s="482" t="s">
        <v>40</v>
      </c>
      <c r="I454" s="482" t="s">
        <v>232</v>
      </c>
      <c r="J454" s="396" t="s">
        <v>42</v>
      </c>
      <c r="K454" s="482" t="s">
        <v>42</v>
      </c>
      <c r="L454" s="482" t="s">
        <v>42</v>
      </c>
      <c r="M454" s="482" t="s">
        <v>43</v>
      </c>
      <c r="N454" s="482">
        <v>25.887339999999998</v>
      </c>
      <c r="O454" s="482">
        <v>98.129990000000006</v>
      </c>
      <c r="P454" s="482" t="s">
        <v>757</v>
      </c>
      <c r="Q454" s="482" t="s">
        <v>776</v>
      </c>
      <c r="R454" s="486">
        <v>206</v>
      </c>
      <c r="S454" s="486">
        <v>856</v>
      </c>
      <c r="T454" s="506"/>
      <c r="U454" s="488"/>
      <c r="V454" s="482" t="s">
        <v>237</v>
      </c>
      <c r="W454" s="482"/>
    </row>
    <row r="455" spans="1:23" s="68" customFormat="1" ht="14.25" customHeight="1">
      <c r="A455" s="482" t="s">
        <v>36</v>
      </c>
      <c r="B455" s="482" t="s">
        <v>136</v>
      </c>
      <c r="C455" s="482" t="s">
        <v>215</v>
      </c>
      <c r="D455" s="431" t="s">
        <v>2817</v>
      </c>
      <c r="E455" s="396" t="s">
        <v>1582</v>
      </c>
      <c r="F455" s="396" t="s">
        <v>1836</v>
      </c>
      <c r="G455" s="396" t="s">
        <v>1706</v>
      </c>
      <c r="H455" s="396" t="s">
        <v>40</v>
      </c>
      <c r="I455" s="396" t="s">
        <v>1325</v>
      </c>
      <c r="J455" s="68" t="s">
        <v>42</v>
      </c>
      <c r="K455" s="482" t="s">
        <v>42</v>
      </c>
      <c r="L455" s="482" t="s">
        <v>42</v>
      </c>
      <c r="M455" s="396" t="s">
        <v>43</v>
      </c>
      <c r="N455" s="396">
        <v>25.60867</v>
      </c>
      <c r="O455" s="396">
        <v>98.377780000000001</v>
      </c>
      <c r="P455" s="396" t="s">
        <v>757</v>
      </c>
      <c r="Q455" s="396" t="s">
        <v>776</v>
      </c>
      <c r="R455" s="486">
        <v>57</v>
      </c>
      <c r="S455" s="486">
        <v>274</v>
      </c>
      <c r="T455" s="412"/>
      <c r="U455" s="401"/>
      <c r="V455" s="396" t="s">
        <v>215</v>
      </c>
    </row>
    <row r="456" spans="1:23" s="68" customFormat="1" ht="14.25" customHeight="1">
      <c r="A456" s="482" t="s">
        <v>36</v>
      </c>
      <c r="B456" s="484" t="s">
        <v>136</v>
      </c>
      <c r="C456" s="484" t="s">
        <v>217</v>
      </c>
      <c r="D456" s="431" t="s">
        <v>2817</v>
      </c>
      <c r="E456" s="68" t="s">
        <v>1592</v>
      </c>
      <c r="F456" s="68" t="s">
        <v>1723</v>
      </c>
      <c r="G456" s="68" t="s">
        <v>217</v>
      </c>
      <c r="H456" s="68" t="s">
        <v>40</v>
      </c>
      <c r="I456" s="68" t="s">
        <v>1325</v>
      </c>
      <c r="J456" s="68" t="s">
        <v>42</v>
      </c>
      <c r="K456" s="482" t="s">
        <v>42</v>
      </c>
      <c r="L456" s="482" t="s">
        <v>42</v>
      </c>
      <c r="M456" s="68" t="s">
        <v>43</v>
      </c>
      <c r="N456" s="68">
        <v>25.645959999999999</v>
      </c>
      <c r="O456" s="68">
        <v>98.356260000000006</v>
      </c>
      <c r="P456" s="482" t="s">
        <v>757</v>
      </c>
      <c r="Q456" s="68" t="s">
        <v>776</v>
      </c>
      <c r="R456" s="486">
        <v>32</v>
      </c>
      <c r="S456" s="486">
        <v>167</v>
      </c>
      <c r="T456" s="101"/>
      <c r="U456" s="97"/>
      <c r="V456" s="68" t="s">
        <v>1053</v>
      </c>
      <c r="W456" s="482"/>
    </row>
    <row r="457" spans="1:23" s="68" customFormat="1" ht="14.25" customHeight="1">
      <c r="A457" s="482" t="s">
        <v>36</v>
      </c>
      <c r="B457" s="482" t="s">
        <v>138</v>
      </c>
      <c r="C457" s="482" t="s">
        <v>1054</v>
      </c>
      <c r="D457" s="431" t="s">
        <v>1657</v>
      </c>
      <c r="E457" s="482" t="s">
        <v>1595</v>
      </c>
      <c r="F457" s="482" t="s">
        <v>1720</v>
      </c>
      <c r="G457" s="482" t="s">
        <v>1720</v>
      </c>
      <c r="H457" s="482" t="s">
        <v>40</v>
      </c>
      <c r="I457" s="68" t="s">
        <v>131</v>
      </c>
      <c r="J457" s="68" t="s">
        <v>42</v>
      </c>
      <c r="K457" s="68" t="s">
        <v>42</v>
      </c>
      <c r="L457" s="482" t="s">
        <v>756</v>
      </c>
      <c r="M457" s="68" t="s">
        <v>43</v>
      </c>
      <c r="N457" s="482">
        <v>25.656130000000001</v>
      </c>
      <c r="O457" s="482">
        <v>96.355270000000004</v>
      </c>
      <c r="P457" s="482" t="s">
        <v>757</v>
      </c>
      <c r="Q457" s="68" t="s">
        <v>776</v>
      </c>
      <c r="R457" s="399"/>
      <c r="S457" s="487"/>
      <c r="T457" s="101">
        <v>42983</v>
      </c>
      <c r="U457" s="488" t="s">
        <v>1055</v>
      </c>
      <c r="V457" s="482" t="s">
        <v>1054</v>
      </c>
      <c r="W457" s="391" t="s">
        <v>2123</v>
      </c>
    </row>
    <row r="458" spans="1:23" s="68" customFormat="1" ht="14.25" customHeight="1">
      <c r="A458" s="396" t="s">
        <v>36</v>
      </c>
      <c r="B458" s="396" t="s">
        <v>138</v>
      </c>
      <c r="C458" s="396" t="s">
        <v>220</v>
      </c>
      <c r="D458" s="431" t="s">
        <v>2817</v>
      </c>
      <c r="E458" s="68" t="s">
        <v>1594</v>
      </c>
      <c r="F458" s="68" t="s">
        <v>1720</v>
      </c>
      <c r="G458" s="68" t="s">
        <v>1720</v>
      </c>
      <c r="H458" s="68" t="s">
        <v>40</v>
      </c>
      <c r="I458" s="68" t="s">
        <v>1325</v>
      </c>
      <c r="J458" s="68" t="s">
        <v>42</v>
      </c>
      <c r="K458" s="68" t="s">
        <v>42</v>
      </c>
      <c r="L458" s="68" t="s">
        <v>42</v>
      </c>
      <c r="M458" s="68" t="s">
        <v>43</v>
      </c>
      <c r="N458" s="68">
        <v>25.656009999999998</v>
      </c>
      <c r="O458" s="68">
        <v>96.361609999999999</v>
      </c>
      <c r="P458" s="68" t="s">
        <v>757</v>
      </c>
      <c r="Q458" s="68" t="s">
        <v>776</v>
      </c>
      <c r="R458" s="399">
        <v>68</v>
      </c>
      <c r="S458" s="486">
        <v>343</v>
      </c>
      <c r="T458" s="101"/>
      <c r="U458" s="97"/>
      <c r="V458" s="68" t="s">
        <v>220</v>
      </c>
      <c r="W458" s="482"/>
    </row>
    <row r="459" spans="1:23" s="68" customFormat="1" ht="14.25" customHeight="1">
      <c r="A459" s="482" t="s">
        <v>36</v>
      </c>
      <c r="B459" s="482" t="s">
        <v>138</v>
      </c>
      <c r="C459" s="482" t="s">
        <v>1064</v>
      </c>
      <c r="D459" s="431" t="s">
        <v>1657</v>
      </c>
      <c r="E459" s="482" t="s">
        <v>1606</v>
      </c>
      <c r="F459" s="482" t="s">
        <v>1727</v>
      </c>
      <c r="G459" s="482" t="s">
        <v>1728</v>
      </c>
      <c r="H459" s="482"/>
      <c r="I459" s="68">
        <v>0</v>
      </c>
      <c r="J459" s="68" t="s">
        <v>42</v>
      </c>
      <c r="K459" s="482" t="s">
        <v>42</v>
      </c>
      <c r="L459" s="482" t="s">
        <v>756</v>
      </c>
      <c r="M459" s="68" t="s">
        <v>43</v>
      </c>
      <c r="N459" s="482">
        <v>25.920006000000001</v>
      </c>
      <c r="O459" s="482">
        <v>96.662092000000001</v>
      </c>
      <c r="P459" s="482" t="s">
        <v>757</v>
      </c>
      <c r="Q459" s="68" t="s">
        <v>758</v>
      </c>
      <c r="R459" s="486"/>
      <c r="S459" s="487"/>
      <c r="T459" s="101"/>
      <c r="U459" s="488"/>
      <c r="V459" s="482"/>
      <c r="W459" s="391" t="s">
        <v>2124</v>
      </c>
    </row>
    <row r="460" spans="1:23" s="68" customFormat="1" ht="14.25" customHeight="1">
      <c r="A460" s="482" t="s">
        <v>36</v>
      </c>
      <c r="B460" s="482" t="s">
        <v>138</v>
      </c>
      <c r="C460" s="482" t="s">
        <v>238</v>
      </c>
      <c r="D460" s="431" t="s">
        <v>2817</v>
      </c>
      <c r="E460" s="68" t="s">
        <v>1590</v>
      </c>
      <c r="F460" s="68" t="s">
        <v>1720</v>
      </c>
      <c r="G460" s="68" t="s">
        <v>1720</v>
      </c>
      <c r="H460" s="68" t="s">
        <v>40</v>
      </c>
      <c r="I460" s="68" t="s">
        <v>232</v>
      </c>
      <c r="J460" s="68" t="s">
        <v>42</v>
      </c>
      <c r="K460" s="68" t="s">
        <v>42</v>
      </c>
      <c r="L460" s="68" t="s">
        <v>42</v>
      </c>
      <c r="M460" s="68" t="s">
        <v>43</v>
      </c>
      <c r="N460" s="68">
        <v>25.635300000000001</v>
      </c>
      <c r="O460" s="68">
        <v>96.345569999999995</v>
      </c>
      <c r="P460" s="68" t="s">
        <v>757</v>
      </c>
      <c r="Q460" s="68" t="s">
        <v>776</v>
      </c>
      <c r="R460" s="486">
        <v>70</v>
      </c>
      <c r="S460" s="486">
        <v>372</v>
      </c>
      <c r="T460" s="101"/>
      <c r="U460" s="97"/>
      <c r="V460" s="68" t="s">
        <v>238</v>
      </c>
      <c r="W460" s="482"/>
    </row>
    <row r="461" spans="1:23" s="68" customFormat="1" ht="14.25" customHeight="1">
      <c r="A461" s="396" t="s">
        <v>36</v>
      </c>
      <c r="B461" s="396" t="s">
        <v>138</v>
      </c>
      <c r="C461" s="396" t="s">
        <v>239</v>
      </c>
      <c r="D461" s="431" t="s">
        <v>2817</v>
      </c>
      <c r="E461" s="68" t="s">
        <v>1587</v>
      </c>
      <c r="F461" s="68" t="s">
        <v>1837</v>
      </c>
      <c r="G461" s="68" t="s">
        <v>1838</v>
      </c>
      <c r="H461" s="68" t="s">
        <v>40</v>
      </c>
      <c r="I461" s="68" t="s">
        <v>232</v>
      </c>
      <c r="J461" s="68" t="s">
        <v>42</v>
      </c>
      <c r="K461" s="68" t="s">
        <v>42</v>
      </c>
      <c r="L461" s="68" t="s">
        <v>42</v>
      </c>
      <c r="M461" s="68" t="s">
        <v>43</v>
      </c>
      <c r="N461" s="68">
        <v>25.616509000000001</v>
      </c>
      <c r="O461" s="68">
        <v>96.317350000000005</v>
      </c>
      <c r="P461" s="482" t="s">
        <v>757</v>
      </c>
      <c r="Q461" s="68" t="s">
        <v>776</v>
      </c>
      <c r="R461" s="399">
        <v>13</v>
      </c>
      <c r="S461" s="486">
        <v>84</v>
      </c>
      <c r="T461" s="101"/>
      <c r="U461" s="97"/>
      <c r="V461" s="68" t="s">
        <v>239</v>
      </c>
      <c r="W461" s="482"/>
    </row>
    <row r="462" spans="1:23" s="68" customFormat="1" ht="14.25" customHeight="1">
      <c r="A462" s="396" t="s">
        <v>36</v>
      </c>
      <c r="B462" s="482" t="s">
        <v>138</v>
      </c>
      <c r="C462" s="482" t="s">
        <v>240</v>
      </c>
      <c r="D462" s="431" t="s">
        <v>2817</v>
      </c>
      <c r="E462" s="68" t="s">
        <v>1593</v>
      </c>
      <c r="F462" s="396" t="s">
        <v>1720</v>
      </c>
      <c r="G462" s="68" t="s">
        <v>1840</v>
      </c>
      <c r="H462" s="68" t="s">
        <v>40</v>
      </c>
      <c r="I462" s="68" t="s">
        <v>131</v>
      </c>
      <c r="J462" s="68" t="s">
        <v>42</v>
      </c>
      <c r="K462" s="68" t="s">
        <v>42</v>
      </c>
      <c r="L462" s="68" t="s">
        <v>42</v>
      </c>
      <c r="M462" s="68" t="s">
        <v>43</v>
      </c>
      <c r="N462" s="68">
        <v>25.647649999999999</v>
      </c>
      <c r="O462" s="68">
        <v>96.346469999999997</v>
      </c>
      <c r="P462" s="68" t="s">
        <v>757</v>
      </c>
      <c r="Q462" s="68" t="s">
        <v>776</v>
      </c>
      <c r="R462" s="399">
        <v>36</v>
      </c>
      <c r="S462" s="486">
        <v>227</v>
      </c>
      <c r="T462" s="101"/>
      <c r="U462" s="97"/>
      <c r="V462" s="68" t="s">
        <v>240</v>
      </c>
      <c r="W462" s="482"/>
    </row>
    <row r="463" spans="1:23" s="68" customFormat="1" ht="14.25" customHeight="1">
      <c r="A463" s="396" t="s">
        <v>36</v>
      </c>
      <c r="B463" s="482" t="s">
        <v>138</v>
      </c>
      <c r="C463" s="482" t="s">
        <v>1060</v>
      </c>
      <c r="D463" s="431" t="s">
        <v>1657</v>
      </c>
      <c r="E463" s="68" t="s">
        <v>1600</v>
      </c>
      <c r="F463" s="68" t="s">
        <v>1724</v>
      </c>
      <c r="G463" s="68" t="s">
        <v>1725</v>
      </c>
      <c r="H463" s="68" t="s">
        <v>40</v>
      </c>
      <c r="I463" s="68" t="s">
        <v>232</v>
      </c>
      <c r="J463" s="68" t="s">
        <v>42</v>
      </c>
      <c r="K463" s="482" t="s">
        <v>42</v>
      </c>
      <c r="L463" s="482" t="s">
        <v>756</v>
      </c>
      <c r="M463" s="68" t="s">
        <v>43</v>
      </c>
      <c r="N463" s="68">
        <v>25.728653000000001</v>
      </c>
      <c r="O463" s="68">
        <v>96.673805000000002</v>
      </c>
      <c r="P463" s="68" t="s">
        <v>757</v>
      </c>
      <c r="R463" s="95"/>
      <c r="S463" s="487"/>
      <c r="T463" s="101"/>
      <c r="U463" s="97"/>
      <c r="V463" s="68" t="s">
        <v>1060</v>
      </c>
      <c r="W463" s="391" t="s">
        <v>2125</v>
      </c>
    </row>
    <row r="464" spans="1:23" s="68" customFormat="1" ht="14.25" customHeight="1">
      <c r="A464" s="482" t="s">
        <v>36</v>
      </c>
      <c r="B464" s="482" t="s">
        <v>138</v>
      </c>
      <c r="C464" s="482" t="s">
        <v>1057</v>
      </c>
      <c r="D464" s="431" t="s">
        <v>1657</v>
      </c>
      <c r="E464" s="68" t="s">
        <v>1598</v>
      </c>
      <c r="F464" s="68" t="s">
        <v>1720</v>
      </c>
      <c r="G464" s="68" t="s">
        <v>1721</v>
      </c>
      <c r="I464" s="68">
        <v>0</v>
      </c>
      <c r="J464" s="68" t="s">
        <v>42</v>
      </c>
      <c r="K464" s="482" t="s">
        <v>42</v>
      </c>
      <c r="L464" s="482" t="s">
        <v>756</v>
      </c>
      <c r="M464" s="68" t="s">
        <v>43</v>
      </c>
      <c r="N464" s="68">
        <v>25.668469999999999</v>
      </c>
      <c r="O464" s="68">
        <v>96.353070000000002</v>
      </c>
      <c r="P464" s="68" t="s">
        <v>757</v>
      </c>
      <c r="R464" s="486"/>
      <c r="S464" s="487"/>
      <c r="T464" s="101"/>
      <c r="U464" s="97"/>
      <c r="V464" s="68" t="s">
        <v>1057</v>
      </c>
      <c r="W464" s="482" t="s">
        <v>2126</v>
      </c>
    </row>
    <row r="465" spans="1:23" s="68" customFormat="1" ht="14.25" customHeight="1">
      <c r="A465" s="396" t="s">
        <v>36</v>
      </c>
      <c r="B465" s="396" t="s">
        <v>138</v>
      </c>
      <c r="C465" s="482" t="s">
        <v>241</v>
      </c>
      <c r="D465" s="431" t="s">
        <v>2817</v>
      </c>
      <c r="E465" s="68" t="s">
        <v>1580</v>
      </c>
      <c r="F465" s="68" t="s">
        <v>1673</v>
      </c>
      <c r="G465" s="68" t="s">
        <v>1673</v>
      </c>
      <c r="H465" s="68" t="s">
        <v>40</v>
      </c>
      <c r="I465" s="68" t="s">
        <v>2116</v>
      </c>
      <c r="J465" s="68" t="s">
        <v>42</v>
      </c>
      <c r="K465" s="482" t="s">
        <v>42</v>
      </c>
      <c r="L465" s="482" t="s">
        <v>772</v>
      </c>
      <c r="M465" s="68" t="s">
        <v>43</v>
      </c>
      <c r="N465" s="68">
        <v>25.582065</v>
      </c>
      <c r="O465" s="68">
        <v>96.283377000000002</v>
      </c>
      <c r="P465" s="68" t="s">
        <v>757</v>
      </c>
      <c r="Q465" s="68" t="s">
        <v>776</v>
      </c>
      <c r="R465" s="399">
        <v>6</v>
      </c>
      <c r="S465" s="486">
        <v>31</v>
      </c>
      <c r="T465" s="101"/>
      <c r="U465" s="97"/>
      <c r="V465" s="68" t="s">
        <v>241</v>
      </c>
      <c r="W465" s="396"/>
    </row>
    <row r="466" spans="1:23" s="68" customFormat="1" ht="14.25" customHeight="1">
      <c r="A466" s="396" t="s">
        <v>36</v>
      </c>
      <c r="B466" s="482" t="s">
        <v>138</v>
      </c>
      <c r="C466" s="482" t="s">
        <v>242</v>
      </c>
      <c r="D466" s="431" t="s">
        <v>2817</v>
      </c>
      <c r="E466" s="68" t="s">
        <v>1591</v>
      </c>
      <c r="F466" s="68" t="s">
        <v>1720</v>
      </c>
      <c r="G466" s="68" t="s">
        <v>1839</v>
      </c>
      <c r="H466" s="68" t="s">
        <v>40</v>
      </c>
      <c r="I466" s="68" t="s">
        <v>232</v>
      </c>
      <c r="J466" s="68" t="s">
        <v>42</v>
      </c>
      <c r="K466" s="482" t="s">
        <v>42</v>
      </c>
      <c r="L466" s="482" t="s">
        <v>42</v>
      </c>
      <c r="M466" s="68" t="s">
        <v>43</v>
      </c>
      <c r="N466" s="68">
        <v>25.637309999999999</v>
      </c>
      <c r="O466" s="68">
        <v>96.35257</v>
      </c>
      <c r="P466" s="68" t="s">
        <v>757</v>
      </c>
      <c r="Q466" s="68" t="s">
        <v>776</v>
      </c>
      <c r="R466" s="399">
        <v>70</v>
      </c>
      <c r="S466" s="486">
        <v>376</v>
      </c>
      <c r="T466" s="101"/>
      <c r="U466" s="97"/>
      <c r="V466" s="68" t="s">
        <v>242</v>
      </c>
      <c r="W466" s="482"/>
    </row>
    <row r="467" spans="1:23" s="68" customFormat="1" ht="14.25" customHeight="1">
      <c r="A467" s="396" t="s">
        <v>36</v>
      </c>
      <c r="B467" s="482" t="s">
        <v>138</v>
      </c>
      <c r="C467" s="482" t="s">
        <v>139</v>
      </c>
      <c r="D467" s="431" t="s">
        <v>2817</v>
      </c>
      <c r="E467" s="482" t="s">
        <v>1575</v>
      </c>
      <c r="F467" s="396" t="s">
        <v>1832</v>
      </c>
      <c r="G467" s="68" t="s">
        <v>1833</v>
      </c>
      <c r="H467" s="68" t="s">
        <v>40</v>
      </c>
      <c r="I467" s="68" t="s">
        <v>131</v>
      </c>
      <c r="J467" s="68" t="s">
        <v>42</v>
      </c>
      <c r="K467" s="482" t="s">
        <v>42</v>
      </c>
      <c r="L467" s="482" t="s">
        <v>42</v>
      </c>
      <c r="M467" s="68" t="s">
        <v>43</v>
      </c>
      <c r="N467" s="68">
        <v>25.51352</v>
      </c>
      <c r="O467" s="68">
        <v>96.705960000000005</v>
      </c>
      <c r="P467" s="68" t="s">
        <v>757</v>
      </c>
      <c r="Q467" s="68" t="s">
        <v>776</v>
      </c>
      <c r="R467" s="399">
        <v>34</v>
      </c>
      <c r="S467" s="486">
        <v>137</v>
      </c>
      <c r="T467" s="101"/>
      <c r="U467" s="97"/>
      <c r="V467" s="68" t="s">
        <v>139</v>
      </c>
      <c r="W467" s="482"/>
    </row>
    <row r="468" spans="1:23" s="68" customFormat="1" ht="14.25" customHeight="1">
      <c r="A468" s="396" t="s">
        <v>36</v>
      </c>
      <c r="B468" s="482" t="s">
        <v>138</v>
      </c>
      <c r="C468" s="482" t="s">
        <v>243</v>
      </c>
      <c r="D468" s="431" t="s">
        <v>2817</v>
      </c>
      <c r="E468" s="482" t="s">
        <v>1586</v>
      </c>
      <c r="F468" s="68" t="s">
        <v>1837</v>
      </c>
      <c r="G468" s="68" t="s">
        <v>1838</v>
      </c>
      <c r="H468" s="68" t="s">
        <v>40</v>
      </c>
      <c r="I468" s="68" t="s">
        <v>2116</v>
      </c>
      <c r="J468" s="68" t="s">
        <v>42</v>
      </c>
      <c r="K468" s="482" t="s">
        <v>42</v>
      </c>
      <c r="L468" s="482" t="s">
        <v>772</v>
      </c>
      <c r="M468" s="68" t="s">
        <v>43</v>
      </c>
      <c r="N468" s="68">
        <v>25.615960999999999</v>
      </c>
      <c r="O468" s="68">
        <v>96.316564</v>
      </c>
      <c r="P468" s="68" t="s">
        <v>757</v>
      </c>
      <c r="Q468" s="68" t="s">
        <v>776</v>
      </c>
      <c r="R468" s="399">
        <v>2</v>
      </c>
      <c r="S468" s="486">
        <v>14</v>
      </c>
      <c r="T468" s="101"/>
      <c r="U468" s="97"/>
      <c r="V468" s="68" t="s">
        <v>243</v>
      </c>
      <c r="W468" s="482"/>
    </row>
    <row r="469" spans="1:23" s="68" customFormat="1" ht="14.25" customHeight="1">
      <c r="A469" s="396" t="s">
        <v>36</v>
      </c>
      <c r="B469" s="482" t="s">
        <v>138</v>
      </c>
      <c r="C469" s="482" t="s">
        <v>244</v>
      </c>
      <c r="D469" s="431" t="s">
        <v>2817</v>
      </c>
      <c r="E469" s="68" t="s">
        <v>1583</v>
      </c>
      <c r="F469" s="68" t="s">
        <v>1835</v>
      </c>
      <c r="G469" s="68" t="s">
        <v>1835</v>
      </c>
      <c r="H469" s="68" t="s">
        <v>40</v>
      </c>
      <c r="I469" s="68" t="s">
        <v>131</v>
      </c>
      <c r="J469" s="68" t="s">
        <v>42</v>
      </c>
      <c r="K469" s="482" t="s">
        <v>42</v>
      </c>
      <c r="L469" s="482" t="s">
        <v>42</v>
      </c>
      <c r="M469" s="68" t="s">
        <v>43</v>
      </c>
      <c r="N469" s="68">
        <v>25.611160000000002</v>
      </c>
      <c r="O469" s="68">
        <v>96.312790000000007</v>
      </c>
      <c r="P469" s="68" t="s">
        <v>757</v>
      </c>
      <c r="Q469" s="396" t="s">
        <v>776</v>
      </c>
      <c r="R469" s="399">
        <v>107</v>
      </c>
      <c r="S469" s="486">
        <v>519</v>
      </c>
      <c r="T469" s="412"/>
      <c r="U469" s="97"/>
      <c r="V469" s="68" t="s">
        <v>244</v>
      </c>
      <c r="W469" s="396"/>
    </row>
    <row r="470" spans="1:23" s="68" customFormat="1" ht="14.25" customHeight="1">
      <c r="A470" s="491" t="s">
        <v>36</v>
      </c>
      <c r="B470" s="490" t="s">
        <v>138</v>
      </c>
      <c r="C470" s="484" t="s">
        <v>1929</v>
      </c>
      <c r="D470" s="485" t="s">
        <v>1656</v>
      </c>
      <c r="J470" s="68" t="s">
        <v>1460</v>
      </c>
      <c r="K470" s="68" t="s">
        <v>42</v>
      </c>
      <c r="L470" s="68" t="s">
        <v>42</v>
      </c>
      <c r="M470" s="68" t="s">
        <v>43</v>
      </c>
      <c r="P470" s="68" t="s">
        <v>757</v>
      </c>
      <c r="Q470" s="68" t="s">
        <v>1930</v>
      </c>
      <c r="R470" s="494"/>
      <c r="S470" s="487"/>
      <c r="T470" s="101">
        <v>43270</v>
      </c>
      <c r="U470" s="97"/>
      <c r="W470" s="482"/>
    </row>
    <row r="471" spans="1:23" s="68" customFormat="1" ht="14.25" customHeight="1">
      <c r="A471" s="491" t="s">
        <v>36</v>
      </c>
      <c r="B471" s="490" t="s">
        <v>138</v>
      </c>
      <c r="C471" s="484" t="s">
        <v>1963</v>
      </c>
      <c r="D471" s="431" t="s">
        <v>2817</v>
      </c>
      <c r="E471" s="484" t="s">
        <v>1964</v>
      </c>
      <c r="F471" s="484"/>
      <c r="G471" s="484"/>
      <c r="H471" s="484"/>
      <c r="I471" s="68" t="s">
        <v>1325</v>
      </c>
      <c r="J471" s="68" t="s">
        <v>42</v>
      </c>
      <c r="K471" s="68" t="s">
        <v>42</v>
      </c>
      <c r="L471" s="484" t="s">
        <v>42</v>
      </c>
      <c r="M471" s="68" t="s">
        <v>43</v>
      </c>
      <c r="N471" s="484"/>
      <c r="O471" s="484"/>
      <c r="P471" s="484" t="s">
        <v>757</v>
      </c>
      <c r="Q471" s="396" t="s">
        <v>1930</v>
      </c>
      <c r="R471" s="399">
        <v>16</v>
      </c>
      <c r="S471" s="486">
        <v>66</v>
      </c>
      <c r="T471" s="412">
        <v>43276</v>
      </c>
      <c r="U471" s="492" t="s">
        <v>1979</v>
      </c>
      <c r="V471" s="484"/>
      <c r="W471" s="391" t="s">
        <v>2248</v>
      </c>
    </row>
    <row r="472" spans="1:23" s="68" customFormat="1" ht="14.25" customHeight="1">
      <c r="A472" s="396" t="s">
        <v>36</v>
      </c>
      <c r="B472" s="482" t="s">
        <v>138</v>
      </c>
      <c r="C472" s="482" t="s">
        <v>1061</v>
      </c>
      <c r="D472" s="431" t="s">
        <v>1657</v>
      </c>
      <c r="E472" s="482" t="s">
        <v>1602</v>
      </c>
      <c r="F472" s="68" t="s">
        <v>1720</v>
      </c>
      <c r="G472" s="68" t="s">
        <v>1726</v>
      </c>
      <c r="H472" s="68" t="s">
        <v>40</v>
      </c>
      <c r="I472" s="68" t="s">
        <v>131</v>
      </c>
      <c r="J472" s="68" t="s">
        <v>42</v>
      </c>
      <c r="K472" s="482" t="s">
        <v>42</v>
      </c>
      <c r="L472" s="482" t="s">
        <v>756</v>
      </c>
      <c r="M472" s="68" t="s">
        <v>43</v>
      </c>
      <c r="N472" s="68">
        <v>25.806999999999999</v>
      </c>
      <c r="O472" s="68">
        <v>96.637</v>
      </c>
      <c r="P472" s="68" t="s">
        <v>757</v>
      </c>
      <c r="Q472" s="68" t="s">
        <v>776</v>
      </c>
      <c r="R472" s="399"/>
      <c r="S472" s="487"/>
      <c r="T472" s="101">
        <v>42983</v>
      </c>
      <c r="U472" s="97" t="s">
        <v>1055</v>
      </c>
      <c r="V472" s="68" t="s">
        <v>1061</v>
      </c>
      <c r="W472" s="391" t="s">
        <v>2128</v>
      </c>
    </row>
    <row r="473" spans="1:23" s="68" customFormat="1" ht="14.25" customHeight="1">
      <c r="A473" s="491" t="s">
        <v>36</v>
      </c>
      <c r="B473" s="490" t="s">
        <v>138</v>
      </c>
      <c r="C473" s="484" t="s">
        <v>1961</v>
      </c>
      <c r="D473" s="431" t="s">
        <v>2817</v>
      </c>
      <c r="E473" s="484" t="s">
        <v>1962</v>
      </c>
      <c r="F473" s="484"/>
      <c r="G473" s="484"/>
      <c r="H473" s="484"/>
      <c r="I473" s="68" t="s">
        <v>1325</v>
      </c>
      <c r="J473" s="68" t="s">
        <v>42</v>
      </c>
      <c r="K473" s="482" t="s">
        <v>42</v>
      </c>
      <c r="L473" s="484" t="s">
        <v>42</v>
      </c>
      <c r="M473" s="68" t="s">
        <v>43</v>
      </c>
      <c r="N473" s="484"/>
      <c r="O473" s="484"/>
      <c r="P473" s="484" t="s">
        <v>757</v>
      </c>
      <c r="Q473" s="68" t="s">
        <v>1930</v>
      </c>
      <c r="R473" s="399">
        <v>47</v>
      </c>
      <c r="S473" s="486">
        <v>218</v>
      </c>
      <c r="T473" s="101">
        <v>43276</v>
      </c>
      <c r="U473" s="492" t="s">
        <v>1979</v>
      </c>
      <c r="V473" s="484"/>
      <c r="W473" s="391" t="s">
        <v>2249</v>
      </c>
    </row>
    <row r="474" spans="1:23" s="68" customFormat="1" ht="14.25" customHeight="1">
      <c r="A474" s="491" t="s">
        <v>36</v>
      </c>
      <c r="B474" s="490" t="s">
        <v>138</v>
      </c>
      <c r="C474" s="484" t="s">
        <v>1931</v>
      </c>
      <c r="D474" s="485"/>
      <c r="E474" s="482"/>
      <c r="F474" s="482"/>
      <c r="G474" s="482"/>
      <c r="H474" s="482"/>
      <c r="I474" s="482"/>
      <c r="J474" s="68" t="s">
        <v>1460</v>
      </c>
      <c r="K474" s="482" t="s">
        <v>42</v>
      </c>
      <c r="L474" s="482" t="s">
        <v>42</v>
      </c>
      <c r="M474" s="68" t="s">
        <v>43</v>
      </c>
      <c r="P474" s="68" t="s">
        <v>757</v>
      </c>
      <c r="Q474" s="68" t="s">
        <v>1930</v>
      </c>
      <c r="R474" s="494"/>
      <c r="S474" s="487"/>
      <c r="T474" s="101">
        <v>43270</v>
      </c>
      <c r="U474" s="97"/>
      <c r="W474" s="482"/>
    </row>
    <row r="475" spans="1:23" s="68" customFormat="1" ht="14.25" customHeight="1">
      <c r="A475" s="482" t="s">
        <v>36</v>
      </c>
      <c r="B475" s="482" t="s">
        <v>138</v>
      </c>
      <c r="C475" s="482" t="s">
        <v>233</v>
      </c>
      <c r="D475" s="431" t="s">
        <v>2817</v>
      </c>
      <c r="E475" s="482" t="s">
        <v>1621</v>
      </c>
      <c r="F475" s="482" t="s">
        <v>1720</v>
      </c>
      <c r="G475" s="482" t="s">
        <v>1849</v>
      </c>
      <c r="H475" s="482" t="s">
        <v>40</v>
      </c>
      <c r="I475" s="482" t="s">
        <v>131</v>
      </c>
      <c r="J475" s="68" t="s">
        <v>42</v>
      </c>
      <c r="K475" s="482" t="s">
        <v>42</v>
      </c>
      <c r="L475" s="482" t="s">
        <v>1083</v>
      </c>
      <c r="M475" s="482" t="s">
        <v>43</v>
      </c>
      <c r="N475" s="482"/>
      <c r="O475" s="482"/>
      <c r="P475" s="17" t="s">
        <v>1974</v>
      </c>
      <c r="Q475" s="482" t="s">
        <v>922</v>
      </c>
      <c r="R475" s="486">
        <v>124</v>
      </c>
      <c r="S475" s="486">
        <v>673</v>
      </c>
      <c r="T475" s="506">
        <v>42983</v>
      </c>
      <c r="U475" s="488" t="s">
        <v>1101</v>
      </c>
      <c r="V475" s="482"/>
      <c r="W475" s="391" t="s">
        <v>2625</v>
      </c>
    </row>
    <row r="476" spans="1:23" s="68" customFormat="1" ht="14.25" customHeight="1">
      <c r="A476" s="482" t="s">
        <v>36</v>
      </c>
      <c r="B476" s="482" t="s">
        <v>138</v>
      </c>
      <c r="C476" s="482" t="s">
        <v>245</v>
      </c>
      <c r="D476" s="431" t="s">
        <v>2817</v>
      </c>
      <c r="E476" s="482" t="s">
        <v>1577</v>
      </c>
      <c r="F476" s="482" t="s">
        <v>1673</v>
      </c>
      <c r="G476" s="482" t="s">
        <v>1674</v>
      </c>
      <c r="H476" s="482" t="s">
        <v>40</v>
      </c>
      <c r="I476" s="482" t="s">
        <v>232</v>
      </c>
      <c r="J476" s="68" t="s">
        <v>42</v>
      </c>
      <c r="K476" s="482" t="s">
        <v>42</v>
      </c>
      <c r="L476" s="482" t="s">
        <v>42</v>
      </c>
      <c r="M476" s="482" t="s">
        <v>43</v>
      </c>
      <c r="N476" s="482">
        <v>25.566510000000001</v>
      </c>
      <c r="O476" s="482">
        <v>96.269199999999998</v>
      </c>
      <c r="P476" s="68" t="s">
        <v>757</v>
      </c>
      <c r="Q476" s="482" t="s">
        <v>776</v>
      </c>
      <c r="R476" s="486">
        <v>18</v>
      </c>
      <c r="S476" s="486">
        <v>105</v>
      </c>
      <c r="T476" s="506"/>
      <c r="U476" s="488"/>
      <c r="V476" s="482" t="s">
        <v>245</v>
      </c>
      <c r="W476" s="482"/>
    </row>
    <row r="477" spans="1:23" s="68" customFormat="1" ht="14.25" customHeight="1">
      <c r="A477" s="396" t="s">
        <v>36</v>
      </c>
      <c r="B477" s="482" t="s">
        <v>138</v>
      </c>
      <c r="C477" s="482" t="s">
        <v>246</v>
      </c>
      <c r="D477" s="431" t="s">
        <v>2817</v>
      </c>
      <c r="E477" s="68" t="s">
        <v>1589</v>
      </c>
      <c r="F477" s="68" t="s">
        <v>1837</v>
      </c>
      <c r="G477" s="68" t="s">
        <v>1838</v>
      </c>
      <c r="H477" s="68" t="s">
        <v>40</v>
      </c>
      <c r="I477" s="68" t="s">
        <v>232</v>
      </c>
      <c r="J477" s="68" t="s">
        <v>42</v>
      </c>
      <c r="K477" s="68" t="s">
        <v>42</v>
      </c>
      <c r="L477" s="68" t="s">
        <v>42</v>
      </c>
      <c r="M477" s="68" t="s">
        <v>43</v>
      </c>
      <c r="N477" s="68">
        <v>25.61842</v>
      </c>
      <c r="O477" s="68">
        <v>96.316400000000002</v>
      </c>
      <c r="P477" s="68" t="s">
        <v>757</v>
      </c>
      <c r="Q477" s="68" t="s">
        <v>776</v>
      </c>
      <c r="R477" s="399">
        <v>12</v>
      </c>
      <c r="S477" s="486">
        <v>60</v>
      </c>
      <c r="T477" s="101"/>
      <c r="U477" s="97"/>
      <c r="V477" s="68" t="s">
        <v>246</v>
      </c>
      <c r="W477" s="482"/>
    </row>
    <row r="478" spans="1:23" s="68" customFormat="1" ht="14.25" customHeight="1">
      <c r="A478" s="487" t="s">
        <v>36</v>
      </c>
      <c r="B478" s="490" t="s">
        <v>138</v>
      </c>
      <c r="C478" s="491" t="s">
        <v>2012</v>
      </c>
      <c r="D478" s="485"/>
      <c r="E478" s="482"/>
      <c r="F478" s="482"/>
      <c r="G478" s="482"/>
      <c r="H478" s="482"/>
      <c r="I478" s="482"/>
      <c r="J478" s="68" t="s">
        <v>1460</v>
      </c>
      <c r="K478" s="484" t="s">
        <v>42</v>
      </c>
      <c r="L478" s="484" t="s">
        <v>772</v>
      </c>
      <c r="M478" s="68" t="s">
        <v>43</v>
      </c>
      <c r="P478" s="68" t="s">
        <v>757</v>
      </c>
      <c r="R478" s="494"/>
      <c r="S478" s="487"/>
      <c r="T478" s="101">
        <v>43297</v>
      </c>
      <c r="U478" s="97"/>
      <c r="W478" s="482"/>
    </row>
    <row r="479" spans="1:23" s="68" customFormat="1" ht="14.25" customHeight="1">
      <c r="A479" s="482" t="s">
        <v>36</v>
      </c>
      <c r="B479" s="482" t="s">
        <v>138</v>
      </c>
      <c r="C479" s="482" t="s">
        <v>247</v>
      </c>
      <c r="D479" s="431" t="s">
        <v>2817</v>
      </c>
      <c r="E479" s="482" t="s">
        <v>1585</v>
      </c>
      <c r="F479" s="482" t="s">
        <v>1837</v>
      </c>
      <c r="G479" s="482" t="s">
        <v>1838</v>
      </c>
      <c r="H479" s="482" t="s">
        <v>40</v>
      </c>
      <c r="I479" s="482" t="s">
        <v>2116</v>
      </c>
      <c r="J479" s="68" t="s">
        <v>42</v>
      </c>
      <c r="K479" s="482" t="s">
        <v>42</v>
      </c>
      <c r="L479" s="482" t="s">
        <v>772</v>
      </c>
      <c r="M479" s="482" t="s">
        <v>43</v>
      </c>
      <c r="N479" s="482">
        <v>25.6145</v>
      </c>
      <c r="O479" s="482">
        <v>96.319829999999996</v>
      </c>
      <c r="P479" s="68" t="s">
        <v>757</v>
      </c>
      <c r="Q479" s="482" t="s">
        <v>776</v>
      </c>
      <c r="R479" s="486">
        <v>3</v>
      </c>
      <c r="S479" s="486">
        <v>15</v>
      </c>
      <c r="T479" s="506"/>
      <c r="U479" s="488"/>
      <c r="V479" s="482" t="s">
        <v>247</v>
      </c>
    </row>
    <row r="480" spans="1:23" s="68" customFormat="1" ht="14.25" customHeight="1">
      <c r="A480" s="396" t="s">
        <v>36</v>
      </c>
      <c r="B480" s="396" t="s">
        <v>138</v>
      </c>
      <c r="C480" s="68" t="s">
        <v>1056</v>
      </c>
      <c r="D480" s="431" t="s">
        <v>1657</v>
      </c>
      <c r="E480" s="68" t="s">
        <v>1596</v>
      </c>
      <c r="F480" s="68" t="s">
        <v>1720</v>
      </c>
      <c r="G480" s="68" t="s">
        <v>1720</v>
      </c>
      <c r="I480" s="68">
        <v>0</v>
      </c>
      <c r="J480" s="68" t="s">
        <v>42</v>
      </c>
      <c r="K480" s="68" t="s">
        <v>42</v>
      </c>
      <c r="L480" s="68" t="s">
        <v>756</v>
      </c>
      <c r="M480" s="68" t="s">
        <v>43</v>
      </c>
      <c r="N480" s="68">
        <v>25.658670000000001</v>
      </c>
      <c r="O480" s="68">
        <v>96.354159999999993</v>
      </c>
      <c r="P480" s="68" t="s">
        <v>757</v>
      </c>
      <c r="R480" s="95"/>
      <c r="S480" s="487"/>
      <c r="T480" s="101"/>
      <c r="U480" s="97"/>
      <c r="V480" s="68" t="s">
        <v>1056</v>
      </c>
      <c r="W480" s="396" t="s">
        <v>2129</v>
      </c>
    </row>
    <row r="481" spans="1:23" s="68" customFormat="1" ht="14.25" customHeight="1">
      <c r="A481" s="396" t="s">
        <v>36</v>
      </c>
      <c r="B481" s="396" t="s">
        <v>138</v>
      </c>
      <c r="C481" s="396" t="s">
        <v>180</v>
      </c>
      <c r="D481" s="431" t="s">
        <v>2817</v>
      </c>
      <c r="E481" s="482" t="s">
        <v>1607</v>
      </c>
      <c r="F481" s="68" t="s">
        <v>1727</v>
      </c>
      <c r="G481" s="68" t="s">
        <v>1728</v>
      </c>
      <c r="H481" s="68" t="s">
        <v>40</v>
      </c>
      <c r="I481" s="68" t="s">
        <v>1325</v>
      </c>
      <c r="J481" s="68" t="s">
        <v>42</v>
      </c>
      <c r="K481" s="68" t="s">
        <v>42</v>
      </c>
      <c r="L481" s="68" t="s">
        <v>42</v>
      </c>
      <c r="M481" s="68" t="s">
        <v>43</v>
      </c>
      <c r="N481" s="68">
        <v>25.920006000000001</v>
      </c>
      <c r="O481" s="68">
        <v>96.662092000000001</v>
      </c>
      <c r="P481" s="68" t="s">
        <v>757</v>
      </c>
      <c r="Q481" s="68" t="s">
        <v>758</v>
      </c>
      <c r="R481" s="399">
        <v>25</v>
      </c>
      <c r="S481" s="486">
        <v>113</v>
      </c>
      <c r="T481" s="101"/>
      <c r="U481" s="97"/>
      <c r="W481" s="482"/>
    </row>
    <row r="482" spans="1:23" s="68" customFormat="1" ht="14.25" customHeight="1">
      <c r="A482" s="396" t="s">
        <v>36</v>
      </c>
      <c r="B482" s="396" t="s">
        <v>138</v>
      </c>
      <c r="C482" s="68" t="s">
        <v>248</v>
      </c>
      <c r="D482" s="431" t="s">
        <v>2817</v>
      </c>
      <c r="E482" s="68" t="s">
        <v>1588</v>
      </c>
      <c r="F482" s="68" t="s">
        <v>1835</v>
      </c>
      <c r="G482" s="68" t="s">
        <v>1835</v>
      </c>
      <c r="H482" s="68" t="s">
        <v>40</v>
      </c>
      <c r="I482" s="68" t="s">
        <v>2116</v>
      </c>
      <c r="J482" s="68" t="s">
        <v>42</v>
      </c>
      <c r="K482" s="68" t="s">
        <v>42</v>
      </c>
      <c r="L482" s="68" t="s">
        <v>772</v>
      </c>
      <c r="M482" s="68" t="s">
        <v>43</v>
      </c>
      <c r="N482" s="68">
        <v>25.617998</v>
      </c>
      <c r="O482" s="68">
        <v>96.339590000000001</v>
      </c>
      <c r="P482" s="68" t="s">
        <v>757</v>
      </c>
      <c r="Q482" s="68" t="s">
        <v>776</v>
      </c>
      <c r="R482" s="95">
        <v>11</v>
      </c>
      <c r="S482" s="486">
        <v>43</v>
      </c>
      <c r="T482" s="101"/>
      <c r="U482" s="97"/>
      <c r="V482" s="68" t="s">
        <v>248</v>
      </c>
      <c r="W482" s="482"/>
    </row>
    <row r="483" spans="1:23" s="68" customFormat="1" ht="14.25" customHeight="1">
      <c r="A483" s="482" t="s">
        <v>36</v>
      </c>
      <c r="B483" s="482" t="s">
        <v>138</v>
      </c>
      <c r="C483" s="482" t="s">
        <v>221</v>
      </c>
      <c r="D483" s="431" t="s">
        <v>2817</v>
      </c>
      <c r="E483" s="482" t="s">
        <v>1584</v>
      </c>
      <c r="F483" s="482" t="s">
        <v>1835</v>
      </c>
      <c r="G483" s="482" t="s">
        <v>1835</v>
      </c>
      <c r="H483" s="482" t="s">
        <v>40</v>
      </c>
      <c r="I483" s="482" t="s">
        <v>1325</v>
      </c>
      <c r="J483" s="396" t="s">
        <v>42</v>
      </c>
      <c r="K483" s="482" t="s">
        <v>42</v>
      </c>
      <c r="L483" s="482" t="s">
        <v>42</v>
      </c>
      <c r="M483" s="396" t="s">
        <v>43</v>
      </c>
      <c r="N483" s="396">
        <v>25.613894999999999</v>
      </c>
      <c r="O483" s="396">
        <v>96.341352999999998</v>
      </c>
      <c r="P483" s="68" t="s">
        <v>757</v>
      </c>
      <c r="Q483" s="396" t="s">
        <v>776</v>
      </c>
      <c r="R483" s="486">
        <v>47</v>
      </c>
      <c r="S483" s="486">
        <v>225</v>
      </c>
      <c r="T483" s="412"/>
      <c r="U483" s="401"/>
      <c r="V483" s="396" t="s">
        <v>221</v>
      </c>
    </row>
    <row r="484" spans="1:23" s="68" customFormat="1" ht="14.25" customHeight="1">
      <c r="A484" s="482" t="s">
        <v>36</v>
      </c>
      <c r="B484" s="482" t="s">
        <v>138</v>
      </c>
      <c r="C484" s="482" t="s">
        <v>249</v>
      </c>
      <c r="D484" s="431" t="s">
        <v>2817</v>
      </c>
      <c r="E484" s="482" t="s">
        <v>1576</v>
      </c>
      <c r="F484" s="482" t="s">
        <v>1673</v>
      </c>
      <c r="G484" s="482" t="s">
        <v>1674</v>
      </c>
      <c r="H484" s="482" t="s">
        <v>40</v>
      </c>
      <c r="I484" s="482" t="s">
        <v>2116</v>
      </c>
      <c r="J484" s="68" t="s">
        <v>42</v>
      </c>
      <c r="K484" s="482" t="s">
        <v>42</v>
      </c>
      <c r="L484" s="482" t="s">
        <v>772</v>
      </c>
      <c r="M484" s="482" t="s">
        <v>43</v>
      </c>
      <c r="N484" s="482">
        <v>25.56551</v>
      </c>
      <c r="O484" s="482">
        <v>96.279200000000003</v>
      </c>
      <c r="P484" s="68" t="s">
        <v>757</v>
      </c>
      <c r="Q484" s="482" t="s">
        <v>776</v>
      </c>
      <c r="R484" s="486">
        <v>10</v>
      </c>
      <c r="S484" s="486">
        <v>38</v>
      </c>
      <c r="T484" s="506"/>
      <c r="U484" s="488"/>
      <c r="V484" s="482" t="s">
        <v>249</v>
      </c>
      <c r="W484" s="482"/>
    </row>
    <row r="485" spans="1:23" s="68" customFormat="1" ht="14.25" customHeight="1">
      <c r="A485" s="482" t="s">
        <v>36</v>
      </c>
      <c r="B485" s="484" t="s">
        <v>138</v>
      </c>
      <c r="C485" s="484" t="s">
        <v>250</v>
      </c>
      <c r="D485" s="431" t="s">
        <v>1657</v>
      </c>
      <c r="E485" s="68" t="s">
        <v>1597</v>
      </c>
      <c r="F485" s="68" t="s">
        <v>1673</v>
      </c>
      <c r="G485" s="68" t="s">
        <v>1674</v>
      </c>
      <c r="H485" s="68" t="s">
        <v>40</v>
      </c>
      <c r="I485" s="68" t="s">
        <v>131</v>
      </c>
      <c r="J485" s="68" t="s">
        <v>42</v>
      </c>
      <c r="K485" s="68" t="s">
        <v>42</v>
      </c>
      <c r="L485" s="68" t="s">
        <v>756</v>
      </c>
      <c r="M485" s="68" t="s">
        <v>43</v>
      </c>
      <c r="N485" s="396">
        <v>25.668399999999998</v>
      </c>
      <c r="O485" s="396">
        <v>96.353030000000004</v>
      </c>
      <c r="P485" s="482" t="s">
        <v>757</v>
      </c>
      <c r="Q485" s="68" t="s">
        <v>776</v>
      </c>
      <c r="R485" s="95"/>
      <c r="S485" s="487"/>
      <c r="T485" s="101"/>
      <c r="U485" s="97"/>
      <c r="V485" s="68" t="s">
        <v>250</v>
      </c>
      <c r="W485" s="391" t="s">
        <v>2626</v>
      </c>
    </row>
    <row r="486" spans="1:23" s="68" customFormat="1" ht="14.25" customHeight="1">
      <c r="A486" s="396" t="s">
        <v>36</v>
      </c>
      <c r="B486" s="484" t="s">
        <v>138</v>
      </c>
      <c r="C486" s="484" t="s">
        <v>178</v>
      </c>
      <c r="D486" s="431" t="s">
        <v>2817</v>
      </c>
      <c r="E486" s="396" t="s">
        <v>1608</v>
      </c>
      <c r="F486" s="396" t="s">
        <v>1727</v>
      </c>
      <c r="G486" s="396" t="s">
        <v>1728</v>
      </c>
      <c r="H486" s="396" t="s">
        <v>40</v>
      </c>
      <c r="I486" s="396" t="s">
        <v>131</v>
      </c>
      <c r="J486" s="396" t="s">
        <v>42</v>
      </c>
      <c r="K486" s="484" t="s">
        <v>42</v>
      </c>
      <c r="L486" s="484" t="s">
        <v>42</v>
      </c>
      <c r="M486" s="396" t="s">
        <v>43</v>
      </c>
      <c r="N486" s="396">
        <v>25.920006000000001</v>
      </c>
      <c r="O486" s="396">
        <v>96.662092000000001</v>
      </c>
      <c r="P486" s="68" t="s">
        <v>757</v>
      </c>
      <c r="Q486" s="396" t="s">
        <v>758</v>
      </c>
      <c r="R486" s="399">
        <v>28</v>
      </c>
      <c r="S486" s="486">
        <v>126</v>
      </c>
      <c r="T486" s="412"/>
      <c r="U486" s="401"/>
      <c r="V486" s="396"/>
      <c r="W486" s="482"/>
    </row>
    <row r="487" spans="1:23" s="68" customFormat="1" ht="14.25" customHeight="1">
      <c r="A487" s="482" t="s">
        <v>36</v>
      </c>
      <c r="B487" s="482" t="s">
        <v>138</v>
      </c>
      <c r="C487" s="484" t="s">
        <v>179</v>
      </c>
      <c r="D487" s="431" t="s">
        <v>2817</v>
      </c>
      <c r="E487" s="396" t="s">
        <v>1609</v>
      </c>
      <c r="F487" s="396" t="s">
        <v>1727</v>
      </c>
      <c r="G487" s="396" t="s">
        <v>1728</v>
      </c>
      <c r="H487" s="396" t="s">
        <v>40</v>
      </c>
      <c r="I487" s="396" t="s">
        <v>2116</v>
      </c>
      <c r="J487" s="396" t="s">
        <v>42</v>
      </c>
      <c r="K487" s="484" t="s">
        <v>42</v>
      </c>
      <c r="L487" s="484" t="s">
        <v>772</v>
      </c>
      <c r="M487" s="396" t="s">
        <v>43</v>
      </c>
      <c r="N487" s="396">
        <v>25.920006000000001</v>
      </c>
      <c r="O487" s="396">
        <v>96.662092000000001</v>
      </c>
      <c r="P487" s="68" t="s">
        <v>757</v>
      </c>
      <c r="Q487" s="396" t="s">
        <v>758</v>
      </c>
      <c r="R487" s="486">
        <v>4</v>
      </c>
      <c r="S487" s="486">
        <v>11</v>
      </c>
      <c r="T487" s="412"/>
      <c r="U487" s="401" t="s">
        <v>2709</v>
      </c>
      <c r="V487" s="396"/>
      <c r="W487" s="396"/>
    </row>
    <row r="488" spans="1:23" s="68" customFormat="1" ht="14.25" customHeight="1">
      <c r="A488" s="482" t="s">
        <v>36</v>
      </c>
      <c r="B488" s="482" t="s">
        <v>138</v>
      </c>
      <c r="C488" s="484" t="s">
        <v>181</v>
      </c>
      <c r="D488" s="431" t="s">
        <v>1656</v>
      </c>
      <c r="J488" s="68" t="s">
        <v>1460</v>
      </c>
      <c r="K488" s="484" t="s">
        <v>42</v>
      </c>
      <c r="L488" s="484" t="s">
        <v>42</v>
      </c>
      <c r="M488" s="68" t="s">
        <v>43</v>
      </c>
      <c r="P488" s="482" t="s">
        <v>757</v>
      </c>
      <c r="Q488" s="68" t="s">
        <v>758</v>
      </c>
      <c r="R488" s="399"/>
      <c r="S488" s="487"/>
      <c r="T488" s="101">
        <v>42824</v>
      </c>
      <c r="U488" s="97"/>
      <c r="W488" s="482"/>
    </row>
    <row r="489" spans="1:23" s="68" customFormat="1" ht="14.25" customHeight="1">
      <c r="A489" s="482" t="s">
        <v>36</v>
      </c>
      <c r="B489" s="484" t="s">
        <v>138</v>
      </c>
      <c r="C489" s="484" t="s">
        <v>1065</v>
      </c>
      <c r="D489" s="431" t="s">
        <v>1657</v>
      </c>
      <c r="E489" s="68" t="s">
        <v>1610</v>
      </c>
      <c r="F489" s="68" t="s">
        <v>1727</v>
      </c>
      <c r="G489" s="68" t="s">
        <v>1728</v>
      </c>
      <c r="I489" s="68">
        <v>0</v>
      </c>
      <c r="J489" s="68" t="s">
        <v>42</v>
      </c>
      <c r="K489" s="68" t="s">
        <v>42</v>
      </c>
      <c r="L489" s="68" t="s">
        <v>756</v>
      </c>
      <c r="M489" s="68" t="s">
        <v>43</v>
      </c>
      <c r="N489" s="68">
        <v>25.920006000000001</v>
      </c>
      <c r="O489" s="68">
        <v>96.662092000000001</v>
      </c>
      <c r="P489" s="68" t="s">
        <v>757</v>
      </c>
      <c r="Q489" s="68" t="s">
        <v>758</v>
      </c>
      <c r="R489" s="486"/>
      <c r="S489" s="487"/>
      <c r="T489" s="101"/>
      <c r="U489" s="97"/>
      <c r="W489" s="391" t="s">
        <v>2124</v>
      </c>
    </row>
    <row r="490" spans="1:23" s="68" customFormat="1" ht="14.25" customHeight="1">
      <c r="A490" s="482" t="s">
        <v>36</v>
      </c>
      <c r="B490" s="484" t="s">
        <v>138</v>
      </c>
      <c r="C490" s="484" t="s">
        <v>1062</v>
      </c>
      <c r="D490" s="431" t="s">
        <v>1657</v>
      </c>
      <c r="E490" s="484" t="s">
        <v>1603</v>
      </c>
      <c r="F490" s="68" t="s">
        <v>1727</v>
      </c>
      <c r="G490" s="68" t="s">
        <v>1727</v>
      </c>
      <c r="I490" s="68">
        <v>0</v>
      </c>
      <c r="J490" s="68" t="s">
        <v>42</v>
      </c>
      <c r="K490" s="396" t="s">
        <v>42</v>
      </c>
      <c r="L490" s="396" t="s">
        <v>756</v>
      </c>
      <c r="M490" s="68" t="s">
        <v>43</v>
      </c>
      <c r="N490" s="68">
        <v>25.806999999999999</v>
      </c>
      <c r="O490" s="68">
        <v>96.637</v>
      </c>
      <c r="P490" s="68" t="s">
        <v>757</v>
      </c>
      <c r="Q490" s="68" t="s">
        <v>758</v>
      </c>
      <c r="R490" s="486"/>
      <c r="S490" s="487"/>
      <c r="T490" s="101">
        <v>42983</v>
      </c>
      <c r="U490" s="97" t="s">
        <v>1063</v>
      </c>
      <c r="W490" s="391" t="s">
        <v>2130</v>
      </c>
    </row>
    <row r="491" spans="1:23" s="68" customFormat="1" ht="14.25" customHeight="1">
      <c r="A491" s="396" t="s">
        <v>36</v>
      </c>
      <c r="B491" s="484" t="s">
        <v>138</v>
      </c>
      <c r="C491" s="484" t="s">
        <v>1052</v>
      </c>
      <c r="D491" s="431" t="s">
        <v>1657</v>
      </c>
      <c r="E491" s="68" t="s">
        <v>1579</v>
      </c>
      <c r="F491" s="68" t="s">
        <v>1673</v>
      </c>
      <c r="G491" s="68" t="s">
        <v>1673</v>
      </c>
      <c r="H491" s="68" t="s">
        <v>40</v>
      </c>
      <c r="I491" s="68" t="s">
        <v>1325</v>
      </c>
      <c r="J491" s="68" t="s">
        <v>42</v>
      </c>
      <c r="K491" s="68" t="s">
        <v>42</v>
      </c>
      <c r="L491" s="68" t="s">
        <v>756</v>
      </c>
      <c r="M491" s="68" t="s">
        <v>43</v>
      </c>
      <c r="N491" s="68">
        <v>25.57921</v>
      </c>
      <c r="O491" s="68">
        <v>96.288250000000005</v>
      </c>
      <c r="P491" s="68" t="s">
        <v>757</v>
      </c>
      <c r="R491" s="399"/>
      <c r="S491" s="487"/>
      <c r="T491" s="101"/>
      <c r="U491" s="97"/>
      <c r="V491" s="68" t="s">
        <v>1052</v>
      </c>
      <c r="W491" s="396" t="s">
        <v>2131</v>
      </c>
    </row>
    <row r="492" spans="1:23" s="68" customFormat="1" ht="14.25" customHeight="1">
      <c r="A492" s="396" t="s">
        <v>36</v>
      </c>
      <c r="B492" s="484" t="s">
        <v>138</v>
      </c>
      <c r="C492" s="484" t="s">
        <v>251</v>
      </c>
      <c r="D492" s="431" t="s">
        <v>2817</v>
      </c>
      <c r="E492" s="68" t="s">
        <v>1578</v>
      </c>
      <c r="F492" s="68" t="s">
        <v>1673</v>
      </c>
      <c r="G492" s="68" t="s">
        <v>1834</v>
      </c>
      <c r="H492" s="68" t="s">
        <v>40</v>
      </c>
      <c r="I492" s="396" t="s">
        <v>131</v>
      </c>
      <c r="J492" s="68" t="s">
        <v>42</v>
      </c>
      <c r="K492" s="68" t="s">
        <v>42</v>
      </c>
      <c r="L492" s="68" t="s">
        <v>42</v>
      </c>
      <c r="M492" s="68" t="s">
        <v>43</v>
      </c>
      <c r="N492" s="68">
        <v>25.577559999999998</v>
      </c>
      <c r="O492" s="68">
        <v>96.286680000000004</v>
      </c>
      <c r="P492" s="68" t="s">
        <v>757</v>
      </c>
      <c r="Q492" s="68" t="s">
        <v>776</v>
      </c>
      <c r="R492" s="95">
        <v>32</v>
      </c>
      <c r="S492" s="486">
        <v>173</v>
      </c>
      <c r="T492" s="101"/>
      <c r="U492" s="97"/>
      <c r="V492" s="68" t="s">
        <v>251</v>
      </c>
      <c r="W492" s="482"/>
    </row>
    <row r="493" spans="1:23" s="68" customFormat="1" ht="14.25" customHeight="1">
      <c r="A493" s="482" t="s">
        <v>36</v>
      </c>
      <c r="B493" s="484" t="s">
        <v>138</v>
      </c>
      <c r="C493" s="484" t="s">
        <v>252</v>
      </c>
      <c r="D493" s="431" t="s">
        <v>2817</v>
      </c>
      <c r="E493" s="68" t="s">
        <v>1581</v>
      </c>
      <c r="F493" s="68" t="s">
        <v>1835</v>
      </c>
      <c r="G493" s="68" t="s">
        <v>1835</v>
      </c>
      <c r="H493" s="68" t="s">
        <v>40</v>
      </c>
      <c r="I493" s="68" t="s">
        <v>131</v>
      </c>
      <c r="J493" s="68" t="s">
        <v>42</v>
      </c>
      <c r="K493" s="396" t="s">
        <v>42</v>
      </c>
      <c r="L493" s="482" t="s">
        <v>42</v>
      </c>
      <c r="M493" s="68" t="s">
        <v>43</v>
      </c>
      <c r="N493" s="68">
        <v>25.599250000000001</v>
      </c>
      <c r="O493" s="68">
        <v>96.306910999999999</v>
      </c>
      <c r="P493" s="482" t="s">
        <v>757</v>
      </c>
      <c r="Q493" s="68" t="s">
        <v>776</v>
      </c>
      <c r="R493" s="399">
        <v>16</v>
      </c>
      <c r="S493" s="486">
        <v>69</v>
      </c>
      <c r="T493" s="101"/>
      <c r="U493" s="488"/>
      <c r="V493" s="68" t="s">
        <v>252</v>
      </c>
      <c r="W493" s="482"/>
    </row>
    <row r="494" spans="1:23" s="68" customFormat="1" ht="14.25" customHeight="1">
      <c r="A494" s="487" t="s">
        <v>36</v>
      </c>
      <c r="B494" s="490" t="s">
        <v>771</v>
      </c>
      <c r="C494" s="491" t="s">
        <v>3117</v>
      </c>
      <c r="D494" s="485"/>
      <c r="J494" s="659" t="s">
        <v>794</v>
      </c>
      <c r="K494" s="659" t="s">
        <v>794</v>
      </c>
      <c r="L494" s="396" t="s">
        <v>1095</v>
      </c>
      <c r="M494" s="68" t="s">
        <v>774</v>
      </c>
      <c r="P494" s="482"/>
      <c r="Q494" s="68" t="s">
        <v>3102</v>
      </c>
      <c r="R494" s="494"/>
      <c r="S494" s="487"/>
      <c r="T494" s="101">
        <v>43851</v>
      </c>
      <c r="U494" s="494"/>
      <c r="W494" s="486"/>
    </row>
    <row r="495" spans="1:23" s="68" customFormat="1" ht="14.25" customHeight="1">
      <c r="A495" s="396" t="s">
        <v>36</v>
      </c>
      <c r="B495" s="396" t="s">
        <v>771</v>
      </c>
      <c r="C495" s="396" t="s">
        <v>770</v>
      </c>
      <c r="D495" s="431" t="s">
        <v>1657</v>
      </c>
      <c r="E495" s="396" t="s">
        <v>1329</v>
      </c>
      <c r="F495" s="396">
        <v>0</v>
      </c>
      <c r="G495" s="396">
        <v>0</v>
      </c>
      <c r="H495" s="396"/>
      <c r="I495" s="396">
        <v>0</v>
      </c>
      <c r="J495" s="396" t="s">
        <v>42</v>
      </c>
      <c r="K495" s="396" t="s">
        <v>42</v>
      </c>
      <c r="L495" s="396" t="s">
        <v>756</v>
      </c>
      <c r="M495" s="396" t="s">
        <v>43</v>
      </c>
      <c r="N495" s="396"/>
      <c r="O495" s="396"/>
      <c r="P495" s="396" t="s">
        <v>757</v>
      </c>
      <c r="Q495" s="396"/>
      <c r="R495" s="399"/>
      <c r="S495" s="487"/>
      <c r="T495" s="412"/>
      <c r="U495" s="401"/>
      <c r="V495" s="396" t="s">
        <v>770</v>
      </c>
      <c r="W495" s="68" t="s">
        <v>2132</v>
      </c>
    </row>
    <row r="496" spans="1:23" s="68" customFormat="1" ht="14.25" customHeight="1">
      <c r="A496" s="487" t="s">
        <v>36</v>
      </c>
      <c r="B496" s="490" t="s">
        <v>771</v>
      </c>
      <c r="C496" s="491" t="s">
        <v>3118</v>
      </c>
      <c r="D496" s="485"/>
      <c r="I496" s="396"/>
      <c r="J496" s="659" t="s">
        <v>794</v>
      </c>
      <c r="K496" s="659" t="s">
        <v>794</v>
      </c>
      <c r="L496" s="68" t="s">
        <v>1095</v>
      </c>
      <c r="M496" s="68" t="s">
        <v>774</v>
      </c>
      <c r="P496" s="482"/>
      <c r="Q496" s="68" t="s">
        <v>3102</v>
      </c>
      <c r="R496" s="494"/>
      <c r="S496" s="487"/>
      <c r="T496" s="101">
        <v>43851</v>
      </c>
      <c r="U496" s="494"/>
      <c r="W496" s="486"/>
    </row>
    <row r="497" spans="1:23" s="68" customFormat="1" ht="14.25" customHeight="1">
      <c r="A497" s="396" t="s">
        <v>36</v>
      </c>
      <c r="B497" s="396" t="s">
        <v>1069</v>
      </c>
      <c r="C497" s="396" t="s">
        <v>1068</v>
      </c>
      <c r="D497" s="431" t="s">
        <v>1657</v>
      </c>
      <c r="E497" s="484" t="s">
        <v>1614</v>
      </c>
      <c r="F497" s="68" t="s">
        <v>1729</v>
      </c>
      <c r="G497" s="68" t="s">
        <v>1068</v>
      </c>
      <c r="I497" s="68">
        <v>0</v>
      </c>
      <c r="J497" s="68" t="s">
        <v>42</v>
      </c>
      <c r="K497" s="68" t="s">
        <v>42</v>
      </c>
      <c r="L497" s="68" t="s">
        <v>756</v>
      </c>
      <c r="M497" s="68" t="s">
        <v>43</v>
      </c>
      <c r="N497" s="68">
        <v>26.890058</v>
      </c>
      <c r="O497" s="68">
        <v>98.144502500000002</v>
      </c>
      <c r="P497" s="396" t="s">
        <v>757</v>
      </c>
      <c r="R497" s="399"/>
      <c r="S497" s="487"/>
      <c r="T497" s="101"/>
      <c r="U497" s="97"/>
      <c r="V497" s="68" t="s">
        <v>1068</v>
      </c>
      <c r="W497" s="391" t="s">
        <v>2133</v>
      </c>
    </row>
    <row r="498" spans="1:23" s="68" customFormat="1" ht="14.25" customHeight="1">
      <c r="A498" s="396" t="s">
        <v>36</v>
      </c>
      <c r="B498" s="482" t="s">
        <v>1074</v>
      </c>
      <c r="C498" s="482" t="s">
        <v>1073</v>
      </c>
      <c r="D498" s="431" t="s">
        <v>1657</v>
      </c>
      <c r="E498" s="68" t="s">
        <v>1617</v>
      </c>
      <c r="F498" s="68">
        <v>0</v>
      </c>
      <c r="G498" s="68">
        <v>0</v>
      </c>
      <c r="I498" s="68">
        <v>0</v>
      </c>
      <c r="J498" s="68" t="s">
        <v>42</v>
      </c>
      <c r="K498" s="68" t="s">
        <v>42</v>
      </c>
      <c r="L498" s="68" t="s">
        <v>756</v>
      </c>
      <c r="M498" s="68" t="s">
        <v>43</v>
      </c>
      <c r="N498" s="68">
        <v>27.274059999999999</v>
      </c>
      <c r="O498" s="68">
        <v>97.586470000000006</v>
      </c>
      <c r="P498" s="68" t="s">
        <v>757</v>
      </c>
      <c r="R498" s="399"/>
      <c r="S498" s="487"/>
      <c r="T498" s="101"/>
      <c r="U498" s="97"/>
      <c r="V498" s="396" t="s">
        <v>1075</v>
      </c>
      <c r="W498" s="391" t="s">
        <v>2134</v>
      </c>
    </row>
    <row r="499" spans="1:23" s="68" customFormat="1" ht="14.25" customHeight="1">
      <c r="A499" s="484" t="s">
        <v>36</v>
      </c>
      <c r="B499" s="484" t="s">
        <v>1315</v>
      </c>
      <c r="C499" s="484" t="s">
        <v>1883</v>
      </c>
      <c r="D499" s="485" t="s">
        <v>1876</v>
      </c>
      <c r="E499" s="493"/>
      <c r="F499" s="493"/>
      <c r="G499" s="493"/>
      <c r="H499" s="493"/>
      <c r="I499" s="493"/>
      <c r="J499" s="68" t="s">
        <v>1460</v>
      </c>
      <c r="K499" s="493"/>
      <c r="L499" s="493"/>
      <c r="P499" s="68" t="s">
        <v>757</v>
      </c>
      <c r="R499" s="494"/>
      <c r="S499" s="487"/>
      <c r="T499" s="101"/>
      <c r="U499" s="97"/>
      <c r="V499" s="396"/>
      <c r="W499" s="396"/>
    </row>
    <row r="500" spans="1:23" s="68" customFormat="1" ht="14.25" customHeight="1">
      <c r="A500" s="484" t="s">
        <v>36</v>
      </c>
      <c r="B500" s="484" t="s">
        <v>1315</v>
      </c>
      <c r="C500" s="484" t="s">
        <v>1316</v>
      </c>
      <c r="D500" s="485" t="s">
        <v>1876</v>
      </c>
      <c r="E500" s="493"/>
      <c r="F500" s="493"/>
      <c r="G500" s="493"/>
      <c r="H500" s="493"/>
      <c r="I500" s="493"/>
      <c r="J500" s="68" t="s">
        <v>1460</v>
      </c>
      <c r="K500" s="493"/>
      <c r="L500" s="493"/>
      <c r="M500" s="484"/>
      <c r="N500" s="484"/>
      <c r="O500" s="484"/>
      <c r="P500" s="396" t="s">
        <v>757</v>
      </c>
      <c r="Q500" s="484"/>
      <c r="R500" s="495"/>
      <c r="S500" s="491"/>
      <c r="T500" s="507"/>
      <c r="U500" s="492"/>
      <c r="V500" s="484"/>
      <c r="W500" s="396"/>
    </row>
    <row r="501" spans="1:23" s="68" customFormat="1" ht="14.25" customHeight="1">
      <c r="A501" s="396" t="s">
        <v>36</v>
      </c>
      <c r="B501" s="396" t="s">
        <v>37</v>
      </c>
      <c r="C501" s="396" t="s">
        <v>761</v>
      </c>
      <c r="D501" s="431" t="s">
        <v>1657</v>
      </c>
      <c r="E501" s="396" t="s">
        <v>1320</v>
      </c>
      <c r="F501" s="68">
        <v>0</v>
      </c>
      <c r="G501" s="68">
        <v>0</v>
      </c>
      <c r="I501" s="68">
        <v>0</v>
      </c>
      <c r="J501" s="68" t="s">
        <v>42</v>
      </c>
      <c r="K501" s="68" t="s">
        <v>42</v>
      </c>
      <c r="L501" s="68" t="s">
        <v>756</v>
      </c>
      <c r="M501" s="68" t="s">
        <v>43</v>
      </c>
      <c r="P501" s="396" t="s">
        <v>757</v>
      </c>
      <c r="R501" s="399"/>
      <c r="S501" s="487"/>
      <c r="T501" s="101"/>
      <c r="U501" s="97"/>
      <c r="V501" s="68" t="s">
        <v>761</v>
      </c>
      <c r="W501" s="396" t="s">
        <v>2135</v>
      </c>
    </row>
    <row r="502" spans="1:23" s="68" customFormat="1" ht="14.25" customHeight="1">
      <c r="A502" s="396" t="s">
        <v>36</v>
      </c>
      <c r="B502" s="396" t="s">
        <v>37</v>
      </c>
      <c r="C502" s="396" t="s">
        <v>762</v>
      </c>
      <c r="D502" s="431" t="s">
        <v>1657</v>
      </c>
      <c r="E502" s="68" t="s">
        <v>1321</v>
      </c>
      <c r="F502" s="68">
        <v>0</v>
      </c>
      <c r="G502" s="68">
        <v>0</v>
      </c>
      <c r="I502" s="68">
        <v>0</v>
      </c>
      <c r="J502" s="68" t="s">
        <v>42</v>
      </c>
      <c r="K502" s="396" t="s">
        <v>42</v>
      </c>
      <c r="L502" s="396" t="s">
        <v>756</v>
      </c>
      <c r="M502" s="68" t="s">
        <v>43</v>
      </c>
      <c r="P502" s="68" t="s">
        <v>757</v>
      </c>
      <c r="R502" s="399"/>
      <c r="S502" s="487"/>
      <c r="T502" s="101"/>
      <c r="U502" s="97"/>
      <c r="V502" s="68" t="s">
        <v>762</v>
      </c>
      <c r="W502" s="391" t="s">
        <v>2136</v>
      </c>
    </row>
    <row r="503" spans="1:23" s="68" customFormat="1" ht="14.25" customHeight="1">
      <c r="A503" s="396" t="s">
        <v>36</v>
      </c>
      <c r="B503" s="396" t="s">
        <v>37</v>
      </c>
      <c r="C503" s="68" t="s">
        <v>763</v>
      </c>
      <c r="D503" s="431" t="s">
        <v>1657</v>
      </c>
      <c r="E503" s="68" t="s">
        <v>1322</v>
      </c>
      <c r="F503" s="68">
        <v>0</v>
      </c>
      <c r="G503" s="68">
        <v>0</v>
      </c>
      <c r="I503" s="396">
        <v>0</v>
      </c>
      <c r="J503" s="68" t="s">
        <v>42</v>
      </c>
      <c r="K503" s="68" t="s">
        <v>42</v>
      </c>
      <c r="L503" s="396" t="s">
        <v>756</v>
      </c>
      <c r="M503" s="68" t="s">
        <v>43</v>
      </c>
      <c r="N503" s="396"/>
      <c r="O503" s="396"/>
      <c r="P503" s="68" t="s">
        <v>757</v>
      </c>
      <c r="R503" s="399"/>
      <c r="S503" s="487"/>
      <c r="T503" s="101"/>
      <c r="U503" s="97"/>
      <c r="V503" s="68" t="s">
        <v>763</v>
      </c>
      <c r="W503" s="396" t="s">
        <v>2135</v>
      </c>
    </row>
    <row r="504" spans="1:23" s="68" customFormat="1" ht="14.25" customHeight="1">
      <c r="A504" s="396" t="s">
        <v>36</v>
      </c>
      <c r="B504" s="482" t="s">
        <v>37</v>
      </c>
      <c r="C504" s="482" t="s">
        <v>1894</v>
      </c>
      <c r="D504" s="431" t="s">
        <v>2817</v>
      </c>
      <c r="E504" s="396" t="s">
        <v>1462</v>
      </c>
      <c r="F504" s="68" t="s">
        <v>1697</v>
      </c>
      <c r="G504" s="68" t="s">
        <v>1697</v>
      </c>
      <c r="H504" s="68" t="s">
        <v>40</v>
      </c>
      <c r="I504" s="396" t="s">
        <v>41</v>
      </c>
      <c r="J504" s="68" t="s">
        <v>42</v>
      </c>
      <c r="K504" s="68" t="s">
        <v>42</v>
      </c>
      <c r="L504" s="68" t="s">
        <v>42</v>
      </c>
      <c r="M504" s="68" t="s">
        <v>774</v>
      </c>
      <c r="N504" s="396">
        <v>24.002433</v>
      </c>
      <c r="O504" s="396">
        <v>97.609832999999995</v>
      </c>
      <c r="P504" s="68" t="s">
        <v>757</v>
      </c>
      <c r="Q504" s="68" t="s">
        <v>758</v>
      </c>
      <c r="R504" s="399">
        <v>357</v>
      </c>
      <c r="S504" s="486">
        <v>1692</v>
      </c>
      <c r="T504" s="101"/>
      <c r="U504" s="97"/>
      <c r="W504" s="482"/>
    </row>
    <row r="505" spans="1:23" s="68" customFormat="1" ht="14.25" customHeight="1">
      <c r="A505" s="396" t="s">
        <v>36</v>
      </c>
      <c r="B505" s="482" t="s">
        <v>37</v>
      </c>
      <c r="C505" s="482" t="s">
        <v>1884</v>
      </c>
      <c r="D505" s="431" t="s">
        <v>1656</v>
      </c>
      <c r="E505" s="396"/>
      <c r="I505" s="396"/>
      <c r="J505" s="68" t="s">
        <v>1460</v>
      </c>
      <c r="K505" s="396" t="s">
        <v>42</v>
      </c>
      <c r="L505" s="396" t="s">
        <v>1083</v>
      </c>
      <c r="M505" s="68" t="s">
        <v>774</v>
      </c>
      <c r="N505" s="396"/>
      <c r="O505" s="396"/>
      <c r="P505" s="396" t="s">
        <v>757</v>
      </c>
      <c r="R505" s="399"/>
      <c r="S505" s="487"/>
      <c r="T505" s="101"/>
      <c r="U505" s="97"/>
      <c r="V505" s="68" t="s">
        <v>1092</v>
      </c>
    </row>
    <row r="506" spans="1:23" s="68" customFormat="1" ht="14.25" customHeight="1">
      <c r="A506" s="482" t="s">
        <v>36</v>
      </c>
      <c r="B506" s="482" t="s">
        <v>37</v>
      </c>
      <c r="C506" s="482" t="s">
        <v>1895</v>
      </c>
      <c r="D506" s="431" t="s">
        <v>1657</v>
      </c>
      <c r="E506" s="68" t="s">
        <v>1461</v>
      </c>
      <c r="F506" s="68" t="s">
        <v>1697</v>
      </c>
      <c r="G506" s="68" t="s">
        <v>1697</v>
      </c>
      <c r="H506" s="68" t="s">
        <v>40</v>
      </c>
      <c r="I506" s="396" t="s">
        <v>41</v>
      </c>
      <c r="J506" s="68" t="s">
        <v>42</v>
      </c>
      <c r="K506" s="482" t="s">
        <v>42</v>
      </c>
      <c r="L506" s="482" t="s">
        <v>756</v>
      </c>
      <c r="M506" s="68" t="s">
        <v>774</v>
      </c>
      <c r="N506" s="396">
        <v>24.000250000000001</v>
      </c>
      <c r="O506" s="396">
        <v>97.608249999999998</v>
      </c>
      <c r="P506" s="482" t="s">
        <v>757</v>
      </c>
      <c r="R506" s="486"/>
      <c r="S506" s="487"/>
      <c r="T506" s="101"/>
      <c r="U506" s="97"/>
      <c r="V506" s="68" t="s">
        <v>985</v>
      </c>
      <c r="W506" s="391" t="s">
        <v>2137</v>
      </c>
    </row>
    <row r="507" spans="1:23" s="68" customFormat="1" ht="14.25" customHeight="1">
      <c r="A507" s="482" t="s">
        <v>36</v>
      </c>
      <c r="B507" s="482" t="s">
        <v>37</v>
      </c>
      <c r="C507" s="482" t="s">
        <v>979</v>
      </c>
      <c r="D507" s="431" t="s">
        <v>1657</v>
      </c>
      <c r="E507" s="68" t="s">
        <v>1454</v>
      </c>
      <c r="F507" s="68" t="s">
        <v>1691</v>
      </c>
      <c r="G507" s="68">
        <v>0</v>
      </c>
      <c r="H507" s="68" t="s">
        <v>40</v>
      </c>
      <c r="I507" s="68" t="s">
        <v>41</v>
      </c>
      <c r="J507" s="68" t="s">
        <v>42</v>
      </c>
      <c r="K507" s="68" t="s">
        <v>42</v>
      </c>
      <c r="L507" s="68" t="s">
        <v>756</v>
      </c>
      <c r="M507" s="68" t="s">
        <v>774</v>
      </c>
      <c r="N507" s="396">
        <v>23.867713999999999</v>
      </c>
      <c r="O507" s="396">
        <v>97.601243999999994</v>
      </c>
      <c r="P507" s="482" t="s">
        <v>757</v>
      </c>
      <c r="R507" s="399"/>
      <c r="S507" s="487"/>
      <c r="T507" s="101"/>
      <c r="U507" s="97"/>
      <c r="V507" s="68" t="s">
        <v>979</v>
      </c>
      <c r="W507" s="482" t="s">
        <v>2138</v>
      </c>
    </row>
    <row r="508" spans="1:23" s="68" customFormat="1" ht="14.25" customHeight="1">
      <c r="A508" s="482" t="s">
        <v>36</v>
      </c>
      <c r="B508" s="482" t="s">
        <v>37</v>
      </c>
      <c r="C508" s="482" t="s">
        <v>284</v>
      </c>
      <c r="D508" s="431" t="s">
        <v>2817</v>
      </c>
      <c r="E508" s="68" t="s">
        <v>1466</v>
      </c>
      <c r="H508" s="68" t="s">
        <v>40</v>
      </c>
      <c r="I508" s="68" t="s">
        <v>41</v>
      </c>
      <c r="J508" s="68" t="s">
        <v>42</v>
      </c>
      <c r="K508" s="482" t="s">
        <v>42</v>
      </c>
      <c r="L508" s="482" t="s">
        <v>42</v>
      </c>
      <c r="M508" s="68" t="s">
        <v>774</v>
      </c>
      <c r="N508" s="396">
        <v>24.056132999999999</v>
      </c>
      <c r="O508" s="396">
        <v>97.625617000000005</v>
      </c>
      <c r="P508" s="396" t="s">
        <v>757</v>
      </c>
      <c r="Q508" s="396" t="s">
        <v>758</v>
      </c>
      <c r="R508" s="486">
        <v>522</v>
      </c>
      <c r="S508" s="486">
        <v>2536</v>
      </c>
      <c r="T508" s="412"/>
      <c r="U508" s="97"/>
      <c r="V508" s="396"/>
      <c r="W508" s="482"/>
    </row>
    <row r="509" spans="1:23" s="68" customFormat="1" ht="14.25" customHeight="1">
      <c r="A509" s="482" t="s">
        <v>36</v>
      </c>
      <c r="B509" s="482" t="s">
        <v>37</v>
      </c>
      <c r="C509" s="482" t="s">
        <v>980</v>
      </c>
      <c r="D509" s="431" t="s">
        <v>1657</v>
      </c>
      <c r="E509" s="68" t="s">
        <v>1455</v>
      </c>
      <c r="F509" s="68" t="s">
        <v>1692</v>
      </c>
      <c r="G509" s="68">
        <v>0</v>
      </c>
      <c r="H509" s="68" t="s">
        <v>40</v>
      </c>
      <c r="I509" s="68" t="s">
        <v>41</v>
      </c>
      <c r="J509" s="68" t="s">
        <v>42</v>
      </c>
      <c r="K509" s="482" t="s">
        <v>42</v>
      </c>
      <c r="L509" s="482" t="s">
        <v>756</v>
      </c>
      <c r="M509" s="68" t="s">
        <v>774</v>
      </c>
      <c r="N509" s="396">
        <v>23.9055</v>
      </c>
      <c r="O509" s="396">
        <v>97.585667000000001</v>
      </c>
      <c r="P509" s="482" t="s">
        <v>757</v>
      </c>
      <c r="R509" s="486"/>
      <c r="S509" s="487"/>
      <c r="T509" s="101"/>
      <c r="U509" s="97"/>
      <c r="V509" s="68" t="s">
        <v>980</v>
      </c>
      <c r="W509" s="391" t="s">
        <v>2139</v>
      </c>
    </row>
    <row r="510" spans="1:23" s="68" customFormat="1" ht="14.25" customHeight="1">
      <c r="A510" s="482" t="s">
        <v>36</v>
      </c>
      <c r="B510" s="482" t="s">
        <v>37</v>
      </c>
      <c r="C510" s="482" t="s">
        <v>173</v>
      </c>
      <c r="D510" s="431" t="s">
        <v>2817</v>
      </c>
      <c r="E510" s="68" t="s">
        <v>1457</v>
      </c>
      <c r="F510" s="68" t="s">
        <v>173</v>
      </c>
      <c r="G510" s="68" t="s">
        <v>173</v>
      </c>
      <c r="H510" s="68" t="s">
        <v>40</v>
      </c>
      <c r="I510" s="68" t="s">
        <v>131</v>
      </c>
      <c r="J510" s="68" t="s">
        <v>42</v>
      </c>
      <c r="K510" s="68" t="s">
        <v>42</v>
      </c>
      <c r="L510" s="482" t="s">
        <v>42</v>
      </c>
      <c r="M510" s="68" t="s">
        <v>43</v>
      </c>
      <c r="N510" s="396">
        <v>23.972453000000002</v>
      </c>
      <c r="O510" s="396">
        <v>97.225881000000001</v>
      </c>
      <c r="P510" s="482" t="s">
        <v>757</v>
      </c>
      <c r="Q510" s="396" t="s">
        <v>776</v>
      </c>
      <c r="R510" s="486">
        <v>432</v>
      </c>
      <c r="S510" s="486">
        <v>2528</v>
      </c>
      <c r="T510" s="412"/>
      <c r="U510" s="97"/>
      <c r="V510" s="68" t="s">
        <v>173</v>
      </c>
      <c r="W510" s="391" t="s">
        <v>2250</v>
      </c>
    </row>
    <row r="511" spans="1:23" s="68" customFormat="1" ht="14.25" customHeight="1">
      <c r="A511" s="482" t="s">
        <v>36</v>
      </c>
      <c r="B511" s="482" t="s">
        <v>37</v>
      </c>
      <c r="C511" s="482" t="s">
        <v>38</v>
      </c>
      <c r="D511" s="431" t="s">
        <v>2817</v>
      </c>
      <c r="E511" s="68" t="s">
        <v>1458</v>
      </c>
      <c r="F511" s="68" t="s">
        <v>173</v>
      </c>
      <c r="G511" s="68" t="s">
        <v>173</v>
      </c>
      <c r="H511" s="68" t="s">
        <v>40</v>
      </c>
      <c r="I511" s="396" t="s">
        <v>41</v>
      </c>
      <c r="J511" s="68" t="s">
        <v>42</v>
      </c>
      <c r="K511" s="68" t="s">
        <v>42</v>
      </c>
      <c r="L511" s="68" t="s">
        <v>42</v>
      </c>
      <c r="M511" s="68" t="s">
        <v>43</v>
      </c>
      <c r="N511" s="396">
        <v>23.976571</v>
      </c>
      <c r="O511" s="396">
        <v>97.227057000000002</v>
      </c>
      <c r="P511" s="482" t="s">
        <v>757</v>
      </c>
      <c r="Q511" s="68" t="s">
        <v>776</v>
      </c>
      <c r="R511" s="486">
        <v>156</v>
      </c>
      <c r="S511" s="486">
        <v>694</v>
      </c>
      <c r="T511" s="101"/>
      <c r="U511" s="97"/>
      <c r="V511" s="68" t="s">
        <v>38</v>
      </c>
    </row>
    <row r="512" spans="1:23" s="68" customFormat="1" ht="14.25" customHeight="1">
      <c r="A512" s="482" t="s">
        <v>36</v>
      </c>
      <c r="B512" s="482" t="s">
        <v>37</v>
      </c>
      <c r="C512" s="482" t="s">
        <v>983</v>
      </c>
      <c r="D512" s="431" t="s">
        <v>1656</v>
      </c>
      <c r="J512" s="68" t="s">
        <v>1460</v>
      </c>
      <c r="K512" s="482" t="s">
        <v>42</v>
      </c>
      <c r="L512" s="482" t="s">
        <v>42</v>
      </c>
      <c r="M512" s="68" t="s">
        <v>43</v>
      </c>
      <c r="N512" s="396">
        <v>23.989049999999999</v>
      </c>
      <c r="O512" s="396">
        <v>97.225311000000005</v>
      </c>
      <c r="P512" s="396" t="s">
        <v>757</v>
      </c>
      <c r="Q512" s="68" t="s">
        <v>758</v>
      </c>
      <c r="R512" s="486"/>
      <c r="S512" s="487"/>
      <c r="T512" s="101">
        <v>42849</v>
      </c>
      <c r="U512" s="401" t="s">
        <v>984</v>
      </c>
      <c r="W512" s="396"/>
    </row>
    <row r="513" spans="1:23" s="68" customFormat="1" ht="14.25" customHeight="1">
      <c r="A513" s="482" t="s">
        <v>36</v>
      </c>
      <c r="B513" s="482" t="s">
        <v>37</v>
      </c>
      <c r="C513" s="482" t="s">
        <v>994</v>
      </c>
      <c r="D513" s="431" t="s">
        <v>1657</v>
      </c>
      <c r="E513" s="68" t="s">
        <v>1471</v>
      </c>
      <c r="F513" s="68" t="s">
        <v>1698</v>
      </c>
      <c r="G513" s="68" t="s">
        <v>1699</v>
      </c>
      <c r="H513" s="396"/>
      <c r="I513" s="68">
        <v>0</v>
      </c>
      <c r="J513" s="68" t="s">
        <v>42</v>
      </c>
      <c r="K513" s="396" t="s">
        <v>42</v>
      </c>
      <c r="L513" s="482" t="s">
        <v>756</v>
      </c>
      <c r="M513" s="68" t="s">
        <v>43</v>
      </c>
      <c r="N513" s="396">
        <v>24.181640000000002</v>
      </c>
      <c r="O513" s="396">
        <v>97.710989999999995</v>
      </c>
      <c r="P513" s="482" t="s">
        <v>757</v>
      </c>
      <c r="Q513" s="68" t="s">
        <v>776</v>
      </c>
      <c r="R513" s="399"/>
      <c r="S513" s="487"/>
      <c r="T513" s="101"/>
      <c r="U513" s="97" t="s">
        <v>995</v>
      </c>
      <c r="V513" s="68" t="s">
        <v>994</v>
      </c>
      <c r="W513" s="482" t="s">
        <v>2140</v>
      </c>
    </row>
    <row r="514" spans="1:23" s="68" customFormat="1" ht="14.25" customHeight="1">
      <c r="A514" s="482" t="s">
        <v>36</v>
      </c>
      <c r="B514" s="482" t="s">
        <v>37</v>
      </c>
      <c r="C514" s="482" t="s">
        <v>996</v>
      </c>
      <c r="D514" s="431" t="s">
        <v>1657</v>
      </c>
      <c r="E514" s="68" t="s">
        <v>1472</v>
      </c>
      <c r="F514" s="68" t="s">
        <v>1698</v>
      </c>
      <c r="G514" s="68" t="s">
        <v>1699</v>
      </c>
      <c r="H514" s="396"/>
      <c r="I514" s="396">
        <v>0</v>
      </c>
      <c r="J514" s="68" t="s">
        <v>42</v>
      </c>
      <c r="K514" s="68" t="s">
        <v>42</v>
      </c>
      <c r="L514" s="482" t="s">
        <v>756</v>
      </c>
      <c r="M514" s="68" t="s">
        <v>43</v>
      </c>
      <c r="N514" s="396">
        <v>24.181640000000002</v>
      </c>
      <c r="O514" s="396">
        <v>97.710989999999995</v>
      </c>
      <c r="P514" s="482" t="s">
        <v>757</v>
      </c>
      <c r="R514" s="486"/>
      <c r="S514" s="487"/>
      <c r="T514" s="101"/>
      <c r="U514" s="488"/>
      <c r="V514" s="68" t="s">
        <v>996</v>
      </c>
      <c r="W514" s="482" t="s">
        <v>2140</v>
      </c>
    </row>
    <row r="515" spans="1:23" s="68" customFormat="1" ht="14.25" customHeight="1">
      <c r="A515" s="482" t="s">
        <v>36</v>
      </c>
      <c r="B515" s="482" t="s">
        <v>37</v>
      </c>
      <c r="C515" s="482" t="s">
        <v>288</v>
      </c>
      <c r="D515" s="431" t="s">
        <v>2817</v>
      </c>
      <c r="E515" s="68" t="s">
        <v>1448</v>
      </c>
      <c r="F515" s="68" t="s">
        <v>1678</v>
      </c>
      <c r="G515" s="68" t="s">
        <v>1678</v>
      </c>
      <c r="H515" s="396" t="s">
        <v>40</v>
      </c>
      <c r="I515" s="68" t="s">
        <v>131</v>
      </c>
      <c r="J515" s="68" t="s">
        <v>42</v>
      </c>
      <c r="K515" s="68" t="s">
        <v>42</v>
      </c>
      <c r="L515" s="482" t="s">
        <v>42</v>
      </c>
      <c r="M515" s="68" t="s">
        <v>43</v>
      </c>
      <c r="N515" s="396">
        <v>23.83013</v>
      </c>
      <c r="O515" s="396">
        <v>97.589979999999997</v>
      </c>
      <c r="P515" s="482" t="s">
        <v>757</v>
      </c>
      <c r="Q515" s="68" t="s">
        <v>776</v>
      </c>
      <c r="R515" s="486">
        <v>127</v>
      </c>
      <c r="S515" s="486">
        <v>653</v>
      </c>
      <c r="T515" s="101"/>
      <c r="U515" s="488"/>
      <c r="V515" s="68" t="s">
        <v>288</v>
      </c>
      <c r="W515" s="482"/>
    </row>
    <row r="516" spans="1:23" s="68" customFormat="1" ht="14.25" customHeight="1">
      <c r="A516" s="482" t="s">
        <v>36</v>
      </c>
      <c r="B516" s="482" t="s">
        <v>37</v>
      </c>
      <c r="C516" s="482" t="s">
        <v>1110</v>
      </c>
      <c r="D516" s="431" t="s">
        <v>1656</v>
      </c>
      <c r="H516" s="396"/>
      <c r="I516" s="396"/>
      <c r="J516" s="68" t="s">
        <v>42</v>
      </c>
      <c r="K516" s="396" t="s">
        <v>42</v>
      </c>
      <c r="L516" s="396" t="s">
        <v>756</v>
      </c>
      <c r="M516" s="68" t="s">
        <v>43</v>
      </c>
      <c r="N516" s="396"/>
      <c r="O516" s="396"/>
      <c r="P516" s="482" t="s">
        <v>757</v>
      </c>
      <c r="R516" s="486"/>
      <c r="S516" s="487"/>
      <c r="T516" s="101"/>
      <c r="U516" s="97"/>
      <c r="W516" s="396"/>
    </row>
    <row r="517" spans="1:23" s="68" customFormat="1" ht="14.25" customHeight="1">
      <c r="A517" s="482" t="s">
        <v>36</v>
      </c>
      <c r="B517" s="482" t="s">
        <v>37</v>
      </c>
      <c r="C517" s="482" t="s">
        <v>290</v>
      </c>
      <c r="D517" s="431" t="s">
        <v>2817</v>
      </c>
      <c r="E517" s="396" t="s">
        <v>1447</v>
      </c>
      <c r="F517" s="396" t="s">
        <v>1678</v>
      </c>
      <c r="G517" s="396" t="s">
        <v>1678</v>
      </c>
      <c r="H517" s="396" t="s">
        <v>40</v>
      </c>
      <c r="I517" s="396" t="s">
        <v>131</v>
      </c>
      <c r="J517" s="396" t="s">
        <v>42</v>
      </c>
      <c r="K517" s="482" t="s">
        <v>42</v>
      </c>
      <c r="L517" s="482" t="s">
        <v>42</v>
      </c>
      <c r="M517" s="396" t="s">
        <v>43</v>
      </c>
      <c r="N517" s="396">
        <v>23.829599000000002</v>
      </c>
      <c r="O517" s="396">
        <v>97.590767</v>
      </c>
      <c r="P517" s="482" t="s">
        <v>757</v>
      </c>
      <c r="Q517" s="396" t="s">
        <v>776</v>
      </c>
      <c r="R517" s="486">
        <v>156</v>
      </c>
      <c r="S517" s="486">
        <v>650</v>
      </c>
      <c r="T517" s="412"/>
      <c r="U517" s="488"/>
      <c r="V517" s="396" t="s">
        <v>974</v>
      </c>
      <c r="W517" s="482"/>
    </row>
    <row r="518" spans="1:23" s="68" customFormat="1" ht="14.25" customHeight="1">
      <c r="A518" s="482" t="s">
        <v>36</v>
      </c>
      <c r="B518" s="482" t="s">
        <v>37</v>
      </c>
      <c r="C518" s="482" t="s">
        <v>291</v>
      </c>
      <c r="D518" s="431" t="s">
        <v>2817</v>
      </c>
      <c r="E518" s="68" t="s">
        <v>1450</v>
      </c>
      <c r="F518" s="68" t="s">
        <v>1678</v>
      </c>
      <c r="G518" s="68" t="s">
        <v>1678</v>
      </c>
      <c r="H518" s="68" t="s">
        <v>40</v>
      </c>
      <c r="I518" s="68" t="s">
        <v>41</v>
      </c>
      <c r="J518" s="68" t="s">
        <v>42</v>
      </c>
      <c r="K518" s="68" t="s">
        <v>42</v>
      </c>
      <c r="L518" s="482" t="s">
        <v>42</v>
      </c>
      <c r="M518" s="68" t="s">
        <v>43</v>
      </c>
      <c r="N518" s="396">
        <v>23.835319999999999</v>
      </c>
      <c r="O518" s="396">
        <v>97.578490000000002</v>
      </c>
      <c r="P518" s="482" t="s">
        <v>757</v>
      </c>
      <c r="Q518" s="68" t="s">
        <v>776</v>
      </c>
      <c r="R518" s="95">
        <v>437</v>
      </c>
      <c r="S518" s="486">
        <v>2316</v>
      </c>
      <c r="T518" s="101"/>
      <c r="U518" s="488"/>
      <c r="V518" s="68" t="s">
        <v>291</v>
      </c>
      <c r="W518" s="482"/>
    </row>
    <row r="519" spans="1:23" s="68" customFormat="1" ht="14.25" customHeight="1">
      <c r="A519" s="482" t="s">
        <v>36</v>
      </c>
      <c r="B519" s="482" t="s">
        <v>37</v>
      </c>
      <c r="C519" s="482" t="s">
        <v>292</v>
      </c>
      <c r="D519" s="431" t="s">
        <v>2817</v>
      </c>
      <c r="E519" s="68" t="s">
        <v>1449</v>
      </c>
      <c r="F519" s="68" t="s">
        <v>1678</v>
      </c>
      <c r="G519" s="68" t="s">
        <v>1678</v>
      </c>
      <c r="H519" s="396" t="s">
        <v>40</v>
      </c>
      <c r="I519" s="396" t="s">
        <v>41</v>
      </c>
      <c r="J519" s="68" t="s">
        <v>42</v>
      </c>
      <c r="K519" s="68" t="s">
        <v>42</v>
      </c>
      <c r="L519" s="68" t="s">
        <v>42</v>
      </c>
      <c r="M519" s="68" t="s">
        <v>43</v>
      </c>
      <c r="N519" s="396">
        <v>23.833477999999999</v>
      </c>
      <c r="O519" s="396">
        <v>97.578367</v>
      </c>
      <c r="P519" s="482" t="s">
        <v>757</v>
      </c>
      <c r="Q519" s="68" t="s">
        <v>776</v>
      </c>
      <c r="R519" s="486">
        <v>138</v>
      </c>
      <c r="S519" s="486">
        <v>732</v>
      </c>
      <c r="T519" s="101"/>
      <c r="U519" s="97"/>
      <c r="V519" s="68" t="s">
        <v>975</v>
      </c>
      <c r="W519" s="482"/>
    </row>
    <row r="520" spans="1:23" s="68" customFormat="1" ht="14.25" customHeight="1">
      <c r="A520" s="482" t="s">
        <v>36</v>
      </c>
      <c r="B520" s="482" t="s">
        <v>37</v>
      </c>
      <c r="C520" s="482" t="s">
        <v>1111</v>
      </c>
      <c r="D520" s="431" t="s">
        <v>1656</v>
      </c>
      <c r="H520" s="396"/>
      <c r="J520" s="68" t="s">
        <v>1460</v>
      </c>
      <c r="K520" s="68" t="s">
        <v>42</v>
      </c>
      <c r="L520" s="68" t="s">
        <v>1095</v>
      </c>
      <c r="M520" s="68" t="s">
        <v>43</v>
      </c>
      <c r="N520" s="396"/>
      <c r="O520" s="396"/>
      <c r="P520" s="396" t="s">
        <v>757</v>
      </c>
      <c r="Q520" s="68" t="s">
        <v>776</v>
      </c>
      <c r="R520" s="486"/>
      <c r="S520" s="487"/>
      <c r="T520" s="101"/>
      <c r="U520" s="97" t="s">
        <v>1091</v>
      </c>
      <c r="V520" s="68" t="s">
        <v>1111</v>
      </c>
      <c r="W520" s="482"/>
    </row>
    <row r="521" spans="1:23" s="68" customFormat="1" ht="14.25" customHeight="1">
      <c r="A521" s="482" t="s">
        <v>36</v>
      </c>
      <c r="B521" s="482" t="s">
        <v>37</v>
      </c>
      <c r="C521" s="482" t="s">
        <v>973</v>
      </c>
      <c r="D521" s="431" t="s">
        <v>2817</v>
      </c>
      <c r="E521" s="68" t="s">
        <v>1444</v>
      </c>
      <c r="F521" s="68" t="s">
        <v>1678</v>
      </c>
      <c r="G521" s="68" t="s">
        <v>1678</v>
      </c>
      <c r="H521" s="396"/>
      <c r="I521" s="396" t="s">
        <v>2116</v>
      </c>
      <c r="J521" s="68" t="s">
        <v>42</v>
      </c>
      <c r="K521" s="68" t="s">
        <v>42</v>
      </c>
      <c r="L521" s="396" t="s">
        <v>768</v>
      </c>
      <c r="M521" s="68" t="s">
        <v>43</v>
      </c>
      <c r="N521" s="396">
        <v>23.827870999999998</v>
      </c>
      <c r="O521" s="396">
        <v>97.588291999999996</v>
      </c>
      <c r="P521" s="482" t="s">
        <v>769</v>
      </c>
      <c r="Q521" s="68" t="s">
        <v>758</v>
      </c>
      <c r="R521" s="399">
        <v>175</v>
      </c>
      <c r="S521" s="399">
        <v>834</v>
      </c>
      <c r="T521" s="101"/>
      <c r="U521" s="488"/>
      <c r="V521" s="68" t="s">
        <v>973</v>
      </c>
      <c r="W521" s="482"/>
    </row>
    <row r="522" spans="1:23" s="68" customFormat="1" ht="14.25" customHeight="1">
      <c r="A522" s="396" t="s">
        <v>36</v>
      </c>
      <c r="B522" s="396" t="s">
        <v>37</v>
      </c>
      <c r="C522" s="396" t="s">
        <v>183</v>
      </c>
      <c r="D522" s="431" t="s">
        <v>2817</v>
      </c>
      <c r="E522" s="68" t="s">
        <v>1470</v>
      </c>
      <c r="F522" s="68" t="s">
        <v>1773</v>
      </c>
      <c r="G522" s="68" t="s">
        <v>1774</v>
      </c>
      <c r="H522" s="396" t="s">
        <v>40</v>
      </c>
      <c r="I522" s="396" t="s">
        <v>131</v>
      </c>
      <c r="J522" s="68" t="s">
        <v>42</v>
      </c>
      <c r="K522" s="68" t="s">
        <v>42</v>
      </c>
      <c r="L522" s="68" t="s">
        <v>42</v>
      </c>
      <c r="M522" s="68" t="s">
        <v>43</v>
      </c>
      <c r="N522" s="396">
        <v>24.129059999999999</v>
      </c>
      <c r="O522" s="396">
        <v>97.291820000000001</v>
      </c>
      <c r="P522" s="68" t="s">
        <v>757</v>
      </c>
      <c r="Q522" s="68" t="s">
        <v>776</v>
      </c>
      <c r="R522" s="399">
        <v>190</v>
      </c>
      <c r="S522" s="486">
        <v>853</v>
      </c>
      <c r="T522" s="101"/>
      <c r="U522" s="97"/>
      <c r="V522" s="68" t="s">
        <v>183</v>
      </c>
      <c r="W522" s="482"/>
    </row>
    <row r="523" spans="1:23" s="68" customFormat="1" ht="14.25" customHeight="1">
      <c r="A523" s="482" t="s">
        <v>36</v>
      </c>
      <c r="B523" s="482" t="s">
        <v>37</v>
      </c>
      <c r="C523" s="482" t="s">
        <v>991</v>
      </c>
      <c r="D523" s="431" t="s">
        <v>2817</v>
      </c>
      <c r="E523" s="68" t="s">
        <v>1469</v>
      </c>
      <c r="H523" s="396"/>
      <c r="I523" s="396" t="s">
        <v>2116</v>
      </c>
      <c r="J523" s="68" t="s">
        <v>42</v>
      </c>
      <c r="K523" s="68" t="s">
        <v>42</v>
      </c>
      <c r="L523" s="482" t="s">
        <v>768</v>
      </c>
      <c r="M523" s="68" t="s">
        <v>43</v>
      </c>
      <c r="N523" s="396">
        <v>24.118618999999999</v>
      </c>
      <c r="O523" s="396">
        <v>97.298055000000005</v>
      </c>
      <c r="P523" s="482" t="s">
        <v>769</v>
      </c>
      <c r="Q523" s="68" t="s">
        <v>758</v>
      </c>
      <c r="R523" s="399">
        <v>67</v>
      </c>
      <c r="S523" s="486">
        <v>324</v>
      </c>
      <c r="T523" s="101"/>
      <c r="U523" s="488" t="s">
        <v>992</v>
      </c>
      <c r="V523" s="68" t="s">
        <v>993</v>
      </c>
      <c r="W523" s="482"/>
    </row>
    <row r="524" spans="1:23" s="68" customFormat="1" ht="14.25" customHeight="1">
      <c r="A524" s="482" t="s">
        <v>36</v>
      </c>
      <c r="B524" s="482" t="s">
        <v>37</v>
      </c>
      <c r="C524" s="482" t="s">
        <v>997</v>
      </c>
      <c r="D524" s="431" t="s">
        <v>1657</v>
      </c>
      <c r="E524" s="68" t="s">
        <v>1479</v>
      </c>
      <c r="F524" s="68" t="s">
        <v>1700</v>
      </c>
      <c r="G524" s="68">
        <v>0</v>
      </c>
      <c r="I524" s="68">
        <v>0</v>
      </c>
      <c r="J524" s="68" t="s">
        <v>42</v>
      </c>
      <c r="K524" s="68" t="s">
        <v>42</v>
      </c>
      <c r="L524" s="68" t="s">
        <v>756</v>
      </c>
      <c r="M524" s="68" t="s">
        <v>774</v>
      </c>
      <c r="N524" s="396">
        <v>24.20645</v>
      </c>
      <c r="O524" s="396">
        <v>96.808850000000007</v>
      </c>
      <c r="P524" s="482" t="s">
        <v>757</v>
      </c>
      <c r="R524" s="486"/>
      <c r="S524" s="487"/>
      <c r="T524" s="101"/>
      <c r="U524" s="97"/>
      <c r="V524" s="68" t="s">
        <v>997</v>
      </c>
      <c r="W524" s="482" t="s">
        <v>2118</v>
      </c>
    </row>
    <row r="525" spans="1:23" s="68" customFormat="1" ht="14.25" customHeight="1">
      <c r="A525" s="396" t="s">
        <v>36</v>
      </c>
      <c r="B525" s="396" t="s">
        <v>37</v>
      </c>
      <c r="C525" s="396" t="s">
        <v>773</v>
      </c>
      <c r="D525" s="431" t="s">
        <v>1657</v>
      </c>
      <c r="E525" s="396" t="s">
        <v>1333</v>
      </c>
      <c r="F525" s="396" t="s">
        <v>1678</v>
      </c>
      <c r="G525" s="396">
        <v>0</v>
      </c>
      <c r="H525" s="396"/>
      <c r="I525" s="396">
        <v>0</v>
      </c>
      <c r="J525" s="68" t="s">
        <v>42</v>
      </c>
      <c r="K525" s="68" t="s">
        <v>42</v>
      </c>
      <c r="L525" s="396" t="s">
        <v>756</v>
      </c>
      <c r="M525" s="68" t="s">
        <v>774</v>
      </c>
      <c r="N525" s="396"/>
      <c r="O525" s="396"/>
      <c r="P525" s="396" t="s">
        <v>757</v>
      </c>
      <c r="R525" s="399"/>
      <c r="S525" s="487"/>
      <c r="T525" s="101"/>
      <c r="U525" s="401"/>
      <c r="V525" s="396" t="s">
        <v>773</v>
      </c>
      <c r="W525" s="482" t="s">
        <v>2141</v>
      </c>
    </row>
    <row r="526" spans="1:23" s="68" customFormat="1" ht="14.25" customHeight="1">
      <c r="A526" s="482" t="s">
        <v>36</v>
      </c>
      <c r="B526" s="482" t="s">
        <v>37</v>
      </c>
      <c r="C526" s="482" t="s">
        <v>971</v>
      </c>
      <c r="D526" s="431" t="s">
        <v>1657</v>
      </c>
      <c r="E526" s="68" t="s">
        <v>1441</v>
      </c>
      <c r="F526" s="68" t="s">
        <v>1680</v>
      </c>
      <c r="G526" s="68">
        <v>0</v>
      </c>
      <c r="H526" s="396"/>
      <c r="I526" s="396">
        <v>0</v>
      </c>
      <c r="J526" s="68" t="s">
        <v>42</v>
      </c>
      <c r="K526" s="68" t="s">
        <v>42</v>
      </c>
      <c r="L526" s="68" t="s">
        <v>756</v>
      </c>
      <c r="M526" s="68" t="s">
        <v>774</v>
      </c>
      <c r="N526" s="396">
        <v>23.75817</v>
      </c>
      <c r="O526" s="396">
        <v>97.132339999999999</v>
      </c>
      <c r="P526" s="482" t="s">
        <v>757</v>
      </c>
      <c r="R526" s="399"/>
      <c r="S526" s="487"/>
      <c r="T526" s="101"/>
      <c r="U526" s="488"/>
      <c r="V526" s="68" t="s">
        <v>971</v>
      </c>
      <c r="W526" s="482" t="s">
        <v>2118</v>
      </c>
    </row>
    <row r="527" spans="1:23" s="68" customFormat="1" ht="14.25" customHeight="1">
      <c r="A527" s="482" t="s">
        <v>36</v>
      </c>
      <c r="B527" s="482" t="s">
        <v>37</v>
      </c>
      <c r="C527" s="482" t="s">
        <v>777</v>
      </c>
      <c r="D527" s="431" t="s">
        <v>1657</v>
      </c>
      <c r="E527" s="68" t="s">
        <v>1336</v>
      </c>
      <c r="F527" s="68" t="s">
        <v>1680</v>
      </c>
      <c r="G527" s="68">
        <v>0</v>
      </c>
      <c r="I527" s="68">
        <v>0</v>
      </c>
      <c r="J527" s="68" t="s">
        <v>42</v>
      </c>
      <c r="K527" s="482" t="s">
        <v>42</v>
      </c>
      <c r="L527" s="482" t="s">
        <v>756</v>
      </c>
      <c r="M527" s="68" t="s">
        <v>774</v>
      </c>
      <c r="N527" s="396"/>
      <c r="O527" s="396"/>
      <c r="P527" s="68" t="s">
        <v>757</v>
      </c>
      <c r="R527" s="486"/>
      <c r="S527" s="487"/>
      <c r="T527" s="101"/>
      <c r="U527" s="97"/>
      <c r="V527" s="68" t="s">
        <v>777</v>
      </c>
      <c r="W527" s="396" t="s">
        <v>2118</v>
      </c>
    </row>
    <row r="528" spans="1:23" s="68" customFormat="1" ht="14.25" customHeight="1">
      <c r="A528" s="482" t="s">
        <v>36</v>
      </c>
      <c r="B528" s="482" t="s">
        <v>37</v>
      </c>
      <c r="C528" s="482" t="s">
        <v>972</v>
      </c>
      <c r="D528" s="431" t="s">
        <v>1657</v>
      </c>
      <c r="E528" s="396" t="s">
        <v>1442</v>
      </c>
      <c r="F528" s="396" t="s">
        <v>1680</v>
      </c>
      <c r="G528" s="396">
        <v>0</v>
      </c>
      <c r="H528" s="396"/>
      <c r="I528" s="396">
        <v>0</v>
      </c>
      <c r="J528" s="68" t="s">
        <v>42</v>
      </c>
      <c r="K528" s="482" t="s">
        <v>42</v>
      </c>
      <c r="L528" s="482" t="s">
        <v>756</v>
      </c>
      <c r="M528" s="68" t="s">
        <v>774</v>
      </c>
      <c r="N528" s="68">
        <v>23.75817</v>
      </c>
      <c r="O528" s="68">
        <v>97.132339999999999</v>
      </c>
      <c r="P528" s="396" t="s">
        <v>757</v>
      </c>
      <c r="R528" s="486"/>
      <c r="S528" s="400"/>
      <c r="T528" s="101"/>
      <c r="U528" s="401"/>
      <c r="V528" s="396" t="s">
        <v>972</v>
      </c>
      <c r="W528" s="482" t="s">
        <v>2142</v>
      </c>
    </row>
    <row r="529" spans="1:23" s="68" customFormat="1" ht="14.25" customHeight="1">
      <c r="A529" s="396" t="s">
        <v>36</v>
      </c>
      <c r="B529" s="484" t="s">
        <v>37</v>
      </c>
      <c r="C529" s="484" t="s">
        <v>785</v>
      </c>
      <c r="D529" s="431" t="s">
        <v>1657</v>
      </c>
      <c r="E529" s="396" t="s">
        <v>1341</v>
      </c>
      <c r="F529" s="396">
        <v>0</v>
      </c>
      <c r="G529" s="396">
        <v>0</v>
      </c>
      <c r="H529" s="396"/>
      <c r="I529" s="396">
        <v>0</v>
      </c>
      <c r="J529" s="68" t="s">
        <v>42</v>
      </c>
      <c r="K529" s="68" t="s">
        <v>42</v>
      </c>
      <c r="L529" s="396" t="s">
        <v>756</v>
      </c>
      <c r="M529" s="68" t="s">
        <v>43</v>
      </c>
      <c r="N529" s="396"/>
      <c r="O529" s="396"/>
      <c r="P529" s="396" t="s">
        <v>757</v>
      </c>
      <c r="R529" s="399"/>
      <c r="S529" s="487"/>
      <c r="T529" s="101"/>
      <c r="U529" s="401"/>
      <c r="V529" s="396"/>
      <c r="W529" s="482" t="s">
        <v>2143</v>
      </c>
    </row>
    <row r="530" spans="1:23" s="396" customFormat="1" ht="14.25" customHeight="1">
      <c r="A530" s="396" t="s">
        <v>36</v>
      </c>
      <c r="B530" s="484" t="s">
        <v>37</v>
      </c>
      <c r="C530" s="484" t="s">
        <v>129</v>
      </c>
      <c r="D530" s="431" t="s">
        <v>1656</v>
      </c>
      <c r="J530" s="396" t="s">
        <v>1460</v>
      </c>
      <c r="K530" s="396" t="s">
        <v>42</v>
      </c>
      <c r="L530" s="396" t="s">
        <v>42</v>
      </c>
      <c r="M530" s="396" t="s">
        <v>43</v>
      </c>
      <c r="P530" s="396" t="s">
        <v>757</v>
      </c>
      <c r="Q530" s="396" t="s">
        <v>776</v>
      </c>
      <c r="R530" s="399"/>
      <c r="S530" s="487"/>
      <c r="T530" s="412">
        <v>42747</v>
      </c>
      <c r="U530" s="401" t="s">
        <v>1091</v>
      </c>
      <c r="W530" s="482"/>
    </row>
    <row r="531" spans="1:23" s="68" customFormat="1" ht="14.25" customHeight="1">
      <c r="A531" s="491" t="s">
        <v>36</v>
      </c>
      <c r="B531" s="490" t="s">
        <v>142</v>
      </c>
      <c r="C531" s="484" t="s">
        <v>1946</v>
      </c>
      <c r="D531" s="431" t="s">
        <v>2817</v>
      </c>
      <c r="E531" s="68" t="s">
        <v>1952</v>
      </c>
      <c r="I531" s="396" t="s">
        <v>2116</v>
      </c>
      <c r="J531" s="68" t="s">
        <v>42</v>
      </c>
      <c r="K531" s="482" t="s">
        <v>42</v>
      </c>
      <c r="L531" s="482" t="s">
        <v>772</v>
      </c>
      <c r="M531" s="68" t="s">
        <v>43</v>
      </c>
      <c r="N531" s="396"/>
      <c r="O531" s="396"/>
      <c r="P531" s="484" t="s">
        <v>757</v>
      </c>
      <c r="Q531" s="68" t="s">
        <v>1930</v>
      </c>
      <c r="R531" s="486">
        <v>6</v>
      </c>
      <c r="S531" s="486">
        <v>32</v>
      </c>
      <c r="T531" s="101">
        <v>43276</v>
      </c>
      <c r="U531" s="97" t="s">
        <v>1978</v>
      </c>
      <c r="W531" s="391" t="s">
        <v>2251</v>
      </c>
    </row>
    <row r="532" spans="1:23" s="68" customFormat="1" ht="14.25" customHeight="1">
      <c r="A532" s="482" t="s">
        <v>36</v>
      </c>
      <c r="B532" s="482" t="s">
        <v>142</v>
      </c>
      <c r="C532" s="482" t="s">
        <v>143</v>
      </c>
      <c r="D532" s="431" t="s">
        <v>2817</v>
      </c>
      <c r="E532" s="68" t="s">
        <v>1534</v>
      </c>
      <c r="F532" s="68" t="s">
        <v>1733</v>
      </c>
      <c r="G532" s="68" t="s">
        <v>1808</v>
      </c>
      <c r="H532" s="396" t="s">
        <v>40</v>
      </c>
      <c r="I532" s="396" t="s">
        <v>131</v>
      </c>
      <c r="J532" s="68" t="s">
        <v>42</v>
      </c>
      <c r="K532" s="68" t="s">
        <v>42</v>
      </c>
      <c r="L532" s="68" t="s">
        <v>42</v>
      </c>
      <c r="M532" s="68" t="s">
        <v>43</v>
      </c>
      <c r="N532" s="396">
        <v>25.305669999999999</v>
      </c>
      <c r="O532" s="396">
        <v>96.922619999999995</v>
      </c>
      <c r="P532" s="482" t="s">
        <v>757</v>
      </c>
      <c r="Q532" s="68" t="s">
        <v>776</v>
      </c>
      <c r="R532" s="486">
        <v>13</v>
      </c>
      <c r="S532" s="486">
        <v>72</v>
      </c>
      <c r="T532" s="101"/>
      <c r="U532" s="97"/>
      <c r="V532" s="68" t="s">
        <v>143</v>
      </c>
      <c r="W532" s="396"/>
    </row>
    <row r="533" spans="1:23" s="68" customFormat="1" ht="14.25" customHeight="1">
      <c r="A533" s="491" t="s">
        <v>36</v>
      </c>
      <c r="B533" s="490" t="s">
        <v>142</v>
      </c>
      <c r="C533" s="491" t="s">
        <v>1975</v>
      </c>
      <c r="D533" s="485"/>
      <c r="I533" s="396"/>
      <c r="J533" s="68" t="s">
        <v>1460</v>
      </c>
      <c r="K533" s="484" t="s">
        <v>42</v>
      </c>
      <c r="L533" s="484" t="s">
        <v>772</v>
      </c>
      <c r="P533" s="482" t="s">
        <v>1974</v>
      </c>
      <c r="Q533" s="68" t="s">
        <v>1930</v>
      </c>
      <c r="R533" s="494"/>
      <c r="S533" s="487"/>
      <c r="T533" s="101">
        <v>43285</v>
      </c>
      <c r="U533" s="97" t="s">
        <v>1980</v>
      </c>
      <c r="W533" s="482"/>
    </row>
    <row r="534" spans="1:23" s="68" customFormat="1" ht="14.25" customHeight="1">
      <c r="A534" s="491" t="s">
        <v>36</v>
      </c>
      <c r="B534" s="490" t="s">
        <v>142</v>
      </c>
      <c r="C534" s="484" t="s">
        <v>1945</v>
      </c>
      <c r="D534" s="431" t="s">
        <v>2817</v>
      </c>
      <c r="E534" s="68" t="s">
        <v>1950</v>
      </c>
      <c r="I534" s="396" t="s">
        <v>1325</v>
      </c>
      <c r="J534" s="68" t="s">
        <v>42</v>
      </c>
      <c r="K534" s="68" t="s">
        <v>42</v>
      </c>
      <c r="L534" s="484" t="s">
        <v>42</v>
      </c>
      <c r="M534" s="68" t="s">
        <v>43</v>
      </c>
      <c r="N534" s="396">
        <v>97.013800000000003</v>
      </c>
      <c r="O534" s="396">
        <v>25.383465999999999</v>
      </c>
      <c r="P534" s="484" t="s">
        <v>757</v>
      </c>
      <c r="Q534" s="396" t="s">
        <v>1930</v>
      </c>
      <c r="R534" s="399">
        <v>76</v>
      </c>
      <c r="S534" s="486">
        <v>381</v>
      </c>
      <c r="T534" s="412">
        <v>43276</v>
      </c>
      <c r="U534" s="97" t="s">
        <v>2209</v>
      </c>
      <c r="W534" s="391" t="s">
        <v>2252</v>
      </c>
    </row>
    <row r="535" spans="1:23" s="68" customFormat="1" ht="14.25" customHeight="1">
      <c r="A535" s="491" t="s">
        <v>36</v>
      </c>
      <c r="B535" s="490" t="s">
        <v>142</v>
      </c>
      <c r="C535" s="484" t="s">
        <v>1933</v>
      </c>
      <c r="D535" s="485"/>
      <c r="H535" s="396"/>
      <c r="I535" s="396"/>
      <c r="J535" s="68" t="s">
        <v>1460</v>
      </c>
      <c r="K535" s="396" t="s">
        <v>42</v>
      </c>
      <c r="L535" s="396" t="s">
        <v>42</v>
      </c>
      <c r="M535" s="68" t="s">
        <v>43</v>
      </c>
      <c r="N535" s="396"/>
      <c r="O535" s="396"/>
      <c r="P535" s="482" t="s">
        <v>757</v>
      </c>
      <c r="Q535" s="68" t="s">
        <v>1930</v>
      </c>
      <c r="R535" s="494"/>
      <c r="S535" s="487"/>
      <c r="T535" s="101">
        <v>43270</v>
      </c>
      <c r="U535" s="97"/>
      <c r="W535" s="396"/>
    </row>
    <row r="536" spans="1:23" s="68" customFormat="1" ht="14.25" customHeight="1">
      <c r="A536" s="491" t="s">
        <v>36</v>
      </c>
      <c r="B536" s="490" t="s">
        <v>142</v>
      </c>
      <c r="C536" s="484" t="s">
        <v>1932</v>
      </c>
      <c r="D536" s="485"/>
      <c r="J536" s="68" t="s">
        <v>1460</v>
      </c>
      <c r="K536" s="482" t="s">
        <v>42</v>
      </c>
      <c r="L536" s="482" t="s">
        <v>42</v>
      </c>
      <c r="M536" s="68" t="s">
        <v>43</v>
      </c>
      <c r="P536" s="482" t="s">
        <v>757</v>
      </c>
      <c r="Q536" s="396" t="s">
        <v>1930</v>
      </c>
      <c r="R536" s="494"/>
      <c r="S536" s="487"/>
      <c r="T536" s="412">
        <v>43270</v>
      </c>
      <c r="U536" s="97"/>
      <c r="W536" s="482"/>
    </row>
    <row r="537" spans="1:23" s="68" customFormat="1" ht="14.25" customHeight="1">
      <c r="A537" s="396" t="s">
        <v>36</v>
      </c>
      <c r="B537" s="396" t="s">
        <v>142</v>
      </c>
      <c r="C537" s="396" t="s">
        <v>2110</v>
      </c>
      <c r="D537" s="431" t="s">
        <v>2817</v>
      </c>
      <c r="E537" s="68" t="s">
        <v>1530</v>
      </c>
      <c r="H537" s="68" t="s">
        <v>40</v>
      </c>
      <c r="I537" s="396" t="s">
        <v>131</v>
      </c>
      <c r="J537" s="68" t="s">
        <v>42</v>
      </c>
      <c r="K537" s="396" t="s">
        <v>42</v>
      </c>
      <c r="L537" s="396" t="s">
        <v>42</v>
      </c>
      <c r="M537" s="68" t="s">
        <v>43</v>
      </c>
      <c r="N537" s="68">
        <v>25.296579999999999</v>
      </c>
      <c r="O537" s="68">
        <v>96.942279999999997</v>
      </c>
      <c r="P537" s="68" t="s">
        <v>757</v>
      </c>
      <c r="Q537" s="68" t="s">
        <v>776</v>
      </c>
      <c r="R537" s="399">
        <v>15</v>
      </c>
      <c r="S537" s="486">
        <v>74</v>
      </c>
      <c r="T537" s="101"/>
      <c r="U537" s="97"/>
      <c r="V537" s="68" t="s">
        <v>144</v>
      </c>
      <c r="W537" s="396"/>
    </row>
    <row r="538" spans="1:23" s="68" customFormat="1" ht="14.25" customHeight="1">
      <c r="A538" s="396" t="s">
        <v>36</v>
      </c>
      <c r="B538" s="396" t="s">
        <v>142</v>
      </c>
      <c r="C538" s="396" t="s">
        <v>230</v>
      </c>
      <c r="D538" s="431" t="s">
        <v>1734</v>
      </c>
      <c r="E538" s="68" t="s">
        <v>1531</v>
      </c>
      <c r="F538" s="68" t="s">
        <v>1805</v>
      </c>
      <c r="G538" s="68" t="s">
        <v>1806</v>
      </c>
      <c r="H538" s="396"/>
      <c r="I538" s="396">
        <v>0</v>
      </c>
      <c r="J538" s="68" t="s">
        <v>42</v>
      </c>
      <c r="K538" s="396" t="s">
        <v>42</v>
      </c>
      <c r="L538" s="396" t="s">
        <v>756</v>
      </c>
      <c r="M538" s="68" t="s">
        <v>43</v>
      </c>
      <c r="N538" s="396">
        <v>25.299679999999999</v>
      </c>
      <c r="O538" s="396">
        <v>96.942279999999997</v>
      </c>
      <c r="P538" s="396" t="s">
        <v>757</v>
      </c>
      <c r="Q538" s="68" t="s">
        <v>776</v>
      </c>
      <c r="R538" s="399"/>
      <c r="S538" s="487"/>
      <c r="T538" s="101">
        <v>42836</v>
      </c>
      <c r="U538" s="97" t="s">
        <v>2664</v>
      </c>
      <c r="V538" s="68" t="s">
        <v>230</v>
      </c>
      <c r="W538" s="391" t="s">
        <v>2144</v>
      </c>
    </row>
    <row r="539" spans="1:23" s="68" customFormat="1" ht="14.25" customHeight="1">
      <c r="A539" s="491" t="s">
        <v>36</v>
      </c>
      <c r="B539" s="490" t="s">
        <v>142</v>
      </c>
      <c r="C539" s="484" t="s">
        <v>1944</v>
      </c>
      <c r="D539" s="431" t="s">
        <v>2817</v>
      </c>
      <c r="E539" s="68" t="s">
        <v>1949</v>
      </c>
      <c r="H539" s="396"/>
      <c r="I539" s="68" t="s">
        <v>1325</v>
      </c>
      <c r="J539" s="68" t="s">
        <v>42</v>
      </c>
      <c r="K539" s="396" t="s">
        <v>42</v>
      </c>
      <c r="L539" s="484" t="s">
        <v>42</v>
      </c>
      <c r="M539" s="68" t="s">
        <v>43</v>
      </c>
      <c r="N539" s="396">
        <v>97.010629910000006</v>
      </c>
      <c r="O539" s="396">
        <v>25.37033053</v>
      </c>
      <c r="P539" s="484" t="s">
        <v>757</v>
      </c>
      <c r="Q539" s="68" t="s">
        <v>1930</v>
      </c>
      <c r="R539" s="399">
        <v>45</v>
      </c>
      <c r="S539" s="486">
        <v>235</v>
      </c>
      <c r="T539" s="101">
        <v>43276</v>
      </c>
      <c r="U539" s="492" t="s">
        <v>1979</v>
      </c>
      <c r="W539" s="391" t="s">
        <v>2252</v>
      </c>
    </row>
    <row r="540" spans="1:23" s="68" customFormat="1" ht="14.25" customHeight="1">
      <c r="A540" s="487" t="s">
        <v>36</v>
      </c>
      <c r="B540" s="490" t="s">
        <v>142</v>
      </c>
      <c r="C540" s="491" t="s">
        <v>2014</v>
      </c>
      <c r="D540" s="485"/>
      <c r="J540" s="68" t="s">
        <v>1460</v>
      </c>
      <c r="K540" s="396" t="s">
        <v>42</v>
      </c>
      <c r="L540" s="396" t="s">
        <v>772</v>
      </c>
      <c r="M540" s="68" t="s">
        <v>43</v>
      </c>
      <c r="P540" s="484" t="s">
        <v>1972</v>
      </c>
      <c r="R540" s="494"/>
      <c r="S540" s="487"/>
      <c r="T540" s="101">
        <v>43298</v>
      </c>
      <c r="U540" s="401"/>
      <c r="W540" s="396"/>
    </row>
    <row r="541" spans="1:23" s="68" customFormat="1" ht="14.25" customHeight="1">
      <c r="A541" s="396" t="s">
        <v>36</v>
      </c>
      <c r="B541" s="396" t="s">
        <v>142</v>
      </c>
      <c r="C541" s="396" t="s">
        <v>1118</v>
      </c>
      <c r="D541" s="431" t="s">
        <v>1657</v>
      </c>
      <c r="E541" s="68" t="s">
        <v>1959</v>
      </c>
      <c r="F541" s="68" t="s">
        <v>1733</v>
      </c>
      <c r="G541" s="68" t="s">
        <v>1118</v>
      </c>
      <c r="I541" s="68">
        <v>0</v>
      </c>
      <c r="J541" s="68" t="s">
        <v>42</v>
      </c>
      <c r="K541" s="396" t="s">
        <v>42</v>
      </c>
      <c r="L541" s="396" t="s">
        <v>756</v>
      </c>
      <c r="M541" s="68" t="s">
        <v>43</v>
      </c>
      <c r="N541" s="396"/>
      <c r="O541" s="396"/>
      <c r="P541" s="482" t="s">
        <v>757</v>
      </c>
      <c r="Q541" s="68" t="s">
        <v>922</v>
      </c>
      <c r="R541" s="399"/>
      <c r="S541" s="487"/>
      <c r="T541" s="101"/>
      <c r="U541" s="97" t="s">
        <v>1119</v>
      </c>
      <c r="W541" s="396" t="s">
        <v>2145</v>
      </c>
    </row>
    <row r="542" spans="1:23" s="68" customFormat="1" ht="14.25" customHeight="1">
      <c r="A542" s="491" t="s">
        <v>36</v>
      </c>
      <c r="B542" s="490" t="s">
        <v>142</v>
      </c>
      <c r="C542" s="484" t="s">
        <v>2109</v>
      </c>
      <c r="D542" s="431" t="s">
        <v>2817</v>
      </c>
      <c r="E542" s="482" t="s">
        <v>1951</v>
      </c>
      <c r="F542" s="482"/>
      <c r="G542" s="482"/>
      <c r="H542" s="482"/>
      <c r="I542" s="482" t="s">
        <v>131</v>
      </c>
      <c r="J542" s="482" t="s">
        <v>42</v>
      </c>
      <c r="K542" s="482" t="s">
        <v>42</v>
      </c>
      <c r="L542" s="482" t="s">
        <v>42</v>
      </c>
      <c r="M542" s="482" t="s">
        <v>43</v>
      </c>
      <c r="N542" s="482">
        <v>97.104997409999996</v>
      </c>
      <c r="O542" s="482">
        <v>25.379014999999999</v>
      </c>
      <c r="P542" s="484" t="s">
        <v>757</v>
      </c>
      <c r="Q542" s="482" t="s">
        <v>1930</v>
      </c>
      <c r="R542" s="486">
        <v>112</v>
      </c>
      <c r="S542" s="486">
        <v>487</v>
      </c>
      <c r="T542" s="506">
        <v>43276</v>
      </c>
      <c r="U542" s="492" t="s">
        <v>1979</v>
      </c>
      <c r="V542" s="482"/>
      <c r="W542" s="391" t="s">
        <v>2253</v>
      </c>
    </row>
    <row r="543" spans="1:23" s="68" customFormat="1" ht="14.25" customHeight="1">
      <c r="A543" s="396" t="s">
        <v>36</v>
      </c>
      <c r="B543" s="396" t="s">
        <v>142</v>
      </c>
      <c r="C543" s="396" t="s">
        <v>145</v>
      </c>
      <c r="D543" s="431" t="s">
        <v>2817</v>
      </c>
      <c r="E543" s="68" t="s">
        <v>1532</v>
      </c>
      <c r="F543" s="68" t="s">
        <v>1733</v>
      </c>
      <c r="G543" s="68" t="s">
        <v>1807</v>
      </c>
      <c r="H543" s="68" t="s">
        <v>40</v>
      </c>
      <c r="I543" s="396" t="s">
        <v>131</v>
      </c>
      <c r="J543" s="68" t="s">
        <v>42</v>
      </c>
      <c r="K543" s="396" t="s">
        <v>42</v>
      </c>
      <c r="L543" s="396" t="s">
        <v>42</v>
      </c>
      <c r="M543" s="68" t="s">
        <v>43</v>
      </c>
      <c r="N543" s="68">
        <v>25.30442</v>
      </c>
      <c r="O543" s="68">
        <v>96.948740000000001</v>
      </c>
      <c r="P543" s="396" t="s">
        <v>757</v>
      </c>
      <c r="Q543" s="68" t="s">
        <v>776</v>
      </c>
      <c r="R543" s="399">
        <v>10</v>
      </c>
      <c r="S543" s="486">
        <v>43</v>
      </c>
      <c r="T543" s="101"/>
      <c r="U543" s="97"/>
      <c r="V543" s="68" t="s">
        <v>145</v>
      </c>
      <c r="W543" s="396"/>
    </row>
    <row r="544" spans="1:23" s="68" customFormat="1" ht="14.25" customHeight="1">
      <c r="A544" s="396" t="s">
        <v>36</v>
      </c>
      <c r="B544" s="484" t="s">
        <v>142</v>
      </c>
      <c r="C544" s="484" t="s">
        <v>1036</v>
      </c>
      <c r="D544" s="431" t="s">
        <v>1657</v>
      </c>
      <c r="E544" s="68" t="s">
        <v>1527</v>
      </c>
      <c r="F544" s="68" t="s">
        <v>1715</v>
      </c>
      <c r="G544" s="68" t="s">
        <v>1715</v>
      </c>
      <c r="H544" s="396"/>
      <c r="I544" s="68">
        <v>0</v>
      </c>
      <c r="J544" s="68" t="s">
        <v>42</v>
      </c>
      <c r="K544" s="396" t="s">
        <v>42</v>
      </c>
      <c r="L544" s="396" t="s">
        <v>756</v>
      </c>
      <c r="M544" s="68" t="s">
        <v>43</v>
      </c>
      <c r="N544" s="396">
        <v>25.225000000000001</v>
      </c>
      <c r="O544" s="396">
        <v>96.793999999999997</v>
      </c>
      <c r="P544" s="396" t="s">
        <v>769</v>
      </c>
      <c r="Q544" s="68" t="s">
        <v>776</v>
      </c>
      <c r="R544" s="399"/>
      <c r="S544" s="487"/>
      <c r="T544" s="101">
        <v>42983</v>
      </c>
      <c r="U544" s="97" t="s">
        <v>1037</v>
      </c>
      <c r="V544" s="396" t="s">
        <v>1038</v>
      </c>
      <c r="W544" s="391" t="s">
        <v>2146</v>
      </c>
    </row>
    <row r="545" spans="1:23" s="68" customFormat="1" ht="14.25" customHeight="1">
      <c r="A545" s="396" t="s">
        <v>36</v>
      </c>
      <c r="B545" s="484" t="s">
        <v>142</v>
      </c>
      <c r="C545" s="484" t="s">
        <v>146</v>
      </c>
      <c r="D545" s="431" t="s">
        <v>2817</v>
      </c>
      <c r="E545" s="68" t="s">
        <v>1528</v>
      </c>
      <c r="F545" s="68" t="s">
        <v>1715</v>
      </c>
      <c r="G545" s="68" t="s">
        <v>1715</v>
      </c>
      <c r="H545" s="68" t="s">
        <v>40</v>
      </c>
      <c r="I545" s="68" t="s">
        <v>131</v>
      </c>
      <c r="J545" s="68" t="s">
        <v>42</v>
      </c>
      <c r="K545" s="396" t="s">
        <v>42</v>
      </c>
      <c r="L545" s="396" t="s">
        <v>42</v>
      </c>
      <c r="M545" s="68" t="s">
        <v>43</v>
      </c>
      <c r="N545" s="68">
        <v>25.225000000000001</v>
      </c>
      <c r="O545" s="68">
        <v>96.793999999999997</v>
      </c>
      <c r="P545" s="68" t="s">
        <v>757</v>
      </c>
      <c r="Q545" s="68" t="s">
        <v>776</v>
      </c>
      <c r="R545" s="399">
        <v>27</v>
      </c>
      <c r="S545" s="486">
        <v>135</v>
      </c>
      <c r="T545" s="101"/>
      <c r="U545" s="97"/>
      <c r="V545" s="396" t="s">
        <v>146</v>
      </c>
      <c r="W545" s="482"/>
    </row>
    <row r="546" spans="1:23" s="68" customFormat="1" ht="14.25" customHeight="1">
      <c r="A546" s="396" t="s">
        <v>36</v>
      </c>
      <c r="B546" s="482" t="s">
        <v>147</v>
      </c>
      <c r="C546" s="482" t="s">
        <v>1030</v>
      </c>
      <c r="D546" s="431" t="s">
        <v>2817</v>
      </c>
      <c r="E546" s="68" t="s">
        <v>1520</v>
      </c>
      <c r="F546" s="68" t="s">
        <v>1866</v>
      </c>
      <c r="G546" s="68" t="s">
        <v>1867</v>
      </c>
      <c r="H546" s="396"/>
      <c r="I546" s="396" t="s">
        <v>2116</v>
      </c>
      <c r="J546" s="68" t="s">
        <v>42</v>
      </c>
      <c r="K546" s="396" t="s">
        <v>42</v>
      </c>
      <c r="L546" s="396" t="s">
        <v>768</v>
      </c>
      <c r="M546" s="68" t="s">
        <v>43</v>
      </c>
      <c r="N546" s="396">
        <v>24.996279999999999</v>
      </c>
      <c r="O546" s="396">
        <v>96.52534</v>
      </c>
      <c r="P546" s="396" t="s">
        <v>769</v>
      </c>
      <c r="Q546" s="68" t="s">
        <v>758</v>
      </c>
      <c r="R546" s="399">
        <v>27</v>
      </c>
      <c r="S546" s="486">
        <v>126</v>
      </c>
      <c r="T546" s="101"/>
      <c r="U546" s="401" t="s">
        <v>1027</v>
      </c>
      <c r="V546" s="396" t="s">
        <v>1030</v>
      </c>
      <c r="W546" s="482"/>
    </row>
    <row r="547" spans="1:23" s="68" customFormat="1" ht="14.25" customHeight="1">
      <c r="A547" s="396" t="s">
        <v>36</v>
      </c>
      <c r="B547" s="482" t="s">
        <v>147</v>
      </c>
      <c r="C547" s="482" t="s">
        <v>1026</v>
      </c>
      <c r="D547" s="431" t="s">
        <v>2817</v>
      </c>
      <c r="E547" s="68" t="s">
        <v>1517</v>
      </c>
      <c r="F547" s="68" t="s">
        <v>1797</v>
      </c>
      <c r="G547" s="68">
        <v>0</v>
      </c>
      <c r="I547" s="396" t="s">
        <v>2116</v>
      </c>
      <c r="J547" s="68" t="s">
        <v>42</v>
      </c>
      <c r="K547" s="68" t="s">
        <v>42</v>
      </c>
      <c r="L547" s="396" t="s">
        <v>768</v>
      </c>
      <c r="M547" s="68" t="s">
        <v>43</v>
      </c>
      <c r="N547" s="396">
        <v>24.764959999999999</v>
      </c>
      <c r="O547" s="396">
        <v>96.366919999999993</v>
      </c>
      <c r="P547" s="396" t="s">
        <v>769</v>
      </c>
      <c r="Q547" s="68" t="s">
        <v>758</v>
      </c>
      <c r="R547" s="399">
        <v>15</v>
      </c>
      <c r="S547" s="486">
        <v>71</v>
      </c>
      <c r="T547" s="101"/>
      <c r="U547" s="97" t="s">
        <v>1027</v>
      </c>
      <c r="V547" s="396" t="s">
        <v>1026</v>
      </c>
      <c r="W547" s="482"/>
    </row>
    <row r="548" spans="1:23" s="68" customFormat="1" ht="14.25" customHeight="1">
      <c r="A548" s="396" t="s">
        <v>36</v>
      </c>
      <c r="B548" s="396" t="s">
        <v>147</v>
      </c>
      <c r="C548" s="396" t="s">
        <v>147</v>
      </c>
      <c r="D548" s="431" t="s">
        <v>1656</v>
      </c>
      <c r="E548" s="396"/>
      <c r="H548" s="396"/>
      <c r="I548" s="396"/>
      <c r="J548" s="396" t="s">
        <v>794</v>
      </c>
      <c r="K548" s="396" t="s">
        <v>794</v>
      </c>
      <c r="L548" s="396" t="s">
        <v>794</v>
      </c>
      <c r="M548" s="396"/>
      <c r="N548" s="396"/>
      <c r="O548" s="396"/>
      <c r="P548" s="396" t="s">
        <v>795</v>
      </c>
      <c r="Q548" s="396"/>
      <c r="R548" s="399"/>
      <c r="S548" s="400"/>
      <c r="T548" s="412"/>
      <c r="U548" s="401"/>
      <c r="V548" s="396" t="s">
        <v>147</v>
      </c>
    </row>
    <row r="549" spans="1:23" s="68" customFormat="1" ht="14.25" customHeight="1">
      <c r="A549" s="482" t="s">
        <v>36</v>
      </c>
      <c r="B549" s="482" t="s">
        <v>147</v>
      </c>
      <c r="C549" s="482" t="s">
        <v>1031</v>
      </c>
      <c r="D549" s="431" t="s">
        <v>1657</v>
      </c>
      <c r="E549" s="396" t="s">
        <v>1521</v>
      </c>
      <c r="F549" s="396" t="s">
        <v>1712</v>
      </c>
      <c r="G549" s="396" t="s">
        <v>1712</v>
      </c>
      <c r="H549" s="396" t="s">
        <v>40</v>
      </c>
      <c r="I549" s="396" t="s">
        <v>131</v>
      </c>
      <c r="J549" s="396" t="s">
        <v>42</v>
      </c>
      <c r="K549" s="482" t="s">
        <v>42</v>
      </c>
      <c r="L549" s="482" t="s">
        <v>756</v>
      </c>
      <c r="M549" s="396" t="s">
        <v>43</v>
      </c>
      <c r="N549" s="396">
        <v>24.998349999999999</v>
      </c>
      <c r="O549" s="396">
        <v>96.364949999999993</v>
      </c>
      <c r="P549" s="396" t="s">
        <v>757</v>
      </c>
      <c r="Q549" s="396"/>
      <c r="R549" s="486"/>
      <c r="S549" s="400"/>
      <c r="T549" s="412"/>
      <c r="U549" s="401"/>
      <c r="V549" s="396" t="s">
        <v>1031</v>
      </c>
      <c r="W549" s="482" t="s">
        <v>2147</v>
      </c>
    </row>
    <row r="550" spans="1:23" s="68" customFormat="1" ht="14.25" customHeight="1">
      <c r="A550" s="396" t="s">
        <v>36</v>
      </c>
      <c r="B550" s="396" t="s">
        <v>147</v>
      </c>
      <c r="C550" s="396" t="s">
        <v>148</v>
      </c>
      <c r="D550" s="431" t="s">
        <v>2817</v>
      </c>
      <c r="E550" s="68" t="s">
        <v>1522</v>
      </c>
      <c r="H550" s="68" t="s">
        <v>40</v>
      </c>
      <c r="I550" s="396" t="s">
        <v>131</v>
      </c>
      <c r="J550" s="68" t="s">
        <v>42</v>
      </c>
      <c r="K550" s="396" t="s">
        <v>42</v>
      </c>
      <c r="L550" s="396" t="s">
        <v>42</v>
      </c>
      <c r="M550" s="68" t="s">
        <v>43</v>
      </c>
      <c r="N550" s="396">
        <v>24.998349999999999</v>
      </c>
      <c r="O550" s="396">
        <v>96.364949999999993</v>
      </c>
      <c r="P550" s="396" t="s">
        <v>757</v>
      </c>
      <c r="Q550" s="68" t="s">
        <v>776</v>
      </c>
      <c r="R550" s="399">
        <v>26</v>
      </c>
      <c r="S550" s="486">
        <v>117</v>
      </c>
      <c r="T550" s="101"/>
      <c r="U550" s="401"/>
      <c r="V550" s="396" t="s">
        <v>1032</v>
      </c>
      <c r="W550" s="391" t="s">
        <v>2254</v>
      </c>
    </row>
    <row r="551" spans="1:23" s="68" customFormat="1" ht="14.25" customHeight="1">
      <c r="A551" s="396" t="s">
        <v>36</v>
      </c>
      <c r="B551" s="484" t="s">
        <v>147</v>
      </c>
      <c r="C551" s="484" t="s">
        <v>229</v>
      </c>
      <c r="D551" s="431" t="s">
        <v>2817</v>
      </c>
      <c r="E551" s="396" t="s">
        <v>1516</v>
      </c>
      <c r="F551" s="68" t="s">
        <v>1797</v>
      </c>
      <c r="G551" s="68" t="s">
        <v>1798</v>
      </c>
      <c r="H551" s="396" t="s">
        <v>40</v>
      </c>
      <c r="I551" s="396" t="s">
        <v>1325</v>
      </c>
      <c r="J551" s="396" t="s">
        <v>42</v>
      </c>
      <c r="K551" s="396" t="s">
        <v>42</v>
      </c>
      <c r="L551" s="396" t="s">
        <v>42</v>
      </c>
      <c r="M551" s="396" t="s">
        <v>43</v>
      </c>
      <c r="N551" s="396">
        <v>24.764800000000001</v>
      </c>
      <c r="O551" s="396">
        <v>96.367059999999995</v>
      </c>
      <c r="P551" s="68" t="s">
        <v>757</v>
      </c>
      <c r="Q551" s="396" t="s">
        <v>776</v>
      </c>
      <c r="R551" s="399">
        <v>11</v>
      </c>
      <c r="S551" s="486">
        <v>68</v>
      </c>
      <c r="T551" s="412"/>
      <c r="U551" s="401"/>
      <c r="V551" s="68" t="s">
        <v>229</v>
      </c>
      <c r="W551" s="482"/>
    </row>
    <row r="552" spans="1:23" s="68" customFormat="1" ht="14.25" customHeight="1">
      <c r="A552" s="487" t="s">
        <v>36</v>
      </c>
      <c r="B552" s="490" t="s">
        <v>2015</v>
      </c>
      <c r="C552" s="491" t="s">
        <v>2020</v>
      </c>
      <c r="D552" s="485"/>
      <c r="E552" s="396"/>
      <c r="F552" s="396"/>
      <c r="G552" s="396"/>
      <c r="H552" s="396"/>
      <c r="I552" s="396"/>
      <c r="J552" s="396" t="s">
        <v>1460</v>
      </c>
      <c r="K552" s="484" t="s">
        <v>42</v>
      </c>
      <c r="L552" s="484" t="s">
        <v>772</v>
      </c>
      <c r="M552" s="396" t="s">
        <v>774</v>
      </c>
      <c r="N552" s="396"/>
      <c r="O552" s="396"/>
      <c r="P552" s="396" t="s">
        <v>757</v>
      </c>
      <c r="Q552" s="396"/>
      <c r="R552" s="494"/>
      <c r="S552" s="487"/>
      <c r="T552" s="412">
        <v>43298</v>
      </c>
      <c r="U552" s="401"/>
      <c r="V552" s="396"/>
    </row>
    <row r="553" spans="1:23" s="68" customFormat="1" ht="14.25" customHeight="1">
      <c r="A553" s="482" t="s">
        <v>36</v>
      </c>
      <c r="B553" s="482" t="s">
        <v>195</v>
      </c>
      <c r="C553" s="482" t="s">
        <v>196</v>
      </c>
      <c r="D553" s="431" t="s">
        <v>1656</v>
      </c>
      <c r="E553" s="396"/>
      <c r="F553" s="396"/>
      <c r="G553" s="396"/>
      <c r="H553" s="396"/>
      <c r="I553" s="396"/>
      <c r="J553" s="396" t="s">
        <v>1460</v>
      </c>
      <c r="K553" s="396" t="s">
        <v>42</v>
      </c>
      <c r="L553" s="396" t="s">
        <v>42</v>
      </c>
      <c r="M553" s="396" t="s">
        <v>43</v>
      </c>
      <c r="N553" s="396"/>
      <c r="O553" s="396"/>
      <c r="P553" s="396" t="s">
        <v>757</v>
      </c>
      <c r="Q553" s="396" t="s">
        <v>776</v>
      </c>
      <c r="R553" s="486"/>
      <c r="S553" s="400"/>
      <c r="T553" s="412"/>
      <c r="U553" s="401" t="s">
        <v>1086</v>
      </c>
      <c r="V553" s="396" t="s">
        <v>196</v>
      </c>
      <c r="W553" s="482"/>
    </row>
    <row r="554" spans="1:23" s="68" customFormat="1" ht="14.25" customHeight="1">
      <c r="A554" s="482" t="s">
        <v>36</v>
      </c>
      <c r="B554" s="482" t="s">
        <v>195</v>
      </c>
      <c r="C554" s="482" t="s">
        <v>1017</v>
      </c>
      <c r="D554" s="431" t="s">
        <v>1657</v>
      </c>
      <c r="E554" s="68" t="s">
        <v>1508</v>
      </c>
      <c r="F554" s="68" t="s">
        <v>1705</v>
      </c>
      <c r="G554" s="68" t="s">
        <v>1706</v>
      </c>
      <c r="I554" s="396">
        <v>0</v>
      </c>
      <c r="J554" s="68" t="s">
        <v>42</v>
      </c>
      <c r="K554" s="396" t="s">
        <v>42</v>
      </c>
      <c r="L554" s="396" t="s">
        <v>756</v>
      </c>
      <c r="M554" s="68" t="s">
        <v>43</v>
      </c>
      <c r="N554" s="396">
        <v>24.613976000000001</v>
      </c>
      <c r="O554" s="396">
        <v>97.461271999999994</v>
      </c>
      <c r="P554" s="68" t="s">
        <v>757</v>
      </c>
      <c r="Q554" s="68" t="s">
        <v>758</v>
      </c>
      <c r="R554" s="486"/>
      <c r="S554" s="487"/>
      <c r="T554" s="101">
        <v>42983</v>
      </c>
      <c r="U554" s="401" t="s">
        <v>1018</v>
      </c>
      <c r="V554" s="68" t="s">
        <v>1017</v>
      </c>
      <c r="W554" s="391" t="s">
        <v>2148</v>
      </c>
    </row>
    <row r="555" spans="1:23" s="68" customFormat="1" ht="14.25" customHeight="1">
      <c r="A555" s="396" t="s">
        <v>36</v>
      </c>
      <c r="B555" s="396" t="s">
        <v>195</v>
      </c>
      <c r="C555" s="396" t="s">
        <v>222</v>
      </c>
      <c r="D555" s="431" t="s">
        <v>2817</v>
      </c>
      <c r="E555" s="68" t="s">
        <v>1506</v>
      </c>
      <c r="F555" s="68" t="s">
        <v>1793</v>
      </c>
      <c r="G555" s="68" t="s">
        <v>1794</v>
      </c>
      <c r="H555" s="68" t="s">
        <v>40</v>
      </c>
      <c r="I555" s="68" t="s">
        <v>1325</v>
      </c>
      <c r="J555" s="68" t="s">
        <v>42</v>
      </c>
      <c r="K555" s="68" t="s">
        <v>42</v>
      </c>
      <c r="L555" s="396" t="s">
        <v>42</v>
      </c>
      <c r="M555" s="68" t="s">
        <v>774</v>
      </c>
      <c r="N555" s="396">
        <v>24.461033</v>
      </c>
      <c r="O555" s="396">
        <v>97.537099999999995</v>
      </c>
      <c r="P555" s="68" t="s">
        <v>757</v>
      </c>
      <c r="Q555" s="68" t="s">
        <v>776</v>
      </c>
      <c r="R555" s="399">
        <v>80</v>
      </c>
      <c r="S555" s="399">
        <v>378</v>
      </c>
      <c r="T555" s="101"/>
      <c r="U555" s="401"/>
      <c r="V555" s="68" t="s">
        <v>222</v>
      </c>
      <c r="W555" s="396"/>
    </row>
    <row r="556" spans="1:23" s="68" customFormat="1" ht="14.25" customHeight="1">
      <c r="A556" s="482" t="s">
        <v>36</v>
      </c>
      <c r="B556" s="482" t="s">
        <v>195</v>
      </c>
      <c r="C556" s="482" t="s">
        <v>207</v>
      </c>
      <c r="D556" s="431" t="s">
        <v>2817</v>
      </c>
      <c r="E556" s="68" t="s">
        <v>1510</v>
      </c>
      <c r="F556" s="68" t="s">
        <v>1795</v>
      </c>
      <c r="G556" s="68" t="s">
        <v>1796</v>
      </c>
      <c r="H556" s="396" t="s">
        <v>40</v>
      </c>
      <c r="I556" s="68" t="s">
        <v>1325</v>
      </c>
      <c r="J556" s="68" t="s">
        <v>42</v>
      </c>
      <c r="K556" s="68" t="s">
        <v>42</v>
      </c>
      <c r="L556" s="396" t="s">
        <v>42</v>
      </c>
      <c r="M556" s="68" t="s">
        <v>774</v>
      </c>
      <c r="N556" s="396">
        <v>24.661905999999998</v>
      </c>
      <c r="O556" s="396">
        <v>97.573126000000002</v>
      </c>
      <c r="P556" s="17" t="s">
        <v>1974</v>
      </c>
      <c r="Q556" s="68" t="s">
        <v>776</v>
      </c>
      <c r="R556" s="399">
        <v>717</v>
      </c>
      <c r="S556" s="486">
        <v>3658</v>
      </c>
      <c r="T556" s="101"/>
      <c r="U556" s="97"/>
      <c r="V556" s="68" t="s">
        <v>207</v>
      </c>
      <c r="W556" s="482"/>
    </row>
    <row r="557" spans="1:23" s="68" customFormat="1" ht="14.25" customHeight="1">
      <c r="A557" s="482" t="s">
        <v>36</v>
      </c>
      <c r="B557" s="482" t="s">
        <v>195</v>
      </c>
      <c r="C557" s="482" t="s">
        <v>280</v>
      </c>
      <c r="D557" s="431" t="s">
        <v>2817</v>
      </c>
      <c r="E557" s="396" t="s">
        <v>1511</v>
      </c>
      <c r="F557" s="396" t="s">
        <v>1795</v>
      </c>
      <c r="G557" s="396" t="s">
        <v>1796</v>
      </c>
      <c r="H557" s="396" t="s">
        <v>40</v>
      </c>
      <c r="I557" s="396" t="s">
        <v>1325</v>
      </c>
      <c r="J557" s="396" t="s">
        <v>42</v>
      </c>
      <c r="K557" s="396" t="s">
        <v>42</v>
      </c>
      <c r="L557" s="396" t="s">
        <v>42</v>
      </c>
      <c r="M557" s="396" t="s">
        <v>774</v>
      </c>
      <c r="N557" s="396">
        <v>24.688338999999999</v>
      </c>
      <c r="O557" s="396">
        <v>97.568331999999998</v>
      </c>
      <c r="P557" s="17" t="s">
        <v>1974</v>
      </c>
      <c r="Q557" s="396" t="s">
        <v>776</v>
      </c>
      <c r="R557" s="486">
        <v>1527</v>
      </c>
      <c r="S557" s="486">
        <v>8721</v>
      </c>
      <c r="T557" s="412"/>
      <c r="U557" s="401"/>
      <c r="V557" s="396" t="s">
        <v>280</v>
      </c>
      <c r="W557" s="482"/>
    </row>
    <row r="558" spans="1:23" s="68" customFormat="1" ht="14.25" customHeight="1">
      <c r="A558" s="396" t="s">
        <v>36</v>
      </c>
      <c r="B558" s="396" t="s">
        <v>195</v>
      </c>
      <c r="C558" s="396" t="s">
        <v>197</v>
      </c>
      <c r="D558" s="431" t="s">
        <v>1656</v>
      </c>
      <c r="J558" s="68" t="s">
        <v>1460</v>
      </c>
      <c r="K558" s="68" t="s">
        <v>42</v>
      </c>
      <c r="L558" s="482" t="s">
        <v>42</v>
      </c>
      <c r="M558" s="68" t="s">
        <v>43</v>
      </c>
      <c r="N558" s="396"/>
      <c r="O558" s="396"/>
      <c r="P558" s="68" t="s">
        <v>757</v>
      </c>
      <c r="Q558" s="68" t="s">
        <v>776</v>
      </c>
      <c r="R558" s="399"/>
      <c r="S558" s="487"/>
      <c r="T558" s="101"/>
      <c r="U558" s="97" t="s">
        <v>1086</v>
      </c>
      <c r="V558" s="68" t="s">
        <v>197</v>
      </c>
      <c r="W558" s="482"/>
    </row>
    <row r="559" spans="1:23" s="68" customFormat="1" ht="14.25" customHeight="1">
      <c r="A559" s="396" t="s">
        <v>36</v>
      </c>
      <c r="B559" s="396" t="s">
        <v>195</v>
      </c>
      <c r="C559" s="396" t="s">
        <v>199</v>
      </c>
      <c r="D559" s="431" t="s">
        <v>1656</v>
      </c>
      <c r="E559" s="396"/>
      <c r="F559" s="396"/>
      <c r="G559" s="396"/>
      <c r="H559" s="396"/>
      <c r="I559" s="396"/>
      <c r="J559" s="396" t="s">
        <v>1460</v>
      </c>
      <c r="K559" s="396" t="s">
        <v>42</v>
      </c>
      <c r="L559" s="396" t="s">
        <v>42</v>
      </c>
      <c r="M559" s="396" t="s">
        <v>43</v>
      </c>
      <c r="N559" s="396"/>
      <c r="O559" s="396"/>
      <c r="P559" s="396" t="s">
        <v>757</v>
      </c>
      <c r="Q559" s="396" t="s">
        <v>776</v>
      </c>
      <c r="R559" s="399"/>
      <c r="S559" s="487"/>
      <c r="T559" s="412"/>
      <c r="U559" s="401" t="s">
        <v>1086</v>
      </c>
      <c r="V559" s="396" t="s">
        <v>199</v>
      </c>
      <c r="W559" s="482"/>
    </row>
    <row r="560" spans="1:23" s="68" customFormat="1" ht="14.25" customHeight="1">
      <c r="A560" s="482" t="s">
        <v>36</v>
      </c>
      <c r="B560" s="482" t="s">
        <v>195</v>
      </c>
      <c r="C560" s="482" t="s">
        <v>1008</v>
      </c>
      <c r="D560" s="431" t="s">
        <v>2817</v>
      </c>
      <c r="E560" s="482" t="s">
        <v>1501</v>
      </c>
      <c r="F560" s="68" t="s">
        <v>1864</v>
      </c>
      <c r="G560" s="68" t="s">
        <v>1865</v>
      </c>
      <c r="H560" s="396"/>
      <c r="I560" s="68" t="s">
        <v>2116</v>
      </c>
      <c r="J560" s="68" t="s">
        <v>42</v>
      </c>
      <c r="K560" s="68" t="s">
        <v>42</v>
      </c>
      <c r="L560" s="68" t="s">
        <v>768</v>
      </c>
      <c r="M560" s="68" t="s">
        <v>43</v>
      </c>
      <c r="N560" s="396">
        <v>24.377054000000001</v>
      </c>
      <c r="O560" s="396">
        <v>97.343406999999999</v>
      </c>
      <c r="P560" s="68" t="s">
        <v>769</v>
      </c>
      <c r="Q560" s="68" t="s">
        <v>758</v>
      </c>
      <c r="R560" s="399">
        <v>3</v>
      </c>
      <c r="S560" s="486">
        <v>18</v>
      </c>
      <c r="T560" s="101"/>
      <c r="U560" s="97" t="s">
        <v>1009</v>
      </c>
      <c r="V560" s="68" t="s">
        <v>1008</v>
      </c>
    </row>
    <row r="561" spans="1:23" s="68" customFormat="1" ht="14.25" customHeight="1">
      <c r="A561" s="482" t="s">
        <v>36</v>
      </c>
      <c r="B561" s="482" t="s">
        <v>195</v>
      </c>
      <c r="C561" s="482" t="s">
        <v>279</v>
      </c>
      <c r="D561" s="431" t="s">
        <v>1656</v>
      </c>
      <c r="H561" s="396"/>
      <c r="I561" s="396"/>
      <c r="J561" s="68" t="s">
        <v>1460</v>
      </c>
      <c r="K561" s="482" t="s">
        <v>42</v>
      </c>
      <c r="L561" s="482" t="s">
        <v>1095</v>
      </c>
      <c r="M561" s="68" t="s">
        <v>774</v>
      </c>
      <c r="N561" s="396"/>
      <c r="O561" s="396"/>
      <c r="P561" s="68" t="s">
        <v>757</v>
      </c>
      <c r="Q561" s="68" t="s">
        <v>758</v>
      </c>
      <c r="R561" s="486"/>
      <c r="S561" s="400"/>
      <c r="T561" s="101">
        <v>42849</v>
      </c>
      <c r="U561" s="97"/>
      <c r="W561" s="482"/>
    </row>
    <row r="562" spans="1:23" s="68" customFormat="1" ht="14.25" customHeight="1">
      <c r="A562" s="482" t="s">
        <v>36</v>
      </c>
      <c r="B562" s="482" t="s">
        <v>195</v>
      </c>
      <c r="C562" s="482" t="s">
        <v>271</v>
      </c>
      <c r="D562" s="431" t="s">
        <v>2817</v>
      </c>
      <c r="E562" s="68" t="s">
        <v>1476</v>
      </c>
      <c r="F562" s="68" t="s">
        <v>1776</v>
      </c>
      <c r="G562" s="68" t="s">
        <v>1778</v>
      </c>
      <c r="H562" s="68" t="s">
        <v>40</v>
      </c>
      <c r="I562" s="396" t="s">
        <v>131</v>
      </c>
      <c r="J562" s="68" t="s">
        <v>42</v>
      </c>
      <c r="K562" s="68" t="s">
        <v>42</v>
      </c>
      <c r="L562" s="68" t="s">
        <v>42</v>
      </c>
      <c r="M562" s="68" t="s">
        <v>43</v>
      </c>
      <c r="N562" s="396">
        <v>24.200972</v>
      </c>
      <c r="O562" s="396">
        <v>97.718582999999995</v>
      </c>
      <c r="P562" s="68" t="s">
        <v>757</v>
      </c>
      <c r="Q562" s="68" t="s">
        <v>776</v>
      </c>
      <c r="R562" s="486">
        <v>38</v>
      </c>
      <c r="S562" s="486">
        <v>244</v>
      </c>
      <c r="T562" s="101"/>
      <c r="U562" s="97"/>
      <c r="V562" s="68" t="s">
        <v>271</v>
      </c>
      <c r="W562" s="482"/>
    </row>
    <row r="563" spans="1:23" s="68" customFormat="1" ht="14.25" customHeight="1">
      <c r="A563" s="482" t="s">
        <v>36</v>
      </c>
      <c r="B563" s="482" t="s">
        <v>195</v>
      </c>
      <c r="C563" s="482" t="s">
        <v>272</v>
      </c>
      <c r="D563" s="431" t="s">
        <v>2817</v>
      </c>
      <c r="E563" s="482" t="s">
        <v>1477</v>
      </c>
      <c r="F563" s="482" t="s">
        <v>1776</v>
      </c>
      <c r="G563" s="482" t="s">
        <v>1778</v>
      </c>
      <c r="H563" s="482" t="s">
        <v>40</v>
      </c>
      <c r="I563" s="482" t="s">
        <v>41</v>
      </c>
      <c r="J563" s="482" t="s">
        <v>42</v>
      </c>
      <c r="K563" s="482" t="s">
        <v>42</v>
      </c>
      <c r="L563" s="482" t="s">
        <v>42</v>
      </c>
      <c r="M563" s="482" t="s">
        <v>43</v>
      </c>
      <c r="N563" s="482">
        <v>24.205417000000001</v>
      </c>
      <c r="O563" s="482">
        <v>97.724566999999993</v>
      </c>
      <c r="P563" s="396" t="s">
        <v>757</v>
      </c>
      <c r="Q563" s="482" t="s">
        <v>776</v>
      </c>
      <c r="R563" s="486">
        <v>129</v>
      </c>
      <c r="S563" s="486">
        <v>646</v>
      </c>
      <c r="T563" s="506"/>
      <c r="U563" s="488"/>
      <c r="V563" s="482" t="s">
        <v>272</v>
      </c>
      <c r="W563" s="396"/>
    </row>
    <row r="564" spans="1:23" s="68" customFormat="1" ht="14.25" customHeight="1">
      <c r="A564" s="482" t="s">
        <v>36</v>
      </c>
      <c r="B564" s="482" t="s">
        <v>195</v>
      </c>
      <c r="C564" s="482" t="s">
        <v>1103</v>
      </c>
      <c r="D564" s="431" t="s">
        <v>1656</v>
      </c>
      <c r="E564" s="482"/>
      <c r="F564" s="482"/>
      <c r="G564" s="482"/>
      <c r="H564" s="482"/>
      <c r="I564" s="482"/>
      <c r="J564" s="482" t="s">
        <v>42</v>
      </c>
      <c r="K564" s="482" t="s">
        <v>42</v>
      </c>
      <c r="L564" s="482" t="s">
        <v>1083</v>
      </c>
      <c r="M564" s="482" t="s">
        <v>43</v>
      </c>
      <c r="N564" s="482"/>
      <c r="O564" s="482"/>
      <c r="P564" s="482" t="s">
        <v>757</v>
      </c>
      <c r="Q564" s="482"/>
      <c r="R564" s="486"/>
      <c r="S564" s="487"/>
      <c r="T564" s="506"/>
      <c r="U564" s="488"/>
      <c r="V564" s="482" t="s">
        <v>1104</v>
      </c>
    </row>
    <row r="565" spans="1:23" s="68" customFormat="1" ht="14.25" customHeight="1">
      <c r="A565" s="396" t="s">
        <v>36</v>
      </c>
      <c r="B565" s="396" t="s">
        <v>195</v>
      </c>
      <c r="C565" s="396" t="s">
        <v>1105</v>
      </c>
      <c r="D565" s="431" t="s">
        <v>1656</v>
      </c>
      <c r="E565" s="396"/>
      <c r="F565" s="396"/>
      <c r="G565" s="396"/>
      <c r="H565" s="396"/>
      <c r="I565" s="396"/>
      <c r="J565" s="68" t="s">
        <v>42</v>
      </c>
      <c r="K565" s="396" t="s">
        <v>42</v>
      </c>
      <c r="L565" s="396" t="s">
        <v>1083</v>
      </c>
      <c r="M565" s="396" t="s">
        <v>43</v>
      </c>
      <c r="N565" s="396"/>
      <c r="O565" s="396"/>
      <c r="P565" s="68" t="s">
        <v>757</v>
      </c>
      <c r="Q565" s="396"/>
      <c r="R565" s="399"/>
      <c r="S565" s="487"/>
      <c r="T565" s="412"/>
      <c r="U565" s="401"/>
      <c r="V565" s="396" t="s">
        <v>1106</v>
      </c>
    </row>
    <row r="566" spans="1:23" s="68" customFormat="1" ht="14.25" customHeight="1">
      <c r="A566" s="396" t="s">
        <v>36</v>
      </c>
      <c r="B566" s="396" t="s">
        <v>195</v>
      </c>
      <c r="C566" s="396" t="s">
        <v>1107</v>
      </c>
      <c r="D566" s="431" t="s">
        <v>1656</v>
      </c>
      <c r="H566" s="396"/>
      <c r="I566" s="396"/>
      <c r="J566" s="68" t="s">
        <v>42</v>
      </c>
      <c r="K566" s="68" t="s">
        <v>42</v>
      </c>
      <c r="L566" s="68" t="s">
        <v>1083</v>
      </c>
      <c r="M566" s="68" t="s">
        <v>43</v>
      </c>
      <c r="N566" s="396"/>
      <c r="O566" s="396"/>
      <c r="P566" s="396" t="s">
        <v>757</v>
      </c>
      <c r="R566" s="399"/>
      <c r="S566" s="487"/>
      <c r="T566" s="101"/>
      <c r="U566" s="97"/>
      <c r="V566" s="68" t="s">
        <v>1108</v>
      </c>
      <c r="W566" s="482"/>
    </row>
    <row r="567" spans="1:23" s="68" customFormat="1" ht="14.25" customHeight="1">
      <c r="A567" s="482" t="s">
        <v>36</v>
      </c>
      <c r="B567" s="482" t="s">
        <v>195</v>
      </c>
      <c r="C567" s="482" t="s">
        <v>273</v>
      </c>
      <c r="D567" s="431" t="s">
        <v>2817</v>
      </c>
      <c r="E567" s="482" t="s">
        <v>1475</v>
      </c>
      <c r="F567" s="482" t="s">
        <v>1776</v>
      </c>
      <c r="G567" s="482" t="s">
        <v>1777</v>
      </c>
      <c r="H567" s="482" t="s">
        <v>40</v>
      </c>
      <c r="I567" s="482" t="s">
        <v>131</v>
      </c>
      <c r="J567" s="482" t="s">
        <v>42</v>
      </c>
      <c r="K567" s="482" t="s">
        <v>42</v>
      </c>
      <c r="L567" s="482" t="s">
        <v>42</v>
      </c>
      <c r="M567" s="482" t="s">
        <v>43</v>
      </c>
      <c r="N567" s="482">
        <v>24.200433</v>
      </c>
      <c r="O567" s="482">
        <v>97.717133000000004</v>
      </c>
      <c r="P567" s="396" t="s">
        <v>757</v>
      </c>
      <c r="Q567" s="482" t="s">
        <v>776</v>
      </c>
      <c r="R567" s="486">
        <v>210</v>
      </c>
      <c r="S567" s="486">
        <v>1212</v>
      </c>
      <c r="T567" s="506"/>
      <c r="U567" s="488"/>
      <c r="V567" s="482" t="s">
        <v>273</v>
      </c>
      <c r="W567" s="482"/>
    </row>
    <row r="568" spans="1:23" s="68" customFormat="1" ht="14.25" customHeight="1">
      <c r="A568" s="396" t="s">
        <v>36</v>
      </c>
      <c r="B568" s="482" t="s">
        <v>195</v>
      </c>
      <c r="C568" s="482" t="s">
        <v>1109</v>
      </c>
      <c r="D568" s="431" t="s">
        <v>1656</v>
      </c>
      <c r="H568" s="396"/>
      <c r="J568" s="68" t="s">
        <v>1095</v>
      </c>
      <c r="K568" s="68" t="s">
        <v>42</v>
      </c>
      <c r="L568" s="68" t="s">
        <v>756</v>
      </c>
      <c r="M568" s="68" t="s">
        <v>43</v>
      </c>
      <c r="N568" s="396"/>
      <c r="O568" s="396"/>
      <c r="P568" s="68" t="s">
        <v>757</v>
      </c>
      <c r="R568" s="399"/>
      <c r="S568" s="487"/>
      <c r="T568" s="101"/>
      <c r="U568" s="97"/>
      <c r="V568" s="68" t="s">
        <v>1109</v>
      </c>
      <c r="W568" s="482"/>
    </row>
    <row r="569" spans="1:23" s="68" customFormat="1" ht="14.25" customHeight="1">
      <c r="A569" s="396" t="s">
        <v>36</v>
      </c>
      <c r="B569" s="482" t="s">
        <v>195</v>
      </c>
      <c r="C569" s="482" t="s">
        <v>278</v>
      </c>
      <c r="D569" s="431" t="s">
        <v>1656</v>
      </c>
      <c r="H569" s="396"/>
      <c r="I569" s="396"/>
      <c r="J569" s="68" t="s">
        <v>1460</v>
      </c>
      <c r="K569" s="68" t="s">
        <v>42</v>
      </c>
      <c r="L569" s="68" t="s">
        <v>1095</v>
      </c>
      <c r="M569" s="68" t="s">
        <v>43</v>
      </c>
      <c r="N569" s="396"/>
      <c r="O569" s="396"/>
      <c r="P569" s="396" t="s">
        <v>757</v>
      </c>
      <c r="Q569" s="68" t="s">
        <v>758</v>
      </c>
      <c r="R569" s="399"/>
      <c r="S569" s="487"/>
      <c r="T569" s="101">
        <v>42849</v>
      </c>
      <c r="U569" s="97"/>
      <c r="W569" s="482"/>
    </row>
    <row r="570" spans="1:23" s="68" customFormat="1" ht="14.25" customHeight="1">
      <c r="A570" s="482" t="s">
        <v>36</v>
      </c>
      <c r="B570" s="482" t="s">
        <v>195</v>
      </c>
      <c r="C570" s="482" t="s">
        <v>1014</v>
      </c>
      <c r="D570" s="431" t="s">
        <v>1657</v>
      </c>
      <c r="E570" s="68" t="s">
        <v>1505</v>
      </c>
      <c r="F570" s="68" t="s">
        <v>1703</v>
      </c>
      <c r="G570" s="68" t="s">
        <v>1703</v>
      </c>
      <c r="H570" s="396"/>
      <c r="I570" s="396">
        <v>0</v>
      </c>
      <c r="J570" s="68" t="s">
        <v>42</v>
      </c>
      <c r="K570" s="482" t="s">
        <v>42</v>
      </c>
      <c r="L570" s="482" t="s">
        <v>756</v>
      </c>
      <c r="M570" s="68" t="s">
        <v>43</v>
      </c>
      <c r="N570" s="396">
        <v>24.441697000000001</v>
      </c>
      <c r="O570" s="396">
        <v>97.409474000000003</v>
      </c>
      <c r="P570" s="396" t="s">
        <v>769</v>
      </c>
      <c r="Q570" s="68" t="s">
        <v>758</v>
      </c>
      <c r="R570" s="486"/>
      <c r="S570" s="487"/>
      <c r="T570" s="101">
        <v>42983</v>
      </c>
      <c r="U570" s="97" t="s">
        <v>1015</v>
      </c>
      <c r="V570" s="68" t="s">
        <v>1014</v>
      </c>
      <c r="W570" s="391" t="s">
        <v>2149</v>
      </c>
    </row>
    <row r="571" spans="1:23" s="68" customFormat="1" ht="14.25" customHeight="1">
      <c r="A571" s="482" t="s">
        <v>36</v>
      </c>
      <c r="B571" s="482" t="s">
        <v>195</v>
      </c>
      <c r="C571" s="482" t="s">
        <v>200</v>
      </c>
      <c r="D571" s="431" t="s">
        <v>2817</v>
      </c>
      <c r="E571" s="396" t="s">
        <v>1483</v>
      </c>
      <c r="F571" s="396" t="s">
        <v>1782</v>
      </c>
      <c r="G571" s="396" t="s">
        <v>1782</v>
      </c>
      <c r="H571" s="396" t="s">
        <v>40</v>
      </c>
      <c r="I571" s="396" t="s">
        <v>41</v>
      </c>
      <c r="J571" s="396" t="s">
        <v>42</v>
      </c>
      <c r="K571" s="482" t="s">
        <v>42</v>
      </c>
      <c r="L571" s="482" t="s">
        <v>42</v>
      </c>
      <c r="M571" s="396" t="s">
        <v>43</v>
      </c>
      <c r="N571" s="396">
        <v>24.245100000000001</v>
      </c>
      <c r="O571" s="396">
        <v>97.325019999999995</v>
      </c>
      <c r="P571" s="396" t="s">
        <v>757</v>
      </c>
      <c r="Q571" s="396" t="s">
        <v>776</v>
      </c>
      <c r="R571" s="486">
        <v>299</v>
      </c>
      <c r="S571" s="486">
        <v>1373</v>
      </c>
      <c r="T571" s="412"/>
      <c r="U571" s="401"/>
      <c r="V571" s="396" t="s">
        <v>200</v>
      </c>
    </row>
    <row r="572" spans="1:23" s="68" customFormat="1" ht="14.25" customHeight="1">
      <c r="A572" s="482" t="s">
        <v>36</v>
      </c>
      <c r="B572" s="482" t="s">
        <v>195</v>
      </c>
      <c r="C572" s="482" t="s">
        <v>277</v>
      </c>
      <c r="D572" s="431" t="s">
        <v>1656</v>
      </c>
      <c r="E572" s="482"/>
      <c r="F572" s="482"/>
      <c r="G572" s="482"/>
      <c r="H572" s="482"/>
      <c r="I572" s="482"/>
      <c r="J572" s="482" t="s">
        <v>1460</v>
      </c>
      <c r="K572" s="482" t="s">
        <v>42</v>
      </c>
      <c r="L572" s="482" t="s">
        <v>42</v>
      </c>
      <c r="M572" s="482" t="s">
        <v>43</v>
      </c>
      <c r="N572" s="482"/>
      <c r="O572" s="482"/>
      <c r="P572" s="482" t="s">
        <v>757</v>
      </c>
      <c r="Q572" s="482" t="s">
        <v>776</v>
      </c>
      <c r="R572" s="486"/>
      <c r="S572" s="487"/>
      <c r="T572" s="506"/>
      <c r="U572" s="488" t="s">
        <v>1086</v>
      </c>
      <c r="V572" s="482" t="s">
        <v>277</v>
      </c>
      <c r="W572" s="482"/>
    </row>
    <row r="573" spans="1:23" s="68" customFormat="1" ht="14.25" customHeight="1">
      <c r="A573" s="396" t="s">
        <v>36</v>
      </c>
      <c r="B573" s="396" t="s">
        <v>195</v>
      </c>
      <c r="C573" s="482" t="s">
        <v>1012</v>
      </c>
      <c r="D573" s="431" t="s">
        <v>1657</v>
      </c>
      <c r="E573" s="68" t="s">
        <v>1504</v>
      </c>
      <c r="F573" s="68" t="s">
        <v>1702</v>
      </c>
      <c r="G573" s="68" t="s">
        <v>1702</v>
      </c>
      <c r="H573" s="396"/>
      <c r="I573" s="68">
        <v>0</v>
      </c>
      <c r="J573" s="68" t="s">
        <v>42</v>
      </c>
      <c r="K573" s="68" t="s">
        <v>42</v>
      </c>
      <c r="L573" s="68" t="s">
        <v>756</v>
      </c>
      <c r="M573" s="68" t="s">
        <v>43</v>
      </c>
      <c r="N573" s="396">
        <v>24.410008999999999</v>
      </c>
      <c r="O573" s="396">
        <v>97.321659999999994</v>
      </c>
      <c r="P573" s="68" t="s">
        <v>769</v>
      </c>
      <c r="Q573" s="68" t="s">
        <v>758</v>
      </c>
      <c r="R573" s="399"/>
      <c r="S573" s="487"/>
      <c r="T573" s="101">
        <v>42983</v>
      </c>
      <c r="U573" s="97" t="s">
        <v>1013</v>
      </c>
      <c r="V573" s="68" t="s">
        <v>1012</v>
      </c>
      <c r="W573" s="396" t="s">
        <v>2150</v>
      </c>
    </row>
    <row r="574" spans="1:23" s="68" customFormat="1" ht="14.25" customHeight="1">
      <c r="A574" s="482" t="s">
        <v>36</v>
      </c>
      <c r="B574" s="482" t="s">
        <v>195</v>
      </c>
      <c r="C574" s="482" t="s">
        <v>1024</v>
      </c>
      <c r="D574" s="431" t="s">
        <v>1657</v>
      </c>
      <c r="E574" s="68" t="s">
        <v>1515</v>
      </c>
      <c r="F574" s="68" t="s">
        <v>1710</v>
      </c>
      <c r="G574" s="68" t="s">
        <v>1711</v>
      </c>
      <c r="H574" s="396"/>
      <c r="I574" s="68">
        <v>0</v>
      </c>
      <c r="J574" s="68" t="s">
        <v>42</v>
      </c>
      <c r="K574" s="482" t="s">
        <v>42</v>
      </c>
      <c r="L574" s="482" t="s">
        <v>756</v>
      </c>
      <c r="M574" s="68" t="s">
        <v>43</v>
      </c>
      <c r="N574" s="396">
        <v>24.759551999999999</v>
      </c>
      <c r="O574" s="396">
        <v>97.276591999999994</v>
      </c>
      <c r="P574" s="68" t="s">
        <v>769</v>
      </c>
      <c r="Q574" s="68" t="s">
        <v>758</v>
      </c>
      <c r="R574" s="486"/>
      <c r="S574" s="487"/>
      <c r="T574" s="101">
        <v>42983</v>
      </c>
      <c r="U574" s="97" t="s">
        <v>1025</v>
      </c>
      <c r="V574" s="68" t="s">
        <v>1024</v>
      </c>
      <c r="W574" s="391" t="s">
        <v>2151</v>
      </c>
    </row>
    <row r="575" spans="1:23" s="68" customFormat="1" ht="14.25" customHeight="1">
      <c r="A575" s="396" t="s">
        <v>36</v>
      </c>
      <c r="B575" s="482" t="s">
        <v>195</v>
      </c>
      <c r="C575" s="482" t="s">
        <v>201</v>
      </c>
      <c r="D575" s="431" t="s">
        <v>1657</v>
      </c>
      <c r="E575" s="68" t="s">
        <v>1489</v>
      </c>
      <c r="F575" s="68" t="s">
        <v>1671</v>
      </c>
      <c r="G575" s="68" t="s">
        <v>1672</v>
      </c>
      <c r="H575" s="396"/>
      <c r="I575" s="396">
        <v>0</v>
      </c>
      <c r="J575" s="68" t="s">
        <v>42</v>
      </c>
      <c r="K575" s="68" t="s">
        <v>42</v>
      </c>
      <c r="L575" s="68" t="s">
        <v>756</v>
      </c>
      <c r="M575" s="68" t="s">
        <v>43</v>
      </c>
      <c r="N575" s="396">
        <v>24.251860000000001</v>
      </c>
      <c r="O575" s="396">
        <v>97.346940000000004</v>
      </c>
      <c r="P575" s="68" t="s">
        <v>757</v>
      </c>
      <c r="Q575" s="68" t="s">
        <v>776</v>
      </c>
      <c r="R575" s="399"/>
      <c r="S575" s="487"/>
      <c r="T575" s="101"/>
      <c r="U575" s="97" t="s">
        <v>995</v>
      </c>
      <c r="V575" s="68" t="s">
        <v>201</v>
      </c>
      <c r="W575" s="391" t="s">
        <v>2152</v>
      </c>
    </row>
    <row r="576" spans="1:23" s="68" customFormat="1" ht="14.25" customHeight="1">
      <c r="A576" s="482" t="s">
        <v>36</v>
      </c>
      <c r="B576" s="482" t="s">
        <v>195</v>
      </c>
      <c r="C576" s="482" t="s">
        <v>203</v>
      </c>
      <c r="D576" s="431" t="s">
        <v>2817</v>
      </c>
      <c r="E576" s="396" t="s">
        <v>1486</v>
      </c>
      <c r="F576" s="396" t="s">
        <v>1671</v>
      </c>
      <c r="G576" s="396" t="s">
        <v>1672</v>
      </c>
      <c r="H576" s="396" t="s">
        <v>40</v>
      </c>
      <c r="I576" s="396" t="s">
        <v>131</v>
      </c>
      <c r="J576" s="396" t="s">
        <v>42</v>
      </c>
      <c r="K576" s="396" t="s">
        <v>42</v>
      </c>
      <c r="L576" s="396" t="s">
        <v>42</v>
      </c>
      <c r="M576" s="396" t="s">
        <v>43</v>
      </c>
      <c r="N576" s="396">
        <v>24.250689999999999</v>
      </c>
      <c r="O576" s="396">
        <v>97.344359999999995</v>
      </c>
      <c r="P576" s="482" t="s">
        <v>757</v>
      </c>
      <c r="Q576" s="396" t="s">
        <v>776</v>
      </c>
      <c r="R576" s="399">
        <v>427</v>
      </c>
      <c r="S576" s="486">
        <v>2006</v>
      </c>
      <c r="T576" s="412"/>
      <c r="U576" s="401"/>
      <c r="V576" s="396" t="s">
        <v>203</v>
      </c>
      <c r="W576" s="482"/>
    </row>
    <row r="577" spans="1:23" s="68" customFormat="1" ht="14.25" customHeight="1">
      <c r="A577" s="482" t="s">
        <v>36</v>
      </c>
      <c r="B577" s="482" t="s">
        <v>195</v>
      </c>
      <c r="C577" s="482" t="s">
        <v>1002</v>
      </c>
      <c r="D577" s="431" t="s">
        <v>1657</v>
      </c>
      <c r="E577" s="68" t="s">
        <v>1488</v>
      </c>
      <c r="F577" s="68" t="s">
        <v>1671</v>
      </c>
      <c r="G577" s="68" t="s">
        <v>1701</v>
      </c>
      <c r="H577" s="68" t="s">
        <v>40</v>
      </c>
      <c r="I577" s="68" t="s">
        <v>41</v>
      </c>
      <c r="J577" s="68" t="s">
        <v>42</v>
      </c>
      <c r="K577" s="68" t="s">
        <v>42</v>
      </c>
      <c r="L577" s="68" t="s">
        <v>756</v>
      </c>
      <c r="M577" s="68" t="s">
        <v>43</v>
      </c>
      <c r="N577" s="396">
        <v>24.25177</v>
      </c>
      <c r="O577" s="396">
        <v>97.346950000000007</v>
      </c>
      <c r="P577" s="482" t="s">
        <v>757</v>
      </c>
      <c r="R577" s="399"/>
      <c r="S577" s="487"/>
      <c r="T577" s="101"/>
      <c r="U577" s="97"/>
      <c r="V577" s="68" t="s">
        <v>1002</v>
      </c>
      <c r="W577" s="482" t="s">
        <v>2153</v>
      </c>
    </row>
    <row r="578" spans="1:23" s="68" customFormat="1" ht="14.25" customHeight="1">
      <c r="A578" s="491" t="s">
        <v>36</v>
      </c>
      <c r="B578" s="490" t="s">
        <v>195</v>
      </c>
      <c r="C578" s="484" t="s">
        <v>1934</v>
      </c>
      <c r="D578" s="485"/>
      <c r="E578" s="396"/>
      <c r="F578" s="396"/>
      <c r="G578" s="396"/>
      <c r="H578" s="396"/>
      <c r="I578" s="396"/>
      <c r="J578" s="396" t="s">
        <v>1460</v>
      </c>
      <c r="K578" s="396" t="s">
        <v>42</v>
      </c>
      <c r="L578" s="396" t="s">
        <v>42</v>
      </c>
      <c r="M578" s="396" t="s">
        <v>43</v>
      </c>
      <c r="N578" s="396"/>
      <c r="O578" s="396"/>
      <c r="P578" s="482" t="s">
        <v>757</v>
      </c>
      <c r="Q578" s="396" t="s">
        <v>1930</v>
      </c>
      <c r="R578" s="494"/>
      <c r="S578" s="487"/>
      <c r="T578" s="412">
        <v>43270</v>
      </c>
      <c r="U578" s="401"/>
      <c r="V578" s="396"/>
      <c r="W578" s="482"/>
    </row>
    <row r="579" spans="1:23" s="68" customFormat="1" ht="14.25" customHeight="1">
      <c r="A579" s="482" t="s">
        <v>36</v>
      </c>
      <c r="B579" s="482" t="s">
        <v>195</v>
      </c>
      <c r="C579" s="482" t="s">
        <v>1000</v>
      </c>
      <c r="D579" s="431" t="s">
        <v>2817</v>
      </c>
      <c r="E579" s="68" t="s">
        <v>1487</v>
      </c>
      <c r="H579" s="396"/>
      <c r="I579" s="396" t="s">
        <v>2116</v>
      </c>
      <c r="J579" s="68" t="s">
        <v>42</v>
      </c>
      <c r="K579" s="482" t="s">
        <v>42</v>
      </c>
      <c r="L579" s="482" t="s">
        <v>768</v>
      </c>
      <c r="M579" s="68" t="s">
        <v>43</v>
      </c>
      <c r="N579" s="396">
        <v>24.251232000000002</v>
      </c>
      <c r="O579" s="396">
        <v>97.348405</v>
      </c>
      <c r="P579" s="396" t="s">
        <v>769</v>
      </c>
      <c r="Q579" s="68" t="s">
        <v>758</v>
      </c>
      <c r="R579" s="486">
        <v>223</v>
      </c>
      <c r="S579" s="486">
        <v>1067</v>
      </c>
      <c r="T579" s="101"/>
      <c r="U579" s="97" t="s">
        <v>992</v>
      </c>
      <c r="V579" s="68" t="s">
        <v>1001</v>
      </c>
      <c r="W579" s="482"/>
    </row>
    <row r="580" spans="1:23" s="68" customFormat="1" ht="14.25" customHeight="1">
      <c r="A580" s="396" t="s">
        <v>36</v>
      </c>
      <c r="B580" s="482" t="s">
        <v>195</v>
      </c>
      <c r="C580" s="482" t="s">
        <v>1010</v>
      </c>
      <c r="D580" s="431" t="s">
        <v>2817</v>
      </c>
      <c r="E580" s="396" t="s">
        <v>1503</v>
      </c>
      <c r="F580" s="396" t="s">
        <v>1864</v>
      </c>
      <c r="G580" s="396" t="s">
        <v>1864</v>
      </c>
      <c r="H580" s="396"/>
      <c r="I580" s="396" t="s">
        <v>2116</v>
      </c>
      <c r="J580" s="396" t="s">
        <v>42</v>
      </c>
      <c r="K580" s="396" t="s">
        <v>42</v>
      </c>
      <c r="L580" s="482" t="s">
        <v>768</v>
      </c>
      <c r="M580" s="396" t="s">
        <v>43</v>
      </c>
      <c r="N580" s="396">
        <v>24.404876999999999</v>
      </c>
      <c r="O580" s="396">
        <v>97.407787999999996</v>
      </c>
      <c r="P580" s="396" t="s">
        <v>769</v>
      </c>
      <c r="Q580" s="396" t="s">
        <v>758</v>
      </c>
      <c r="R580" s="399">
        <v>26</v>
      </c>
      <c r="S580" s="399">
        <v>137</v>
      </c>
      <c r="T580" s="412"/>
      <c r="U580" s="401" t="s">
        <v>1011</v>
      </c>
      <c r="V580" s="396" t="s">
        <v>1010</v>
      </c>
      <c r="W580" s="482"/>
    </row>
    <row r="581" spans="1:23" s="68" customFormat="1" ht="14.25" customHeight="1">
      <c r="A581" s="482" t="s">
        <v>36</v>
      </c>
      <c r="B581" s="482" t="s">
        <v>195</v>
      </c>
      <c r="C581" s="482" t="s">
        <v>285</v>
      </c>
      <c r="D581" s="431" t="s">
        <v>2817</v>
      </c>
      <c r="E581" s="482" t="s">
        <v>1502</v>
      </c>
      <c r="F581" s="68" t="s">
        <v>1791</v>
      </c>
      <c r="G581" s="68" t="s">
        <v>1792</v>
      </c>
      <c r="H581" s="396" t="s">
        <v>40</v>
      </c>
      <c r="I581" s="396" t="s">
        <v>41</v>
      </c>
      <c r="J581" s="68" t="s">
        <v>42</v>
      </c>
      <c r="K581" s="68" t="s">
        <v>42</v>
      </c>
      <c r="L581" s="396" t="s">
        <v>42</v>
      </c>
      <c r="M581" s="68" t="s">
        <v>774</v>
      </c>
      <c r="N581" s="396">
        <v>24.378167000000001</v>
      </c>
      <c r="O581" s="396">
        <v>97.669366999999994</v>
      </c>
      <c r="P581" s="482" t="s">
        <v>757</v>
      </c>
      <c r="Q581" s="68" t="s">
        <v>758</v>
      </c>
      <c r="R581" s="399">
        <v>354</v>
      </c>
      <c r="S581" s="486">
        <v>1546</v>
      </c>
      <c r="T581" s="101"/>
      <c r="U581" s="401"/>
      <c r="V581" s="396" t="s">
        <v>285</v>
      </c>
      <c r="W581" s="482"/>
    </row>
    <row r="582" spans="1:23" s="68" customFormat="1" ht="14.25" customHeight="1">
      <c r="A582" s="482" t="s">
        <v>36</v>
      </c>
      <c r="B582" s="482" t="s">
        <v>195</v>
      </c>
      <c r="C582" s="482" t="s">
        <v>1003</v>
      </c>
      <c r="D582" s="431" t="s">
        <v>1657</v>
      </c>
      <c r="E582" s="482" t="s">
        <v>1491</v>
      </c>
      <c r="F582" s="396" t="s">
        <v>1671</v>
      </c>
      <c r="G582" s="396" t="s">
        <v>1672</v>
      </c>
      <c r="H582" s="396" t="s">
        <v>40</v>
      </c>
      <c r="I582" s="396" t="s">
        <v>232</v>
      </c>
      <c r="J582" s="68" t="s">
        <v>42</v>
      </c>
      <c r="K582" s="482" t="s">
        <v>42</v>
      </c>
      <c r="L582" s="482" t="s">
        <v>756</v>
      </c>
      <c r="M582" s="68" t="s">
        <v>43</v>
      </c>
      <c r="N582" s="396">
        <v>24.253769999999999</v>
      </c>
      <c r="O582" s="396">
        <v>97.347740000000002</v>
      </c>
      <c r="P582" s="396" t="s">
        <v>757</v>
      </c>
      <c r="R582" s="486"/>
      <c r="S582" s="487"/>
      <c r="T582" s="101"/>
      <c r="U582" s="401"/>
      <c r="V582" s="396" t="s">
        <v>1003</v>
      </c>
      <c r="W582" s="391" t="s">
        <v>2154</v>
      </c>
    </row>
    <row r="583" spans="1:23" s="68" customFormat="1" ht="14.25" customHeight="1">
      <c r="A583" s="482" t="s">
        <v>36</v>
      </c>
      <c r="B583" s="482" t="s">
        <v>195</v>
      </c>
      <c r="C583" s="482" t="s">
        <v>274</v>
      </c>
      <c r="D583" s="431" t="s">
        <v>2817</v>
      </c>
      <c r="E583" s="68" t="s">
        <v>1478</v>
      </c>
      <c r="F583" s="396" t="s">
        <v>1776</v>
      </c>
      <c r="G583" s="68" t="s">
        <v>1777</v>
      </c>
      <c r="H583" s="396" t="s">
        <v>40</v>
      </c>
      <c r="I583" s="68" t="s">
        <v>131</v>
      </c>
      <c r="J583" s="68" t="s">
        <v>42</v>
      </c>
      <c r="K583" s="482" t="s">
        <v>42</v>
      </c>
      <c r="L583" s="482" t="s">
        <v>42</v>
      </c>
      <c r="M583" s="68" t="s">
        <v>43</v>
      </c>
      <c r="N583" s="396">
        <v>24.205417000000001</v>
      </c>
      <c r="O583" s="396">
        <v>97.724483000000006</v>
      </c>
      <c r="P583" s="396" t="s">
        <v>757</v>
      </c>
      <c r="Q583" s="68" t="s">
        <v>776</v>
      </c>
      <c r="R583" s="486">
        <v>49</v>
      </c>
      <c r="S583" s="486">
        <v>300</v>
      </c>
      <c r="T583" s="101"/>
      <c r="U583" s="97"/>
      <c r="V583" s="68" t="s">
        <v>274</v>
      </c>
      <c r="W583" s="482"/>
    </row>
    <row r="584" spans="1:23" s="68" customFormat="1" ht="14.25" customHeight="1">
      <c r="A584" s="482" t="s">
        <v>36</v>
      </c>
      <c r="B584" s="482" t="s">
        <v>195</v>
      </c>
      <c r="C584" s="482" t="s">
        <v>286</v>
      </c>
      <c r="D584" s="431" t="s">
        <v>2817</v>
      </c>
      <c r="E584" s="482" t="s">
        <v>1498</v>
      </c>
      <c r="F584" s="482" t="s">
        <v>1788</v>
      </c>
      <c r="G584" s="482" t="s">
        <v>1789</v>
      </c>
      <c r="H584" s="482" t="s">
        <v>40</v>
      </c>
      <c r="I584" s="482" t="s">
        <v>41</v>
      </c>
      <c r="J584" s="396" t="s">
        <v>42</v>
      </c>
      <c r="K584" s="396" t="s">
        <v>42</v>
      </c>
      <c r="L584" s="482" t="s">
        <v>42</v>
      </c>
      <c r="M584" s="396" t="s">
        <v>774</v>
      </c>
      <c r="N584" s="396">
        <v>24.2744</v>
      </c>
      <c r="O584" s="396">
        <v>97.752667000000002</v>
      </c>
      <c r="P584" s="482" t="s">
        <v>757</v>
      </c>
      <c r="Q584" s="396" t="s">
        <v>758</v>
      </c>
      <c r="R584" s="399">
        <v>632</v>
      </c>
      <c r="S584" s="399">
        <v>3550</v>
      </c>
      <c r="T584" s="412"/>
      <c r="U584" s="488"/>
      <c r="V584" s="482" t="s">
        <v>286</v>
      </c>
      <c r="W584" s="482"/>
    </row>
    <row r="585" spans="1:23" s="68" customFormat="1" ht="14.25" customHeight="1">
      <c r="A585" s="482" t="s">
        <v>36</v>
      </c>
      <c r="B585" s="482" t="s">
        <v>195</v>
      </c>
      <c r="C585" s="482" t="s">
        <v>1124</v>
      </c>
      <c r="D585" s="431" t="s">
        <v>1656</v>
      </c>
      <c r="E585" s="482"/>
      <c r="F585" s="396"/>
      <c r="G585" s="396"/>
      <c r="H585" s="396"/>
      <c r="I585" s="396"/>
      <c r="J585" s="68" t="s">
        <v>42</v>
      </c>
      <c r="K585" s="68" t="s">
        <v>42</v>
      </c>
      <c r="L585" s="68" t="s">
        <v>1083</v>
      </c>
      <c r="M585" s="68" t="s">
        <v>774</v>
      </c>
      <c r="N585" s="396"/>
      <c r="O585" s="396"/>
      <c r="P585" s="482" t="s">
        <v>757</v>
      </c>
      <c r="R585" s="399"/>
      <c r="S585" s="487"/>
      <c r="T585" s="101"/>
      <c r="U585" s="401"/>
      <c r="V585" s="396" t="s">
        <v>1124</v>
      </c>
      <c r="W585" s="482"/>
    </row>
    <row r="586" spans="1:23" s="68" customFormat="1" ht="14.25" customHeight="1">
      <c r="A586" s="482" t="s">
        <v>36</v>
      </c>
      <c r="B586" s="482" t="s">
        <v>195</v>
      </c>
      <c r="C586" s="482" t="s">
        <v>1125</v>
      </c>
      <c r="D586" s="431" t="s">
        <v>1656</v>
      </c>
      <c r="E586" s="396"/>
      <c r="F586" s="396"/>
      <c r="G586" s="396"/>
      <c r="H586" s="396"/>
      <c r="I586" s="396"/>
      <c r="J586" s="396" t="s">
        <v>42</v>
      </c>
      <c r="K586" s="482" t="s">
        <v>42</v>
      </c>
      <c r="L586" s="482" t="s">
        <v>1083</v>
      </c>
      <c r="M586" s="396" t="s">
        <v>774</v>
      </c>
      <c r="N586" s="396"/>
      <c r="O586" s="396"/>
      <c r="P586" s="482" t="s">
        <v>757</v>
      </c>
      <c r="Q586" s="396"/>
      <c r="R586" s="486"/>
      <c r="S586" s="487"/>
      <c r="T586" s="412"/>
      <c r="U586" s="401"/>
      <c r="V586" s="396" t="s">
        <v>1125</v>
      </c>
      <c r="W586" s="482"/>
    </row>
    <row r="587" spans="1:23" s="68" customFormat="1" ht="14.25" customHeight="1">
      <c r="A587" s="482" t="s">
        <v>36</v>
      </c>
      <c r="B587" s="482" t="s">
        <v>195</v>
      </c>
      <c r="C587" s="482" t="s">
        <v>1126</v>
      </c>
      <c r="D587" s="431" t="s">
        <v>1656</v>
      </c>
      <c r="J587" s="68" t="s">
        <v>1095</v>
      </c>
      <c r="K587" s="68" t="s">
        <v>42</v>
      </c>
      <c r="L587" s="68" t="s">
        <v>756</v>
      </c>
      <c r="M587" s="68" t="s">
        <v>774</v>
      </c>
      <c r="N587" s="396"/>
      <c r="O587" s="396"/>
      <c r="P587" s="68" t="s">
        <v>757</v>
      </c>
      <c r="R587" s="486"/>
      <c r="S587" s="487"/>
      <c r="T587" s="101"/>
      <c r="U587" s="97"/>
      <c r="V587" s="68" t="s">
        <v>1126</v>
      </c>
      <c r="W587" s="482"/>
    </row>
    <row r="588" spans="1:23" s="68" customFormat="1" ht="14.25" customHeight="1">
      <c r="A588" s="484" t="s">
        <v>36</v>
      </c>
      <c r="B588" s="484" t="s">
        <v>195</v>
      </c>
      <c r="C588" s="484" t="s">
        <v>1127</v>
      </c>
      <c r="D588" s="433" t="s">
        <v>1656</v>
      </c>
      <c r="E588" s="484"/>
      <c r="F588" s="484"/>
      <c r="G588" s="484"/>
      <c r="H588" s="484"/>
      <c r="I588" s="484"/>
      <c r="J588" s="484" t="s">
        <v>1095</v>
      </c>
      <c r="K588" s="484" t="s">
        <v>42</v>
      </c>
      <c r="L588" s="484" t="s">
        <v>756</v>
      </c>
      <c r="M588" s="484" t="s">
        <v>774</v>
      </c>
      <c r="N588" s="484"/>
      <c r="O588" s="484"/>
      <c r="P588" s="68" t="s">
        <v>757</v>
      </c>
      <c r="Q588" s="484"/>
      <c r="R588" s="490"/>
      <c r="S588" s="491"/>
      <c r="T588" s="507"/>
      <c r="U588" s="492"/>
      <c r="V588" s="484" t="s">
        <v>1127</v>
      </c>
      <c r="W588" s="482"/>
    </row>
    <row r="589" spans="1:23" s="68" customFormat="1" ht="14.25" customHeight="1">
      <c r="A589" s="396" t="s">
        <v>36</v>
      </c>
      <c r="B589" s="396" t="s">
        <v>195</v>
      </c>
      <c r="C589" s="396" t="s">
        <v>1128</v>
      </c>
      <c r="D589" s="431" t="s">
        <v>1656</v>
      </c>
      <c r="E589" s="396"/>
      <c r="F589" s="396"/>
      <c r="G589" s="396"/>
      <c r="H589" s="396"/>
      <c r="I589" s="482"/>
      <c r="J589" s="68" t="s">
        <v>794</v>
      </c>
      <c r="K589" s="396" t="s">
        <v>794</v>
      </c>
      <c r="L589" s="396" t="s">
        <v>794</v>
      </c>
      <c r="M589" s="68" t="s">
        <v>774</v>
      </c>
      <c r="N589" s="396"/>
      <c r="O589" s="396"/>
      <c r="P589" s="482" t="s">
        <v>795</v>
      </c>
      <c r="R589" s="399"/>
      <c r="S589" s="487"/>
      <c r="T589" s="101"/>
      <c r="U589" s="401"/>
      <c r="V589" s="396" t="s">
        <v>1128</v>
      </c>
      <c r="W589" s="482"/>
    </row>
    <row r="590" spans="1:23" s="68" customFormat="1" ht="14.25" customHeight="1">
      <c r="A590" s="482" t="s">
        <v>36</v>
      </c>
      <c r="B590" s="482" t="s">
        <v>195</v>
      </c>
      <c r="C590" s="482" t="s">
        <v>1129</v>
      </c>
      <c r="D590" s="431" t="s">
        <v>1656</v>
      </c>
      <c r="E590" s="482"/>
      <c r="F590" s="396"/>
      <c r="J590" s="68" t="s">
        <v>1095</v>
      </c>
      <c r="K590" s="396" t="s">
        <v>42</v>
      </c>
      <c r="L590" s="396" t="s">
        <v>756</v>
      </c>
      <c r="M590" s="68" t="s">
        <v>774</v>
      </c>
      <c r="N590" s="396"/>
      <c r="O590" s="396"/>
      <c r="P590" s="68" t="s">
        <v>757</v>
      </c>
      <c r="R590" s="399"/>
      <c r="S590" s="487"/>
      <c r="T590" s="101"/>
      <c r="U590" s="97"/>
      <c r="V590" s="68" t="s">
        <v>1129</v>
      </c>
      <c r="W590" s="482"/>
    </row>
    <row r="591" spans="1:23" s="68" customFormat="1" ht="14.25" customHeight="1">
      <c r="A591" s="482" t="s">
        <v>36</v>
      </c>
      <c r="B591" s="482" t="s">
        <v>195</v>
      </c>
      <c r="C591" s="482" t="s">
        <v>1019</v>
      </c>
      <c r="D591" s="431" t="s">
        <v>1657</v>
      </c>
      <c r="E591" s="68" t="s">
        <v>1509</v>
      </c>
      <c r="F591" s="68" t="s">
        <v>1707</v>
      </c>
      <c r="G591" s="68" t="s">
        <v>1708</v>
      </c>
      <c r="I591" s="68">
        <v>0</v>
      </c>
      <c r="J591" s="68" t="s">
        <v>42</v>
      </c>
      <c r="K591" s="482" t="s">
        <v>42</v>
      </c>
      <c r="L591" s="482" t="s">
        <v>756</v>
      </c>
      <c r="M591" s="68" t="s">
        <v>43</v>
      </c>
      <c r="N591" s="68">
        <v>24.630859999999998</v>
      </c>
      <c r="O591" s="396">
        <v>97.429860000000005</v>
      </c>
      <c r="P591" s="68" t="s">
        <v>769</v>
      </c>
      <c r="Q591" s="68" t="s">
        <v>758</v>
      </c>
      <c r="R591" s="486"/>
      <c r="S591" s="487"/>
      <c r="T591" s="101">
        <v>42983</v>
      </c>
      <c r="U591" s="97" t="s">
        <v>1020</v>
      </c>
      <c r="V591" s="68" t="s">
        <v>1019</v>
      </c>
      <c r="W591" s="391" t="s">
        <v>2155</v>
      </c>
    </row>
    <row r="592" spans="1:23" s="68" customFormat="1" ht="14.25" customHeight="1">
      <c r="A592" s="396" t="s">
        <v>36</v>
      </c>
      <c r="B592" s="484" t="s">
        <v>195</v>
      </c>
      <c r="C592" s="484" t="s">
        <v>276</v>
      </c>
      <c r="D592" s="431" t="s">
        <v>2817</v>
      </c>
      <c r="E592" s="68" t="s">
        <v>1480</v>
      </c>
      <c r="F592" s="68" t="s">
        <v>1776</v>
      </c>
      <c r="G592" s="68" t="s">
        <v>1779</v>
      </c>
      <c r="H592" s="68" t="s">
        <v>40</v>
      </c>
      <c r="I592" s="68" t="s">
        <v>131</v>
      </c>
      <c r="J592" s="68" t="s">
        <v>42</v>
      </c>
      <c r="K592" s="68" t="s">
        <v>42</v>
      </c>
      <c r="L592" s="68" t="s">
        <v>42</v>
      </c>
      <c r="M592" s="68" t="s">
        <v>43</v>
      </c>
      <c r="N592" s="68">
        <v>24.207332999999998</v>
      </c>
      <c r="O592" s="68">
        <v>97.710864000000001</v>
      </c>
      <c r="P592" s="68" t="s">
        <v>757</v>
      </c>
      <c r="Q592" s="68" t="s">
        <v>776</v>
      </c>
      <c r="R592" s="95">
        <v>44</v>
      </c>
      <c r="S592" s="486">
        <v>276</v>
      </c>
      <c r="T592" s="101"/>
      <c r="U592" s="97"/>
      <c r="V592" s="68" t="s">
        <v>276</v>
      </c>
      <c r="W592" s="482"/>
    </row>
    <row r="593" spans="1:23" s="68" customFormat="1" ht="14.25" customHeight="1">
      <c r="A593" s="482" t="s">
        <v>36</v>
      </c>
      <c r="B593" s="484" t="s">
        <v>195</v>
      </c>
      <c r="C593" s="484" t="s">
        <v>1016</v>
      </c>
      <c r="D593" s="431" t="s">
        <v>1657</v>
      </c>
      <c r="E593" s="68" t="s">
        <v>1507</v>
      </c>
      <c r="F593" s="68" t="s">
        <v>1704</v>
      </c>
      <c r="G593" s="68" t="s">
        <v>1704</v>
      </c>
      <c r="I593" s="482">
        <v>0</v>
      </c>
      <c r="J593" s="68" t="s">
        <v>42</v>
      </c>
      <c r="K593" s="482" t="s">
        <v>42</v>
      </c>
      <c r="L593" s="482" t="s">
        <v>756</v>
      </c>
      <c r="M593" s="68" t="s">
        <v>43</v>
      </c>
      <c r="N593" s="68">
        <v>24.492493</v>
      </c>
      <c r="O593" s="68">
        <v>97.416826999999998</v>
      </c>
      <c r="P593" s="482" t="s">
        <v>769</v>
      </c>
      <c r="Q593" s="68" t="s">
        <v>758</v>
      </c>
      <c r="R593" s="399"/>
      <c r="S593" s="487"/>
      <c r="T593" s="101">
        <v>42983</v>
      </c>
      <c r="U593" s="97" t="s">
        <v>1013</v>
      </c>
      <c r="V593" s="68" t="s">
        <v>1016</v>
      </c>
      <c r="W593" s="391" t="s">
        <v>2156</v>
      </c>
    </row>
    <row r="594" spans="1:23" s="68" customFormat="1" ht="14.25" customHeight="1">
      <c r="A594" s="482" t="s">
        <v>36</v>
      </c>
      <c r="B594" s="482" t="s">
        <v>149</v>
      </c>
      <c r="C594" s="482" t="s">
        <v>1084</v>
      </c>
      <c r="D594" s="431" t="s">
        <v>1657</v>
      </c>
      <c r="E594" s="68" t="s">
        <v>1958</v>
      </c>
      <c r="F594" s="68" t="s">
        <v>1717</v>
      </c>
      <c r="G594" s="68" t="s">
        <v>1732</v>
      </c>
      <c r="I594" s="68" t="s">
        <v>2116</v>
      </c>
      <c r="J594" s="68" t="s">
        <v>42</v>
      </c>
      <c r="K594" s="482" t="s">
        <v>42</v>
      </c>
      <c r="L594" s="482" t="s">
        <v>756</v>
      </c>
      <c r="M594" s="68" t="s">
        <v>43</v>
      </c>
      <c r="N594" s="396"/>
      <c r="O594" s="396"/>
      <c r="P594" s="482" t="s">
        <v>757</v>
      </c>
      <c r="Q594" s="68" t="s">
        <v>922</v>
      </c>
      <c r="R594" s="486"/>
      <c r="S594" s="487"/>
      <c r="T594" s="101"/>
      <c r="U594" s="97" t="s">
        <v>1085</v>
      </c>
      <c r="W594" s="482" t="s">
        <v>2157</v>
      </c>
    </row>
    <row r="595" spans="1:23" s="68" customFormat="1" ht="14.25" customHeight="1">
      <c r="A595" s="487" t="s">
        <v>36</v>
      </c>
      <c r="B595" s="490" t="s">
        <v>149</v>
      </c>
      <c r="C595" s="491" t="s">
        <v>2017</v>
      </c>
      <c r="D595" s="485"/>
      <c r="E595" s="396"/>
      <c r="F595" s="396"/>
      <c r="G595" s="396"/>
      <c r="H595" s="396"/>
      <c r="I595" s="396"/>
      <c r="J595" s="396" t="s">
        <v>1460</v>
      </c>
      <c r="K595" s="484" t="s">
        <v>42</v>
      </c>
      <c r="L595" s="484" t="s">
        <v>772</v>
      </c>
      <c r="M595" s="396" t="s">
        <v>774</v>
      </c>
      <c r="N595" s="396"/>
      <c r="O595" s="396"/>
      <c r="P595" s="396" t="s">
        <v>757</v>
      </c>
      <c r="Q595" s="396"/>
      <c r="R595" s="494"/>
      <c r="S595" s="487"/>
      <c r="T595" s="412">
        <v>43298</v>
      </c>
      <c r="U595" s="401"/>
      <c r="V595" s="396"/>
      <c r="W595" s="396"/>
    </row>
    <row r="596" spans="1:23" s="68" customFormat="1" ht="14.25" customHeight="1">
      <c r="A596" s="396" t="s">
        <v>36</v>
      </c>
      <c r="B596" s="482" t="s">
        <v>149</v>
      </c>
      <c r="C596" s="482" t="s">
        <v>150</v>
      </c>
      <c r="D596" s="431" t="s">
        <v>2817</v>
      </c>
      <c r="E596" s="68" t="s">
        <v>1553</v>
      </c>
      <c r="F596" s="68" t="s">
        <v>1717</v>
      </c>
      <c r="G596" s="68" t="s">
        <v>1819</v>
      </c>
      <c r="H596" s="68" t="s">
        <v>40</v>
      </c>
      <c r="I596" s="68" t="s">
        <v>131</v>
      </c>
      <c r="J596" s="68" t="s">
        <v>42</v>
      </c>
      <c r="K596" s="68" t="s">
        <v>42</v>
      </c>
      <c r="L596" s="68" t="s">
        <v>42</v>
      </c>
      <c r="M596" s="68" t="s">
        <v>43</v>
      </c>
      <c r="N596" s="68">
        <v>25.395974089999999</v>
      </c>
      <c r="O596" s="68">
        <v>97.382997579999994</v>
      </c>
      <c r="P596" s="68" t="s">
        <v>757</v>
      </c>
      <c r="Q596" s="68" t="s">
        <v>776</v>
      </c>
      <c r="R596" s="95">
        <v>44</v>
      </c>
      <c r="S596" s="399">
        <v>197</v>
      </c>
      <c r="T596" s="101">
        <v>42983</v>
      </c>
      <c r="U596" s="97" t="s">
        <v>1047</v>
      </c>
      <c r="V596" s="68" t="s">
        <v>1048</v>
      </c>
    </row>
    <row r="597" spans="1:23" s="68" customFormat="1" ht="14.25" customHeight="1">
      <c r="A597" s="482" t="s">
        <v>36</v>
      </c>
      <c r="B597" s="482" t="s">
        <v>149</v>
      </c>
      <c r="C597" s="482" t="s">
        <v>1050</v>
      </c>
      <c r="D597" s="431" t="s">
        <v>1656</v>
      </c>
      <c r="E597" s="396" t="s">
        <v>1555</v>
      </c>
      <c r="F597" s="396"/>
      <c r="G597" s="396"/>
      <c r="H597" s="396"/>
      <c r="I597" s="396"/>
      <c r="J597" s="396" t="s">
        <v>42</v>
      </c>
      <c r="K597" s="482" t="s">
        <v>42</v>
      </c>
      <c r="L597" s="482" t="s">
        <v>756</v>
      </c>
      <c r="M597" s="396" t="s">
        <v>43</v>
      </c>
      <c r="N597" s="396">
        <v>25.400270190000001</v>
      </c>
      <c r="O597" s="396">
        <v>97.384729629999995</v>
      </c>
      <c r="P597" s="482" t="s">
        <v>757</v>
      </c>
      <c r="Q597" s="396" t="s">
        <v>776</v>
      </c>
      <c r="R597" s="399"/>
      <c r="S597" s="487"/>
      <c r="T597" s="412"/>
      <c r="U597" s="401" t="s">
        <v>1047</v>
      </c>
      <c r="V597" s="396" t="s">
        <v>1050</v>
      </c>
      <c r="W597" s="482"/>
    </row>
    <row r="598" spans="1:23" s="68" customFormat="1" ht="14.25" customHeight="1">
      <c r="A598" s="482" t="s">
        <v>36</v>
      </c>
      <c r="B598" s="482" t="s">
        <v>149</v>
      </c>
      <c r="C598" s="482" t="s">
        <v>1048</v>
      </c>
      <c r="D598" s="431" t="s">
        <v>1656</v>
      </c>
      <c r="E598" s="396"/>
      <c r="F598" s="396"/>
      <c r="G598" s="396"/>
      <c r="H598" s="396"/>
      <c r="I598" s="396"/>
      <c r="J598" s="396" t="s">
        <v>42</v>
      </c>
      <c r="K598" s="396" t="s">
        <v>42</v>
      </c>
      <c r="L598" s="396" t="s">
        <v>756</v>
      </c>
      <c r="M598" s="396" t="s">
        <v>43</v>
      </c>
      <c r="N598" s="396">
        <v>25.395974089999999</v>
      </c>
      <c r="O598" s="396">
        <v>97.382997579999994</v>
      </c>
      <c r="P598" s="482" t="s">
        <v>757</v>
      </c>
      <c r="Q598" s="396" t="s">
        <v>776</v>
      </c>
      <c r="R598" s="399"/>
      <c r="S598" s="487"/>
      <c r="T598" s="412"/>
      <c r="U598" s="401"/>
      <c r="V598" s="396" t="s">
        <v>1048</v>
      </c>
      <c r="W598" s="482"/>
    </row>
    <row r="599" spans="1:23" s="68" customFormat="1" ht="14.25" customHeight="1">
      <c r="A599" s="396" t="s">
        <v>36</v>
      </c>
      <c r="B599" s="482" t="s">
        <v>149</v>
      </c>
      <c r="C599" s="482" t="s">
        <v>1049</v>
      </c>
      <c r="D599" s="431" t="s">
        <v>1656</v>
      </c>
      <c r="E599" s="68" t="s">
        <v>1554</v>
      </c>
      <c r="J599" s="68" t="s">
        <v>42</v>
      </c>
      <c r="K599" s="68" t="s">
        <v>42</v>
      </c>
      <c r="L599" s="68" t="s">
        <v>756</v>
      </c>
      <c r="M599" s="68" t="s">
        <v>43</v>
      </c>
      <c r="N599" s="68">
        <v>25.396492500000001</v>
      </c>
      <c r="O599" s="68">
        <v>97.381325000000004</v>
      </c>
      <c r="P599" s="68" t="s">
        <v>757</v>
      </c>
      <c r="Q599" s="68" t="s">
        <v>776</v>
      </c>
      <c r="R599" s="399"/>
      <c r="S599" s="487"/>
      <c r="T599" s="101"/>
      <c r="U599" s="97" t="s">
        <v>1047</v>
      </c>
      <c r="V599" s="68" t="s">
        <v>1049</v>
      </c>
    </row>
    <row r="600" spans="1:23" s="68" customFormat="1" ht="14.25" customHeight="1">
      <c r="A600" s="716" t="s">
        <v>36</v>
      </c>
      <c r="B600" s="720" t="s">
        <v>149</v>
      </c>
      <c r="C600" s="722" t="s">
        <v>3183</v>
      </c>
      <c r="D600" s="485"/>
      <c r="E600" s="717"/>
      <c r="F600" s="717"/>
      <c r="G600" s="717"/>
      <c r="H600" s="717"/>
      <c r="I600" s="717"/>
      <c r="J600" s="659" t="s">
        <v>794</v>
      </c>
      <c r="K600" s="659" t="s">
        <v>794</v>
      </c>
      <c r="L600" s="659" t="s">
        <v>794</v>
      </c>
      <c r="M600" s="717"/>
      <c r="N600" s="717"/>
      <c r="O600" s="717"/>
      <c r="P600" s="717" t="s">
        <v>795</v>
      </c>
      <c r="Q600" s="717" t="s">
        <v>3197</v>
      </c>
      <c r="R600" s="718"/>
      <c r="S600" s="716"/>
      <c r="T600" s="719">
        <v>43936</v>
      </c>
      <c r="U600" s="718"/>
      <c r="V600" s="717"/>
      <c r="W600" s="486"/>
    </row>
    <row r="601" spans="1:23" s="68" customFormat="1" ht="14.25" customHeight="1">
      <c r="A601" s="482" t="s">
        <v>36</v>
      </c>
      <c r="B601" s="482" t="s">
        <v>149</v>
      </c>
      <c r="C601" s="482" t="s">
        <v>151</v>
      </c>
      <c r="D601" s="431" t="s">
        <v>2817</v>
      </c>
      <c r="E601" s="68" t="s">
        <v>1557</v>
      </c>
      <c r="F601" s="68" t="s">
        <v>1717</v>
      </c>
      <c r="G601" s="68" t="s">
        <v>1820</v>
      </c>
      <c r="H601" s="68" t="s">
        <v>40</v>
      </c>
      <c r="I601" s="68" t="s">
        <v>131</v>
      </c>
      <c r="J601" s="68" t="s">
        <v>42</v>
      </c>
      <c r="K601" s="482" t="s">
        <v>42</v>
      </c>
      <c r="L601" s="482" t="s">
        <v>42</v>
      </c>
      <c r="M601" s="68" t="s">
        <v>43</v>
      </c>
      <c r="N601" s="68">
        <v>25.403476999999999</v>
      </c>
      <c r="O601" s="68">
        <v>97.373361000000003</v>
      </c>
      <c r="P601" s="482" t="s">
        <v>757</v>
      </c>
      <c r="Q601" s="68" t="s">
        <v>776</v>
      </c>
      <c r="R601" s="486">
        <v>199</v>
      </c>
      <c r="S601" s="486">
        <v>1131</v>
      </c>
      <c r="T601" s="101"/>
      <c r="U601" s="97"/>
      <c r="V601" s="68" t="s">
        <v>151</v>
      </c>
      <c r="W601" s="482"/>
    </row>
    <row r="602" spans="1:23" s="68" customFormat="1" ht="14.25" customHeight="1">
      <c r="A602" s="482" t="s">
        <v>36</v>
      </c>
      <c r="B602" s="482" t="s">
        <v>149</v>
      </c>
      <c r="C602" s="482" t="s">
        <v>223</v>
      </c>
      <c r="D602" s="431" t="s">
        <v>2817</v>
      </c>
      <c r="E602" s="68" t="s">
        <v>1556</v>
      </c>
      <c r="F602" s="68" t="s">
        <v>1717</v>
      </c>
      <c r="G602" s="68" t="s">
        <v>1820</v>
      </c>
      <c r="H602" s="68" t="s">
        <v>40</v>
      </c>
      <c r="I602" s="482" t="s">
        <v>1325</v>
      </c>
      <c r="J602" s="68" t="s">
        <v>42</v>
      </c>
      <c r="K602" s="482" t="s">
        <v>42</v>
      </c>
      <c r="L602" s="482" t="s">
        <v>42</v>
      </c>
      <c r="M602" s="68" t="s">
        <v>43</v>
      </c>
      <c r="N602" s="396">
        <v>25.401061110000001</v>
      </c>
      <c r="O602" s="396">
        <v>97.379594999999995</v>
      </c>
      <c r="P602" s="482" t="s">
        <v>757</v>
      </c>
      <c r="Q602" s="68" t="s">
        <v>776</v>
      </c>
      <c r="R602" s="399">
        <v>100</v>
      </c>
      <c r="S602" s="486">
        <v>485</v>
      </c>
      <c r="T602" s="101"/>
      <c r="U602" s="97"/>
      <c r="V602" s="68" t="s">
        <v>223</v>
      </c>
      <c r="W602" s="482"/>
    </row>
    <row r="603" spans="1:23" s="68" customFormat="1" ht="14.25" customHeight="1">
      <c r="A603" s="491" t="s">
        <v>36</v>
      </c>
      <c r="B603" s="490" t="s">
        <v>149</v>
      </c>
      <c r="C603" s="484" t="s">
        <v>2101</v>
      </c>
      <c r="D603" s="431" t="s">
        <v>2817</v>
      </c>
      <c r="E603" s="68" t="s">
        <v>1955</v>
      </c>
      <c r="I603" s="68" t="s">
        <v>131</v>
      </c>
      <c r="J603" s="68" t="s">
        <v>42</v>
      </c>
      <c r="K603" s="68" t="s">
        <v>42</v>
      </c>
      <c r="L603" s="68" t="s">
        <v>42</v>
      </c>
      <c r="M603" s="68" t="s">
        <v>43</v>
      </c>
      <c r="P603" s="484" t="s">
        <v>757</v>
      </c>
      <c r="Q603" s="68" t="s">
        <v>1930</v>
      </c>
      <c r="R603" s="486">
        <v>140</v>
      </c>
      <c r="S603" s="486">
        <v>620</v>
      </c>
      <c r="T603" s="101">
        <v>43276</v>
      </c>
      <c r="U603" s="97" t="s">
        <v>1979</v>
      </c>
      <c r="W603" s="391" t="s">
        <v>2255</v>
      </c>
    </row>
    <row r="604" spans="1:23" s="68" customFormat="1" ht="14.25" customHeight="1">
      <c r="A604" s="491" t="s">
        <v>36</v>
      </c>
      <c r="B604" s="490" t="s">
        <v>149</v>
      </c>
      <c r="C604" s="484" t="s">
        <v>1937</v>
      </c>
      <c r="D604" s="485"/>
      <c r="E604" s="396"/>
      <c r="F604" s="396"/>
      <c r="G604" s="396"/>
      <c r="H604" s="396"/>
      <c r="I604" s="396"/>
      <c r="J604" s="396" t="s">
        <v>1460</v>
      </c>
      <c r="K604" s="396" t="s">
        <v>42</v>
      </c>
      <c r="L604" s="482" t="s">
        <v>42</v>
      </c>
      <c r="M604" s="396" t="s">
        <v>43</v>
      </c>
      <c r="N604" s="396"/>
      <c r="O604" s="396"/>
      <c r="P604" s="68" t="s">
        <v>757</v>
      </c>
      <c r="Q604" s="396" t="s">
        <v>1930</v>
      </c>
      <c r="R604" s="494"/>
      <c r="S604" s="487"/>
      <c r="T604" s="412">
        <v>43270</v>
      </c>
      <c r="U604" s="401"/>
      <c r="V604" s="396"/>
      <c r="W604" s="482"/>
    </row>
    <row r="605" spans="1:23" s="68" customFormat="1" ht="14.25" customHeight="1">
      <c r="A605" s="482" t="s">
        <v>36</v>
      </c>
      <c r="B605" s="482" t="s">
        <v>149</v>
      </c>
      <c r="C605" s="482" t="s">
        <v>1098</v>
      </c>
      <c r="D605" s="431" t="s">
        <v>2817</v>
      </c>
      <c r="E605" s="482" t="s">
        <v>1943</v>
      </c>
      <c r="F605" s="482" t="s">
        <v>1717</v>
      </c>
      <c r="G605" s="482" t="s">
        <v>1873</v>
      </c>
      <c r="H605" s="482"/>
      <c r="I605" s="482" t="s">
        <v>1325</v>
      </c>
      <c r="J605" s="68" t="s">
        <v>42</v>
      </c>
      <c r="K605" s="68" t="s">
        <v>42</v>
      </c>
      <c r="L605" s="484" t="s">
        <v>42</v>
      </c>
      <c r="M605" s="68" t="s">
        <v>43</v>
      </c>
      <c r="P605" s="482" t="s">
        <v>757</v>
      </c>
      <c r="Q605" s="68" t="s">
        <v>922</v>
      </c>
      <c r="R605" s="486">
        <v>14</v>
      </c>
      <c r="S605" s="486">
        <v>40</v>
      </c>
      <c r="T605" s="101">
        <v>42983</v>
      </c>
      <c r="U605" s="488" t="s">
        <v>1099</v>
      </c>
      <c r="V605" s="482"/>
      <c r="W605" s="391" t="s">
        <v>2256</v>
      </c>
    </row>
    <row r="606" spans="1:23" s="68" customFormat="1" ht="14.25" customHeight="1">
      <c r="A606" s="482" t="s">
        <v>36</v>
      </c>
      <c r="B606" s="482" t="s">
        <v>149</v>
      </c>
      <c r="C606" s="482" t="s">
        <v>152</v>
      </c>
      <c r="D606" s="431" t="s">
        <v>2657</v>
      </c>
      <c r="E606" s="482" t="s">
        <v>1548</v>
      </c>
      <c r="F606" s="482" t="s">
        <v>1717</v>
      </c>
      <c r="G606" s="482" t="s">
        <v>1817</v>
      </c>
      <c r="H606" s="482" t="s">
        <v>40</v>
      </c>
      <c r="I606" s="482" t="s">
        <v>131</v>
      </c>
      <c r="J606" s="68" t="s">
        <v>42</v>
      </c>
      <c r="K606" s="68" t="s">
        <v>42</v>
      </c>
      <c r="L606" s="482" t="s">
        <v>756</v>
      </c>
      <c r="M606" s="68" t="s">
        <v>43</v>
      </c>
      <c r="N606" s="68">
        <v>25.36600361</v>
      </c>
      <c r="O606" s="68">
        <v>97.405202779999996</v>
      </c>
      <c r="P606" s="482" t="s">
        <v>757</v>
      </c>
      <c r="Q606" s="68" t="s">
        <v>776</v>
      </c>
      <c r="R606" s="399"/>
      <c r="S606" s="399"/>
      <c r="T606" s="101"/>
      <c r="U606" s="488"/>
      <c r="V606" s="482" t="s">
        <v>152</v>
      </c>
      <c r="W606" s="482"/>
    </row>
    <row r="607" spans="1:23" s="68" customFormat="1" ht="14.25" customHeight="1">
      <c r="A607" s="491" t="s">
        <v>36</v>
      </c>
      <c r="B607" s="490" t="s">
        <v>149</v>
      </c>
      <c r="C607" s="491" t="s">
        <v>767</v>
      </c>
      <c r="D607" s="431" t="s">
        <v>2817</v>
      </c>
      <c r="E607" s="516" t="s">
        <v>1328</v>
      </c>
      <c r="H607" s="482"/>
      <c r="I607" s="482" t="s">
        <v>2116</v>
      </c>
      <c r="J607" s="482" t="s">
        <v>42</v>
      </c>
      <c r="K607" s="482" t="s">
        <v>42</v>
      </c>
      <c r="L607" s="482" t="s">
        <v>756</v>
      </c>
      <c r="M607" s="482" t="s">
        <v>43</v>
      </c>
      <c r="N607" s="482">
        <v>0</v>
      </c>
      <c r="O607" s="482">
        <v>0</v>
      </c>
      <c r="P607" s="482" t="s">
        <v>757</v>
      </c>
      <c r="Q607" s="482" t="s">
        <v>2104</v>
      </c>
      <c r="R607" s="486"/>
      <c r="S607" s="486"/>
      <c r="T607" s="506">
        <v>43360</v>
      </c>
      <c r="U607" s="488" t="s">
        <v>2106</v>
      </c>
      <c r="W607" s="482"/>
    </row>
    <row r="608" spans="1:23" s="68" customFormat="1" ht="14.25" customHeight="1">
      <c r="A608" s="487" t="s">
        <v>36</v>
      </c>
      <c r="B608" s="490" t="s">
        <v>149</v>
      </c>
      <c r="C608" s="491" t="s">
        <v>2021</v>
      </c>
      <c r="D608" s="485"/>
      <c r="E608" s="482"/>
      <c r="F608" s="482"/>
      <c r="G608" s="482"/>
      <c r="H608" s="482"/>
      <c r="I608" s="482"/>
      <c r="J608" s="482" t="s">
        <v>1460</v>
      </c>
      <c r="K608" s="484" t="s">
        <v>42</v>
      </c>
      <c r="L608" s="484" t="s">
        <v>772</v>
      </c>
      <c r="M608" s="482" t="s">
        <v>774</v>
      </c>
      <c r="N608" s="482"/>
      <c r="O608" s="482"/>
      <c r="P608" s="482" t="s">
        <v>757</v>
      </c>
      <c r="Q608" s="482"/>
      <c r="R608" s="494"/>
      <c r="S608" s="487"/>
      <c r="T608" s="506">
        <v>43298</v>
      </c>
      <c r="U608" s="488"/>
      <c r="V608" s="482"/>
      <c r="W608" s="482"/>
    </row>
    <row r="609" spans="1:23" s="68" customFormat="1" ht="14.25" customHeight="1">
      <c r="A609" s="482" t="s">
        <v>36</v>
      </c>
      <c r="B609" s="482" t="s">
        <v>149</v>
      </c>
      <c r="C609" s="482" t="s">
        <v>153</v>
      </c>
      <c r="D609" s="431" t="s">
        <v>2817</v>
      </c>
      <c r="E609" s="482" t="s">
        <v>1547</v>
      </c>
      <c r="F609" s="482" t="s">
        <v>1717</v>
      </c>
      <c r="G609" s="482" t="s">
        <v>1811</v>
      </c>
      <c r="H609" s="482" t="s">
        <v>40</v>
      </c>
      <c r="I609" s="482" t="s">
        <v>2661</v>
      </c>
      <c r="J609" s="68" t="s">
        <v>42</v>
      </c>
      <c r="K609" s="482" t="s">
        <v>42</v>
      </c>
      <c r="L609" s="482" t="s">
        <v>42</v>
      </c>
      <c r="M609" s="68" t="s">
        <v>43</v>
      </c>
      <c r="N609" s="68">
        <v>25.362420757575801</v>
      </c>
      <c r="O609" s="68">
        <v>97.409035000000003</v>
      </c>
      <c r="P609" s="482" t="s">
        <v>757</v>
      </c>
      <c r="Q609" s="68" t="s">
        <v>776</v>
      </c>
      <c r="R609" s="486">
        <v>152</v>
      </c>
      <c r="S609" s="486">
        <v>770</v>
      </c>
      <c r="T609" s="101"/>
      <c r="U609" s="488"/>
      <c r="V609" s="482" t="s">
        <v>153</v>
      </c>
      <c r="W609" s="391" t="s">
        <v>2257</v>
      </c>
    </row>
    <row r="610" spans="1:23" s="68" customFormat="1" ht="14.25" customHeight="1">
      <c r="A610" s="482" t="s">
        <v>36</v>
      </c>
      <c r="B610" s="482" t="s">
        <v>149</v>
      </c>
      <c r="C610" s="482" t="s">
        <v>154</v>
      </c>
      <c r="D610" s="431" t="s">
        <v>2817</v>
      </c>
      <c r="E610" s="68" t="s">
        <v>1539</v>
      </c>
      <c r="F610" s="68" t="s">
        <v>1717</v>
      </c>
      <c r="G610" s="68" t="s">
        <v>1811</v>
      </c>
      <c r="H610" s="68" t="s">
        <v>40</v>
      </c>
      <c r="I610" s="482" t="s">
        <v>2661</v>
      </c>
      <c r="J610" s="68" t="s">
        <v>42</v>
      </c>
      <c r="K610" s="68" t="s">
        <v>42</v>
      </c>
      <c r="L610" s="482" t="s">
        <v>42</v>
      </c>
      <c r="M610" s="68" t="s">
        <v>43</v>
      </c>
      <c r="N610" s="396">
        <v>25.3510167948718</v>
      </c>
      <c r="O610" s="396">
        <v>97.403402307692303</v>
      </c>
      <c r="P610" s="482" t="s">
        <v>757</v>
      </c>
      <c r="Q610" s="68" t="s">
        <v>776</v>
      </c>
      <c r="R610" s="399">
        <v>138</v>
      </c>
      <c r="S610" s="486">
        <v>709</v>
      </c>
      <c r="T610" s="101"/>
      <c r="U610" s="488"/>
      <c r="V610" s="68" t="s">
        <v>154</v>
      </c>
      <c r="W610" s="482"/>
    </row>
    <row r="611" spans="1:23" s="68" customFormat="1" ht="14.25" customHeight="1">
      <c r="A611" s="482" t="s">
        <v>36</v>
      </c>
      <c r="B611" s="482" t="s">
        <v>149</v>
      </c>
      <c r="C611" s="482" t="s">
        <v>155</v>
      </c>
      <c r="D611" s="431" t="s">
        <v>2817</v>
      </c>
      <c r="E611" s="68" t="s">
        <v>1546</v>
      </c>
      <c r="F611" s="68" t="s">
        <v>1717</v>
      </c>
      <c r="G611" s="68" t="s">
        <v>1816</v>
      </c>
      <c r="H611" s="68" t="s">
        <v>40</v>
      </c>
      <c r="I611" s="482" t="s">
        <v>2661</v>
      </c>
      <c r="J611" s="68" t="s">
        <v>42</v>
      </c>
      <c r="K611" s="68" t="s">
        <v>42</v>
      </c>
      <c r="L611" s="68" t="s">
        <v>42</v>
      </c>
      <c r="M611" s="68" t="s">
        <v>43</v>
      </c>
      <c r="N611" s="68">
        <v>25.360463124999999</v>
      </c>
      <c r="O611" s="68">
        <v>97.4113064583333</v>
      </c>
      <c r="P611" s="17" t="s">
        <v>757</v>
      </c>
      <c r="Q611" s="68" t="s">
        <v>776</v>
      </c>
      <c r="R611" s="486">
        <v>61</v>
      </c>
      <c r="S611" s="486">
        <v>312</v>
      </c>
      <c r="T611" s="101"/>
      <c r="U611" s="97"/>
      <c r="V611" s="68" t="s">
        <v>155</v>
      </c>
      <c r="W611" s="396"/>
    </row>
    <row r="612" spans="1:23" s="68" customFormat="1" ht="14.25" customHeight="1">
      <c r="A612" s="396" t="s">
        <v>36</v>
      </c>
      <c r="B612" s="482" t="s">
        <v>149</v>
      </c>
      <c r="C612" s="482" t="s">
        <v>156</v>
      </c>
      <c r="D612" s="431" t="s">
        <v>2817</v>
      </c>
      <c r="E612" s="68" t="s">
        <v>1572</v>
      </c>
      <c r="F612" s="68" t="s">
        <v>1717</v>
      </c>
      <c r="G612" s="68" t="s">
        <v>1828</v>
      </c>
      <c r="H612" s="68" t="s">
        <v>40</v>
      </c>
      <c r="I612" s="68" t="s">
        <v>2661</v>
      </c>
      <c r="J612" s="68" t="s">
        <v>42</v>
      </c>
      <c r="K612" s="396" t="s">
        <v>42</v>
      </c>
      <c r="L612" s="482" t="s">
        <v>42</v>
      </c>
      <c r="M612" s="68" t="s">
        <v>43</v>
      </c>
      <c r="N612" s="68">
        <v>25.428910999999999</v>
      </c>
      <c r="O612" s="68">
        <v>97.418694000000002</v>
      </c>
      <c r="P612" s="68" t="s">
        <v>757</v>
      </c>
      <c r="Q612" s="68" t="s">
        <v>776</v>
      </c>
      <c r="R612" s="399">
        <v>103</v>
      </c>
      <c r="S612" s="486">
        <v>586</v>
      </c>
      <c r="T612" s="101"/>
      <c r="U612" s="97"/>
      <c r="V612" s="68" t="s">
        <v>156</v>
      </c>
      <c r="W612" s="482"/>
    </row>
    <row r="613" spans="1:23" s="68" customFormat="1" ht="14.25" customHeight="1">
      <c r="A613" s="482" t="s">
        <v>36</v>
      </c>
      <c r="B613" s="482" t="s">
        <v>149</v>
      </c>
      <c r="C613" s="482" t="s">
        <v>253</v>
      </c>
      <c r="D613" s="431" t="s">
        <v>2817</v>
      </c>
      <c r="E613" s="68" t="s">
        <v>1550</v>
      </c>
      <c r="F613" s="68" t="s">
        <v>1818</v>
      </c>
      <c r="G613" s="68" t="s">
        <v>1818</v>
      </c>
      <c r="H613" s="68" t="s">
        <v>40</v>
      </c>
      <c r="I613" s="68" t="s">
        <v>232</v>
      </c>
      <c r="J613" s="68" t="s">
        <v>42</v>
      </c>
      <c r="K613" s="68" t="s">
        <v>42</v>
      </c>
      <c r="L613" s="68" t="s">
        <v>42</v>
      </c>
      <c r="M613" s="68" t="s">
        <v>43</v>
      </c>
      <c r="N613" s="68">
        <v>25.374343974359</v>
      </c>
      <c r="O613" s="68">
        <v>97.2843958974359</v>
      </c>
      <c r="P613" s="68" t="s">
        <v>757</v>
      </c>
      <c r="Q613" s="68" t="s">
        <v>776</v>
      </c>
      <c r="R613" s="486">
        <v>22</v>
      </c>
      <c r="S613" s="486">
        <v>92</v>
      </c>
      <c r="T613" s="101"/>
      <c r="U613" s="97"/>
      <c r="V613" s="68" t="s">
        <v>253</v>
      </c>
      <c r="W613" s="482"/>
    </row>
    <row r="614" spans="1:23" s="68" customFormat="1" ht="14.25" customHeight="1">
      <c r="A614" s="482" t="s">
        <v>36</v>
      </c>
      <c r="B614" s="482" t="s">
        <v>149</v>
      </c>
      <c r="C614" s="482" t="s">
        <v>254</v>
      </c>
      <c r="D614" s="431" t="s">
        <v>2817</v>
      </c>
      <c r="E614" s="482" t="s">
        <v>1549</v>
      </c>
      <c r="F614" s="482" t="s">
        <v>1818</v>
      </c>
      <c r="G614" s="482" t="s">
        <v>1818</v>
      </c>
      <c r="H614" s="482" t="s">
        <v>40</v>
      </c>
      <c r="I614" s="482" t="s">
        <v>232</v>
      </c>
      <c r="J614" s="68" t="s">
        <v>42</v>
      </c>
      <c r="K614" s="68" t="s">
        <v>42</v>
      </c>
      <c r="L614" s="482" t="s">
        <v>42</v>
      </c>
      <c r="M614" s="68" t="s">
        <v>43</v>
      </c>
      <c r="N614" s="68">
        <v>25.371049444444399</v>
      </c>
      <c r="O614" s="68">
        <v>97.290952037037002</v>
      </c>
      <c r="P614" s="482" t="s">
        <v>757</v>
      </c>
      <c r="Q614" s="68" t="s">
        <v>776</v>
      </c>
      <c r="R614" s="486">
        <v>21</v>
      </c>
      <c r="S614" s="486">
        <v>123</v>
      </c>
      <c r="T614" s="101"/>
      <c r="U614" s="488"/>
      <c r="V614" s="482" t="s">
        <v>254</v>
      </c>
      <c r="W614" s="482"/>
    </row>
    <row r="615" spans="1:23" s="68" customFormat="1" ht="14.25" customHeight="1">
      <c r="A615" s="482" t="s">
        <v>36</v>
      </c>
      <c r="B615" s="482" t="s">
        <v>149</v>
      </c>
      <c r="C615" s="482" t="s">
        <v>1045</v>
      </c>
      <c r="D615" s="431" t="s">
        <v>1657</v>
      </c>
      <c r="E615" s="396" t="s">
        <v>1552</v>
      </c>
      <c r="F615" s="396" t="s">
        <v>1717</v>
      </c>
      <c r="G615" s="396" t="s">
        <v>1719</v>
      </c>
      <c r="H615" s="396" t="s">
        <v>40</v>
      </c>
      <c r="I615" s="482" t="s">
        <v>232</v>
      </c>
      <c r="J615" s="396" t="s">
        <v>42</v>
      </c>
      <c r="K615" s="482" t="s">
        <v>42</v>
      </c>
      <c r="L615" s="482" t="s">
        <v>756</v>
      </c>
      <c r="M615" s="396" t="s">
        <v>43</v>
      </c>
      <c r="N615" s="396">
        <v>25.387862999999999</v>
      </c>
      <c r="O615" s="396">
        <v>97.376671999999999</v>
      </c>
      <c r="P615" s="482" t="s">
        <v>757</v>
      </c>
      <c r="Q615" s="396"/>
      <c r="R615" s="486"/>
      <c r="S615" s="487"/>
      <c r="T615" s="412"/>
      <c r="U615" s="401"/>
      <c r="V615" s="396" t="s">
        <v>1045</v>
      </c>
      <c r="W615" s="391" t="s">
        <v>2158</v>
      </c>
    </row>
    <row r="616" spans="1:23" s="68" customFormat="1" ht="14.25" customHeight="1">
      <c r="A616" s="482" t="s">
        <v>36</v>
      </c>
      <c r="B616" s="482" t="s">
        <v>149</v>
      </c>
      <c r="C616" s="482" t="s">
        <v>224</v>
      </c>
      <c r="D616" s="431" t="s">
        <v>2817</v>
      </c>
      <c r="E616" s="68" t="s">
        <v>1561</v>
      </c>
      <c r="F616" s="68" t="s">
        <v>1823</v>
      </c>
      <c r="G616" s="68" t="s">
        <v>1823</v>
      </c>
      <c r="H616" s="68" t="s">
        <v>40</v>
      </c>
      <c r="I616" s="68" t="s">
        <v>1325</v>
      </c>
      <c r="J616" s="68" t="s">
        <v>42</v>
      </c>
      <c r="K616" s="482" t="s">
        <v>42</v>
      </c>
      <c r="L616" s="482" t="s">
        <v>42</v>
      </c>
      <c r="M616" s="68" t="s">
        <v>43</v>
      </c>
      <c r="N616" s="396">
        <v>25.410569299999999</v>
      </c>
      <c r="O616" s="396">
        <v>97.359320179999997</v>
      </c>
      <c r="P616" s="68" t="s">
        <v>757</v>
      </c>
      <c r="Q616" s="68" t="s">
        <v>776</v>
      </c>
      <c r="R616" s="486">
        <v>60</v>
      </c>
      <c r="S616" s="486">
        <v>316</v>
      </c>
      <c r="T616" s="101"/>
      <c r="U616" s="97"/>
      <c r="V616" s="68" t="s">
        <v>224</v>
      </c>
      <c r="W616" s="482"/>
    </row>
    <row r="617" spans="1:23" s="68" customFormat="1" ht="14.25" customHeight="1">
      <c r="A617" s="482" t="s">
        <v>36</v>
      </c>
      <c r="B617" s="482" t="s">
        <v>149</v>
      </c>
      <c r="C617" s="482" t="s">
        <v>157</v>
      </c>
      <c r="D617" s="431" t="s">
        <v>2817</v>
      </c>
      <c r="E617" s="68" t="s">
        <v>1568</v>
      </c>
      <c r="F617" s="396" t="s">
        <v>1717</v>
      </c>
      <c r="G617" s="68" t="s">
        <v>1827</v>
      </c>
      <c r="H617" s="68" t="s">
        <v>40</v>
      </c>
      <c r="I617" s="68" t="s">
        <v>2661</v>
      </c>
      <c r="J617" s="68" t="s">
        <v>42</v>
      </c>
      <c r="K617" s="482" t="s">
        <v>42</v>
      </c>
      <c r="L617" s="482" t="s">
        <v>42</v>
      </c>
      <c r="M617" s="68" t="s">
        <v>43</v>
      </c>
      <c r="N617" s="68">
        <v>25.422194000000001</v>
      </c>
      <c r="O617" s="68">
        <v>97.394547000000003</v>
      </c>
      <c r="P617" s="68" t="s">
        <v>757</v>
      </c>
      <c r="Q617" s="68" t="s">
        <v>776</v>
      </c>
      <c r="R617" s="486">
        <v>67</v>
      </c>
      <c r="S617" s="486">
        <v>291</v>
      </c>
      <c r="T617" s="101"/>
      <c r="U617" s="97"/>
      <c r="V617" s="68" t="s">
        <v>157</v>
      </c>
      <c r="W617" s="396"/>
    </row>
    <row r="618" spans="1:23" s="68" customFormat="1" ht="14.25" customHeight="1">
      <c r="A618" s="482" t="s">
        <v>36</v>
      </c>
      <c r="B618" s="482" t="s">
        <v>149</v>
      </c>
      <c r="C618" s="482" t="s">
        <v>225</v>
      </c>
      <c r="D618" s="431" t="s">
        <v>2817</v>
      </c>
      <c r="E618" s="68" t="s">
        <v>1574</v>
      </c>
      <c r="F618" s="68" t="s">
        <v>1830</v>
      </c>
      <c r="G618" s="68" t="s">
        <v>1831</v>
      </c>
      <c r="H618" s="68" t="s">
        <v>40</v>
      </c>
      <c r="I618" s="482" t="s">
        <v>1325</v>
      </c>
      <c r="J618" s="68" t="s">
        <v>42</v>
      </c>
      <c r="K618" s="482" t="s">
        <v>42</v>
      </c>
      <c r="L618" s="482" t="s">
        <v>42</v>
      </c>
      <c r="M618" s="68" t="s">
        <v>43</v>
      </c>
      <c r="N618" s="68">
        <v>25.493819999999999</v>
      </c>
      <c r="O618" s="68">
        <v>97.4345</v>
      </c>
      <c r="P618" s="482" t="s">
        <v>757</v>
      </c>
      <c r="Q618" s="68" t="s">
        <v>776</v>
      </c>
      <c r="R618" s="399">
        <v>149</v>
      </c>
      <c r="S618" s="486">
        <v>885</v>
      </c>
      <c r="T618" s="101"/>
      <c r="U618" s="97"/>
      <c r="V618" s="68" t="s">
        <v>225</v>
      </c>
      <c r="W618" s="482"/>
    </row>
    <row r="619" spans="1:23" s="68" customFormat="1" ht="14.25" customHeight="1">
      <c r="A619" s="491" t="s">
        <v>36</v>
      </c>
      <c r="B619" s="490" t="s">
        <v>149</v>
      </c>
      <c r="C619" s="491" t="s">
        <v>2102</v>
      </c>
      <c r="D619" s="431" t="s">
        <v>2817</v>
      </c>
      <c r="E619" s="68" t="s">
        <v>2103</v>
      </c>
      <c r="H619" s="68" t="s">
        <v>40</v>
      </c>
      <c r="I619" s="482" t="s">
        <v>1325</v>
      </c>
      <c r="J619" s="68" t="s">
        <v>42</v>
      </c>
      <c r="K619" s="484" t="s">
        <v>42</v>
      </c>
      <c r="L619" s="484" t="s">
        <v>42</v>
      </c>
      <c r="M619" s="68" t="s">
        <v>43</v>
      </c>
      <c r="N619" s="68">
        <v>25.493819999999999</v>
      </c>
      <c r="O619" s="68">
        <v>97.4345</v>
      </c>
      <c r="P619" s="484" t="s">
        <v>757</v>
      </c>
      <c r="Q619" s="68" t="s">
        <v>2104</v>
      </c>
      <c r="R619" s="486">
        <v>255</v>
      </c>
      <c r="S619" s="486">
        <v>1373</v>
      </c>
      <c r="T619" s="101">
        <v>43360</v>
      </c>
      <c r="U619" s="97" t="s">
        <v>2105</v>
      </c>
      <c r="W619" s="391" t="s">
        <v>2258</v>
      </c>
    </row>
    <row r="620" spans="1:23" s="68" customFormat="1" ht="14.25" customHeight="1">
      <c r="A620" s="482" t="s">
        <v>36</v>
      </c>
      <c r="B620" s="482" t="s">
        <v>149</v>
      </c>
      <c r="C620" s="484" t="s">
        <v>158</v>
      </c>
      <c r="D620" s="431" t="s">
        <v>2817</v>
      </c>
      <c r="E620" s="68" t="s">
        <v>1563</v>
      </c>
      <c r="F620" s="68" t="s">
        <v>1717</v>
      </c>
      <c r="G620" s="68" t="s">
        <v>1824</v>
      </c>
      <c r="H620" s="68" t="s">
        <v>40</v>
      </c>
      <c r="I620" s="68" t="s">
        <v>2661</v>
      </c>
      <c r="J620" s="68" t="s">
        <v>42</v>
      </c>
      <c r="K620" s="482" t="s">
        <v>42</v>
      </c>
      <c r="L620" s="482" t="s">
        <v>42</v>
      </c>
      <c r="M620" s="68" t="s">
        <v>43</v>
      </c>
      <c r="N620" s="396">
        <v>25.412313000000001</v>
      </c>
      <c r="O620" s="396">
        <v>97.399628000000007</v>
      </c>
      <c r="P620" s="68" t="s">
        <v>757</v>
      </c>
      <c r="Q620" s="68" t="s">
        <v>776</v>
      </c>
      <c r="R620" s="486">
        <v>124</v>
      </c>
      <c r="S620" s="486">
        <v>609</v>
      </c>
      <c r="T620" s="101"/>
      <c r="U620" s="97"/>
      <c r="V620" s="68" t="s">
        <v>158</v>
      </c>
      <c r="W620" s="396"/>
    </row>
    <row r="621" spans="1:23" s="68" customFormat="1" ht="14.25" customHeight="1">
      <c r="A621" s="482" t="s">
        <v>36</v>
      </c>
      <c r="B621" s="482" t="s">
        <v>149</v>
      </c>
      <c r="C621" s="484" t="s">
        <v>255</v>
      </c>
      <c r="D621" s="431" t="s">
        <v>2817</v>
      </c>
      <c r="E621" s="68" t="s">
        <v>1570</v>
      </c>
      <c r="F621" s="396" t="s">
        <v>1717</v>
      </c>
      <c r="G621" s="68" t="s">
        <v>1824</v>
      </c>
      <c r="H621" s="68" t="s">
        <v>40</v>
      </c>
      <c r="I621" s="482" t="s">
        <v>232</v>
      </c>
      <c r="J621" s="68" t="s">
        <v>42</v>
      </c>
      <c r="K621" s="482" t="s">
        <v>42</v>
      </c>
      <c r="L621" s="482" t="s">
        <v>42</v>
      </c>
      <c r="M621" s="68" t="s">
        <v>43</v>
      </c>
      <c r="N621" s="396">
        <v>25.423817</v>
      </c>
      <c r="O621" s="396">
        <v>97.418004999999994</v>
      </c>
      <c r="P621" s="68" t="s">
        <v>757</v>
      </c>
      <c r="Q621" s="68" t="s">
        <v>776</v>
      </c>
      <c r="R621" s="486">
        <v>24</v>
      </c>
      <c r="S621" s="486">
        <v>111</v>
      </c>
      <c r="T621" s="101"/>
      <c r="U621" s="97"/>
      <c r="V621" s="68" t="s">
        <v>255</v>
      </c>
      <c r="W621" s="482"/>
    </row>
    <row r="622" spans="1:23" s="68" customFormat="1" ht="14.25" customHeight="1">
      <c r="A622" s="482" t="s">
        <v>36</v>
      </c>
      <c r="B622" s="484" t="s">
        <v>149</v>
      </c>
      <c r="C622" s="484" t="s">
        <v>159</v>
      </c>
      <c r="D622" s="431" t="s">
        <v>2817</v>
      </c>
      <c r="E622" s="68" t="s">
        <v>1573</v>
      </c>
      <c r="F622" s="68" t="s">
        <v>1717</v>
      </c>
      <c r="G622" s="68" t="s">
        <v>1829</v>
      </c>
      <c r="H622" s="68" t="s">
        <v>40</v>
      </c>
      <c r="I622" s="68" t="s">
        <v>2661</v>
      </c>
      <c r="J622" s="68" t="s">
        <v>42</v>
      </c>
      <c r="K622" s="482" t="s">
        <v>42</v>
      </c>
      <c r="L622" s="482" t="s">
        <v>42</v>
      </c>
      <c r="M622" s="68" t="s">
        <v>43</v>
      </c>
      <c r="N622" s="396">
        <v>25.440928</v>
      </c>
      <c r="O622" s="396">
        <v>97.419403000000003</v>
      </c>
      <c r="P622" s="482" t="s">
        <v>757</v>
      </c>
      <c r="Q622" s="68" t="s">
        <v>776</v>
      </c>
      <c r="R622" s="486">
        <v>95</v>
      </c>
      <c r="S622" s="486">
        <v>549</v>
      </c>
      <c r="T622" s="101"/>
      <c r="U622" s="97"/>
      <c r="V622" s="396" t="s">
        <v>159</v>
      </c>
      <c r="W622" s="482"/>
    </row>
    <row r="623" spans="1:23" s="68" customFormat="1" ht="14.25" customHeight="1">
      <c r="A623" s="491" t="s">
        <v>36</v>
      </c>
      <c r="B623" s="490" t="s">
        <v>149</v>
      </c>
      <c r="C623" s="484" t="s">
        <v>1947</v>
      </c>
      <c r="D623" s="431" t="s">
        <v>2657</v>
      </c>
      <c r="E623" s="396" t="s">
        <v>1954</v>
      </c>
      <c r="F623" s="396"/>
      <c r="G623" s="396"/>
      <c r="H623" s="396"/>
      <c r="I623" s="482" t="s">
        <v>2116</v>
      </c>
      <c r="J623" s="68" t="s">
        <v>42</v>
      </c>
      <c r="K623" s="482" t="s">
        <v>42</v>
      </c>
      <c r="L623" s="482" t="s">
        <v>756</v>
      </c>
      <c r="M623" s="396" t="s">
        <v>43</v>
      </c>
      <c r="N623" s="396">
        <v>97.49136</v>
      </c>
      <c r="O623" s="396">
        <v>25.717300000000002</v>
      </c>
      <c r="P623" s="484" t="s">
        <v>757</v>
      </c>
      <c r="Q623" s="396" t="s">
        <v>1930</v>
      </c>
      <c r="R623" s="486"/>
      <c r="S623" s="486"/>
      <c r="T623" s="412">
        <v>43276</v>
      </c>
      <c r="U623" s="401" t="s">
        <v>1978</v>
      </c>
      <c r="V623" s="396"/>
      <c r="W623" s="391" t="s">
        <v>2259</v>
      </c>
    </row>
    <row r="624" spans="1:23" s="68" customFormat="1" ht="14.25" customHeight="1">
      <c r="A624" s="482" t="s">
        <v>36</v>
      </c>
      <c r="B624" s="484" t="s">
        <v>149</v>
      </c>
      <c r="C624" s="484" t="s">
        <v>1140</v>
      </c>
      <c r="D624" s="431" t="s">
        <v>1656</v>
      </c>
      <c r="E624" s="396"/>
      <c r="F624" s="396"/>
      <c r="G624" s="396"/>
      <c r="H624" s="396"/>
      <c r="I624" s="482"/>
      <c r="J624" s="396" t="s">
        <v>42</v>
      </c>
      <c r="K624" s="482" t="s">
        <v>42</v>
      </c>
      <c r="L624" s="482" t="s">
        <v>1083</v>
      </c>
      <c r="M624" s="396" t="s">
        <v>43</v>
      </c>
      <c r="N624" s="396"/>
      <c r="O624" s="396"/>
      <c r="P624" s="482" t="s">
        <v>757</v>
      </c>
      <c r="Q624" s="396"/>
      <c r="R624" s="486"/>
      <c r="S624" s="487"/>
      <c r="T624" s="412"/>
      <c r="U624" s="401"/>
      <c r="V624" s="396" t="s">
        <v>1140</v>
      </c>
      <c r="W624" s="396"/>
    </row>
    <row r="625" spans="1:23" s="68" customFormat="1" ht="14.25" customHeight="1">
      <c r="A625" s="482" t="s">
        <v>36</v>
      </c>
      <c r="B625" s="484" t="s">
        <v>149</v>
      </c>
      <c r="C625" s="484" t="s">
        <v>160</v>
      </c>
      <c r="D625" s="431" t="s">
        <v>2817</v>
      </c>
      <c r="E625" s="68" t="s">
        <v>1564</v>
      </c>
      <c r="F625" s="68" t="s">
        <v>1717</v>
      </c>
      <c r="G625" s="68" t="s">
        <v>1821</v>
      </c>
      <c r="H625" s="68" t="s">
        <v>40</v>
      </c>
      <c r="I625" s="68" t="s">
        <v>2661</v>
      </c>
      <c r="J625" s="68" t="s">
        <v>42</v>
      </c>
      <c r="K625" s="482" t="s">
        <v>42</v>
      </c>
      <c r="L625" s="482" t="s">
        <v>42</v>
      </c>
      <c r="M625" s="68" t="s">
        <v>43</v>
      </c>
      <c r="N625" s="396">
        <v>25.415482000000001</v>
      </c>
      <c r="O625" s="396">
        <v>97.386718999999999</v>
      </c>
      <c r="P625" s="482" t="s">
        <v>757</v>
      </c>
      <c r="Q625" s="68" t="s">
        <v>776</v>
      </c>
      <c r="R625" s="486">
        <v>78</v>
      </c>
      <c r="S625" s="486">
        <v>424</v>
      </c>
      <c r="T625" s="101"/>
      <c r="U625" s="97"/>
      <c r="V625" s="68" t="s">
        <v>160</v>
      </c>
    </row>
    <row r="626" spans="1:23" s="68" customFormat="1" ht="14.25" customHeight="1">
      <c r="A626" s="482" t="s">
        <v>36</v>
      </c>
      <c r="B626" s="484" t="s">
        <v>149</v>
      </c>
      <c r="C626" s="484" t="s">
        <v>256</v>
      </c>
      <c r="D626" s="431" t="s">
        <v>2817</v>
      </c>
      <c r="E626" s="68" t="s">
        <v>1569</v>
      </c>
      <c r="F626" s="68" t="s">
        <v>1717</v>
      </c>
      <c r="G626" s="68" t="s">
        <v>1821</v>
      </c>
      <c r="H626" s="68" t="s">
        <v>40</v>
      </c>
      <c r="I626" s="68" t="s">
        <v>232</v>
      </c>
      <c r="J626" s="68" t="s">
        <v>42</v>
      </c>
      <c r="K626" s="482" t="s">
        <v>42</v>
      </c>
      <c r="L626" s="482" t="s">
        <v>42</v>
      </c>
      <c r="M626" s="68" t="s">
        <v>43</v>
      </c>
      <c r="N626" s="396">
        <v>25.423209</v>
      </c>
      <c r="O626" s="396">
        <v>97.379987</v>
      </c>
      <c r="P626" s="482" t="s">
        <v>757</v>
      </c>
      <c r="Q626" s="68" t="s">
        <v>776</v>
      </c>
      <c r="R626" s="486">
        <v>54</v>
      </c>
      <c r="S626" s="486">
        <v>250</v>
      </c>
      <c r="T626" s="101"/>
      <c r="U626" s="97"/>
      <c r="V626" s="68" t="s">
        <v>1051</v>
      </c>
      <c r="W626" s="396"/>
    </row>
    <row r="627" spans="1:23" s="68" customFormat="1" ht="14.25" customHeight="1">
      <c r="A627" s="396" t="s">
        <v>36</v>
      </c>
      <c r="B627" s="484" t="s">
        <v>149</v>
      </c>
      <c r="C627" s="484" t="s">
        <v>257</v>
      </c>
      <c r="D627" s="431" t="s">
        <v>2817</v>
      </c>
      <c r="E627" s="489" t="s">
        <v>1566</v>
      </c>
      <c r="F627" s="396" t="s">
        <v>1717</v>
      </c>
      <c r="G627" s="68" t="s">
        <v>1821</v>
      </c>
      <c r="H627" s="68" t="s">
        <v>40</v>
      </c>
      <c r="I627" s="482" t="s">
        <v>232</v>
      </c>
      <c r="J627" s="68" t="s">
        <v>42</v>
      </c>
      <c r="K627" s="68" t="s">
        <v>42</v>
      </c>
      <c r="L627" s="482" t="s">
        <v>42</v>
      </c>
      <c r="M627" s="68" t="s">
        <v>43</v>
      </c>
      <c r="N627" s="396">
        <v>25.417733999999999</v>
      </c>
      <c r="O627" s="396">
        <v>97.389778000000007</v>
      </c>
      <c r="P627" s="482" t="s">
        <v>757</v>
      </c>
      <c r="Q627" s="68" t="s">
        <v>776</v>
      </c>
      <c r="R627" s="399">
        <v>17</v>
      </c>
      <c r="S627" s="399">
        <v>83</v>
      </c>
      <c r="T627" s="101"/>
      <c r="U627" s="97"/>
      <c r="V627" s="68" t="s">
        <v>257</v>
      </c>
    </row>
    <row r="628" spans="1:23" s="68" customFormat="1" ht="14.25" customHeight="1">
      <c r="A628" s="482" t="s">
        <v>36</v>
      </c>
      <c r="B628" s="484" t="s">
        <v>149</v>
      </c>
      <c r="C628" s="484" t="s">
        <v>161</v>
      </c>
      <c r="D628" s="431" t="s">
        <v>2817</v>
      </c>
      <c r="E628" s="484" t="s">
        <v>1559</v>
      </c>
      <c r="F628" s="68" t="s">
        <v>1717</v>
      </c>
      <c r="G628" s="68" t="s">
        <v>1821</v>
      </c>
      <c r="H628" s="482" t="s">
        <v>40</v>
      </c>
      <c r="I628" s="482" t="s">
        <v>2661</v>
      </c>
      <c r="J628" s="482" t="s">
        <v>42</v>
      </c>
      <c r="K628" s="482" t="s">
        <v>42</v>
      </c>
      <c r="L628" s="482" t="s">
        <v>42</v>
      </c>
      <c r="M628" s="482" t="s">
        <v>43</v>
      </c>
      <c r="N628" s="482">
        <v>25.404752999999999</v>
      </c>
      <c r="O628" s="482">
        <v>97.377662999999998</v>
      </c>
      <c r="P628" s="482" t="s">
        <v>757</v>
      </c>
      <c r="Q628" s="482" t="s">
        <v>776</v>
      </c>
      <c r="R628" s="486">
        <v>33</v>
      </c>
      <c r="S628" s="486">
        <v>184</v>
      </c>
      <c r="T628" s="506"/>
      <c r="U628" s="488"/>
      <c r="V628" s="396" t="s">
        <v>161</v>
      </c>
      <c r="W628" s="482"/>
    </row>
    <row r="629" spans="1:23" s="68" customFormat="1" ht="14.25" customHeight="1">
      <c r="A629" s="482" t="s">
        <v>36</v>
      </c>
      <c r="B629" s="484" t="s">
        <v>149</v>
      </c>
      <c r="C629" s="484" t="s">
        <v>162</v>
      </c>
      <c r="D629" s="431" t="s">
        <v>2817</v>
      </c>
      <c r="E629" s="482" t="s">
        <v>1558</v>
      </c>
      <c r="F629" s="482" t="s">
        <v>1717</v>
      </c>
      <c r="G629" s="482" t="s">
        <v>1821</v>
      </c>
      <c r="H629" s="482" t="s">
        <v>40</v>
      </c>
      <c r="I629" s="482" t="s">
        <v>2661</v>
      </c>
      <c r="J629" s="482" t="s">
        <v>42</v>
      </c>
      <c r="K629" s="482" t="s">
        <v>42</v>
      </c>
      <c r="L629" s="482" t="s">
        <v>42</v>
      </c>
      <c r="M629" s="482" t="s">
        <v>43</v>
      </c>
      <c r="N629" s="482">
        <v>25.404015000000001</v>
      </c>
      <c r="O629" s="482">
        <v>97.382192000000003</v>
      </c>
      <c r="P629" s="482" t="s">
        <v>757</v>
      </c>
      <c r="Q629" s="482" t="s">
        <v>776</v>
      </c>
      <c r="R629" s="486">
        <v>46</v>
      </c>
      <c r="S629" s="486">
        <v>242</v>
      </c>
      <c r="T629" s="506"/>
      <c r="U629" s="488"/>
      <c r="V629" s="482" t="s">
        <v>162</v>
      </c>
      <c r="W629" s="482"/>
    </row>
    <row r="630" spans="1:23" s="68" customFormat="1" ht="14.25" customHeight="1">
      <c r="A630" s="491" t="s">
        <v>36</v>
      </c>
      <c r="B630" s="490" t="s">
        <v>149</v>
      </c>
      <c r="C630" s="484" t="s">
        <v>1935</v>
      </c>
      <c r="D630" s="485"/>
      <c r="E630" s="482"/>
      <c r="F630" s="482"/>
      <c r="G630" s="482"/>
      <c r="H630" s="482"/>
      <c r="I630" s="482"/>
      <c r="J630" s="482" t="s">
        <v>1460</v>
      </c>
      <c r="K630" s="482" t="s">
        <v>42</v>
      </c>
      <c r="L630" s="482" t="s">
        <v>42</v>
      </c>
      <c r="M630" s="482" t="s">
        <v>43</v>
      </c>
      <c r="N630" s="482"/>
      <c r="O630" s="482"/>
      <c r="P630" s="482" t="s">
        <v>757</v>
      </c>
      <c r="Q630" s="482" t="s">
        <v>1930</v>
      </c>
      <c r="R630" s="494"/>
      <c r="S630" s="487"/>
      <c r="T630" s="506">
        <v>43270</v>
      </c>
      <c r="U630" s="488"/>
      <c r="V630" s="482"/>
      <c r="W630" s="482"/>
    </row>
    <row r="631" spans="1:23" s="68" customFormat="1" ht="14.25" customHeight="1">
      <c r="A631" s="491" t="s">
        <v>36</v>
      </c>
      <c r="B631" s="490" t="s">
        <v>149</v>
      </c>
      <c r="C631" s="484" t="s">
        <v>1948</v>
      </c>
      <c r="D631" s="431" t="s">
        <v>2817</v>
      </c>
      <c r="E631" s="484" t="s">
        <v>1956</v>
      </c>
      <c r="F631" s="484"/>
      <c r="G631" s="484"/>
      <c r="H631" s="484"/>
      <c r="I631" s="484" t="s">
        <v>2116</v>
      </c>
      <c r="J631" s="68" t="s">
        <v>42</v>
      </c>
      <c r="K631" s="482" t="s">
        <v>42</v>
      </c>
      <c r="L631" s="484" t="s">
        <v>772</v>
      </c>
      <c r="M631" s="68" t="s">
        <v>43</v>
      </c>
      <c r="N631" s="396">
        <v>0</v>
      </c>
      <c r="O631" s="396">
        <v>0</v>
      </c>
      <c r="P631" s="17" t="s">
        <v>757</v>
      </c>
      <c r="Q631" s="68" t="s">
        <v>1930</v>
      </c>
      <c r="R631" s="486">
        <v>8</v>
      </c>
      <c r="S631" s="486">
        <v>32</v>
      </c>
      <c r="T631" s="101">
        <v>43276</v>
      </c>
      <c r="U631" s="492" t="s">
        <v>1979</v>
      </c>
      <c r="V631" s="484"/>
      <c r="W631" s="391" t="s">
        <v>2127</v>
      </c>
    </row>
    <row r="632" spans="1:23" s="68" customFormat="1" ht="14.25" customHeight="1">
      <c r="A632" s="491" t="s">
        <v>36</v>
      </c>
      <c r="B632" s="490" t="s">
        <v>149</v>
      </c>
      <c r="C632" s="484" t="s">
        <v>2111</v>
      </c>
      <c r="D632" s="431" t="s">
        <v>2817</v>
      </c>
      <c r="E632" s="482" t="s">
        <v>1953</v>
      </c>
      <c r="H632" s="482" t="s">
        <v>40</v>
      </c>
      <c r="I632" s="482" t="s">
        <v>2661</v>
      </c>
      <c r="J632" s="482" t="s">
        <v>42</v>
      </c>
      <c r="K632" s="482" t="s">
        <v>42</v>
      </c>
      <c r="L632" s="482" t="s">
        <v>42</v>
      </c>
      <c r="M632" s="482" t="s">
        <v>43</v>
      </c>
      <c r="N632" s="482">
        <v>25.480989999999998</v>
      </c>
      <c r="O632" s="482">
        <v>97.431079999999994</v>
      </c>
      <c r="P632" s="484" t="s">
        <v>757</v>
      </c>
      <c r="Q632" s="482" t="s">
        <v>1930</v>
      </c>
      <c r="R632" s="486">
        <v>205</v>
      </c>
      <c r="S632" s="486">
        <v>960</v>
      </c>
      <c r="T632" s="506">
        <v>43276</v>
      </c>
      <c r="U632" s="488" t="s">
        <v>1978</v>
      </c>
      <c r="W632" s="391" t="s">
        <v>2260</v>
      </c>
    </row>
    <row r="633" spans="1:23" s="68" customFormat="1" ht="14.25" customHeight="1">
      <c r="A633" s="491" t="s">
        <v>36</v>
      </c>
      <c r="B633" s="490" t="s">
        <v>149</v>
      </c>
      <c r="C633" s="484" t="s">
        <v>1936</v>
      </c>
      <c r="D633" s="485"/>
      <c r="E633" s="482"/>
      <c r="F633" s="482"/>
      <c r="G633" s="482"/>
      <c r="H633" s="482"/>
      <c r="I633" s="482"/>
      <c r="J633" s="482" t="s">
        <v>1460</v>
      </c>
      <c r="K633" s="482" t="s">
        <v>42</v>
      </c>
      <c r="L633" s="482" t="s">
        <v>42</v>
      </c>
      <c r="M633" s="482" t="s">
        <v>43</v>
      </c>
      <c r="N633" s="482"/>
      <c r="O633" s="482"/>
      <c r="P633" s="482" t="s">
        <v>757</v>
      </c>
      <c r="Q633" s="482" t="s">
        <v>1930</v>
      </c>
      <c r="R633" s="494"/>
      <c r="S633" s="487"/>
      <c r="T633" s="506">
        <v>43270</v>
      </c>
      <c r="U633" s="488"/>
      <c r="V633" s="482"/>
      <c r="W633" s="482"/>
    </row>
    <row r="634" spans="1:23" s="68" customFormat="1" ht="14.25" customHeight="1">
      <c r="A634" s="482" t="s">
        <v>36</v>
      </c>
      <c r="B634" s="484" t="s">
        <v>149</v>
      </c>
      <c r="C634" s="484" t="s">
        <v>1043</v>
      </c>
      <c r="D634" s="431" t="s">
        <v>1657</v>
      </c>
      <c r="E634" s="68" t="s">
        <v>1551</v>
      </c>
      <c r="F634" s="68" t="s">
        <v>1717</v>
      </c>
      <c r="G634" s="68" t="s">
        <v>1718</v>
      </c>
      <c r="H634" s="68" t="s">
        <v>40</v>
      </c>
      <c r="I634" s="68" t="s">
        <v>232</v>
      </c>
      <c r="J634" s="68" t="s">
        <v>42</v>
      </c>
      <c r="K634" s="482" t="s">
        <v>42</v>
      </c>
      <c r="L634" s="482" t="s">
        <v>756</v>
      </c>
      <c r="M634" s="68" t="s">
        <v>43</v>
      </c>
      <c r="N634" s="68">
        <v>25.377038169999999</v>
      </c>
      <c r="O634" s="68">
        <v>97.403878500000005</v>
      </c>
      <c r="P634" s="68" t="s">
        <v>757</v>
      </c>
      <c r="Q634" s="68" t="s">
        <v>776</v>
      </c>
      <c r="R634" s="486"/>
      <c r="S634" s="487"/>
      <c r="T634" s="101">
        <v>42983</v>
      </c>
      <c r="U634" s="488" t="s">
        <v>1044</v>
      </c>
      <c r="V634" s="68" t="s">
        <v>1043</v>
      </c>
      <c r="W634" s="482" t="s">
        <v>2159</v>
      </c>
    </row>
    <row r="635" spans="1:23" s="68" customFormat="1" ht="14.25" customHeight="1">
      <c r="A635" s="482" t="s">
        <v>36</v>
      </c>
      <c r="B635" s="482" t="s">
        <v>163</v>
      </c>
      <c r="C635" s="482" t="s">
        <v>1096</v>
      </c>
      <c r="D635" s="431" t="s">
        <v>1656</v>
      </c>
      <c r="E635" s="482"/>
      <c r="I635" s="482"/>
      <c r="J635" s="68" t="s">
        <v>42</v>
      </c>
      <c r="K635" s="68" t="s">
        <v>42</v>
      </c>
      <c r="L635" s="482" t="s">
        <v>1083</v>
      </c>
      <c r="M635" s="68" t="s">
        <v>43</v>
      </c>
      <c r="P635" s="482" t="s">
        <v>757</v>
      </c>
      <c r="R635" s="486"/>
      <c r="S635" s="487"/>
      <c r="T635" s="101"/>
      <c r="U635" s="488"/>
      <c r="V635" s="68" t="s">
        <v>1096</v>
      </c>
      <c r="W635" s="482"/>
    </row>
    <row r="636" spans="1:23" s="68" customFormat="1" ht="14.25" customHeight="1">
      <c r="A636" s="482" t="s">
        <v>36</v>
      </c>
      <c r="B636" s="482" t="s">
        <v>163</v>
      </c>
      <c r="C636" s="482" t="s">
        <v>1070</v>
      </c>
      <c r="D636" s="431" t="s">
        <v>2817</v>
      </c>
      <c r="E636" s="482" t="s">
        <v>1615</v>
      </c>
      <c r="F636" s="68" t="s">
        <v>1730</v>
      </c>
      <c r="G636" s="68" t="s">
        <v>1871</v>
      </c>
      <c r="I636" s="484" t="s">
        <v>2116</v>
      </c>
      <c r="J636" s="68" t="s">
        <v>42</v>
      </c>
      <c r="K636" s="68" t="s">
        <v>42</v>
      </c>
      <c r="L636" s="68" t="s">
        <v>768</v>
      </c>
      <c r="M636" s="68" t="s">
        <v>43</v>
      </c>
      <c r="N636" s="396">
        <v>27.248964999999998</v>
      </c>
      <c r="O636" s="396">
        <v>97.561105999999995</v>
      </c>
      <c r="P636" s="68" t="s">
        <v>769</v>
      </c>
      <c r="Q636" s="68" t="s">
        <v>758</v>
      </c>
      <c r="R636" s="486">
        <v>10</v>
      </c>
      <c r="S636" s="486">
        <v>56</v>
      </c>
      <c r="T636" s="101"/>
      <c r="U636" s="97" t="s">
        <v>1071</v>
      </c>
      <c r="W636" s="482"/>
    </row>
    <row r="637" spans="1:23" s="68" customFormat="1" ht="14.25" customHeight="1">
      <c r="A637" s="482" t="s">
        <v>36</v>
      </c>
      <c r="B637" s="482" t="s">
        <v>163</v>
      </c>
      <c r="C637" s="482" t="s">
        <v>164</v>
      </c>
      <c r="D637" s="431" t="s">
        <v>2817</v>
      </c>
      <c r="E637" s="482" t="s">
        <v>1619</v>
      </c>
      <c r="F637" s="396" t="s">
        <v>1846</v>
      </c>
      <c r="G637" s="68" t="s">
        <v>1847</v>
      </c>
      <c r="H637" s="482" t="s">
        <v>40</v>
      </c>
      <c r="I637" s="482" t="s">
        <v>2661</v>
      </c>
      <c r="J637" s="482" t="s">
        <v>42</v>
      </c>
      <c r="K637" s="482" t="s">
        <v>42</v>
      </c>
      <c r="L637" s="482" t="s">
        <v>42</v>
      </c>
      <c r="M637" s="482" t="s">
        <v>43</v>
      </c>
      <c r="N637" s="482">
        <v>27.337499999999999</v>
      </c>
      <c r="O637" s="482">
        <v>97.416121000000004</v>
      </c>
      <c r="P637" s="482" t="s">
        <v>757</v>
      </c>
      <c r="Q637" s="482" t="s">
        <v>776</v>
      </c>
      <c r="R637" s="486">
        <v>61</v>
      </c>
      <c r="S637" s="486">
        <v>281</v>
      </c>
      <c r="T637" s="506"/>
      <c r="U637" s="488"/>
      <c r="V637" s="482" t="s">
        <v>1078</v>
      </c>
      <c r="W637" s="482"/>
    </row>
    <row r="638" spans="1:23" s="68" customFormat="1" ht="14.25" customHeight="1">
      <c r="A638" s="482" t="s">
        <v>36</v>
      </c>
      <c r="B638" s="482" t="s">
        <v>163</v>
      </c>
      <c r="C638" s="482" t="s">
        <v>1072</v>
      </c>
      <c r="D638" s="431" t="s">
        <v>1657</v>
      </c>
      <c r="E638" s="482" t="s">
        <v>1616</v>
      </c>
      <c r="F638" s="482" t="s">
        <v>1730</v>
      </c>
      <c r="G638" s="482" t="s">
        <v>1731</v>
      </c>
      <c r="H638" s="482"/>
      <c r="I638" s="482">
        <v>0</v>
      </c>
      <c r="J638" s="482" t="s">
        <v>42</v>
      </c>
      <c r="K638" s="482" t="s">
        <v>42</v>
      </c>
      <c r="L638" s="482" t="s">
        <v>756</v>
      </c>
      <c r="M638" s="482" t="s">
        <v>43</v>
      </c>
      <c r="N638" s="482">
        <v>27.270199999999999</v>
      </c>
      <c r="O638" s="482">
        <v>97.58184</v>
      </c>
      <c r="P638" s="482" t="s">
        <v>757</v>
      </c>
      <c r="Q638" s="482"/>
      <c r="R638" s="486"/>
      <c r="S638" s="487"/>
      <c r="T638" s="506"/>
      <c r="U638" s="488"/>
      <c r="V638" s="482" t="s">
        <v>1072</v>
      </c>
      <c r="W638" s="391" t="s">
        <v>2160</v>
      </c>
    </row>
    <row r="639" spans="1:23" s="68" customFormat="1" ht="14.25" customHeight="1">
      <c r="A639" s="482" t="s">
        <v>36</v>
      </c>
      <c r="B639" s="482" t="s">
        <v>163</v>
      </c>
      <c r="C639" s="482" t="s">
        <v>1121</v>
      </c>
      <c r="D639" s="431" t="s">
        <v>1656</v>
      </c>
      <c r="E639" s="396"/>
      <c r="F639" s="482"/>
      <c r="G639" s="396"/>
      <c r="H639" s="396"/>
      <c r="I639" s="482"/>
      <c r="J639" s="68" t="s">
        <v>42</v>
      </c>
      <c r="K639" s="482" t="s">
        <v>42</v>
      </c>
      <c r="L639" s="482" t="s">
        <v>1083</v>
      </c>
      <c r="M639" s="396" t="s">
        <v>43</v>
      </c>
      <c r="N639" s="396"/>
      <c r="O639" s="396"/>
      <c r="P639" s="68" t="s">
        <v>757</v>
      </c>
      <c r="Q639" s="396"/>
      <c r="R639" s="486"/>
      <c r="S639" s="487"/>
      <c r="T639" s="412"/>
      <c r="U639" s="488"/>
      <c r="V639" s="396" t="s">
        <v>1121</v>
      </c>
      <c r="W639" s="482"/>
    </row>
    <row r="640" spans="1:23" s="68" customFormat="1" ht="14.25" customHeight="1">
      <c r="A640" s="482" t="s">
        <v>36</v>
      </c>
      <c r="B640" s="484" t="s">
        <v>163</v>
      </c>
      <c r="C640" s="484" t="s">
        <v>1076</v>
      </c>
      <c r="D640" s="431" t="s">
        <v>2817</v>
      </c>
      <c r="E640" s="396" t="s">
        <v>1618</v>
      </c>
      <c r="F640" s="396" t="s">
        <v>1846</v>
      </c>
      <c r="G640" s="396" t="s">
        <v>1872</v>
      </c>
      <c r="H640" s="396"/>
      <c r="I640" s="484" t="s">
        <v>2116</v>
      </c>
      <c r="J640" s="396" t="s">
        <v>42</v>
      </c>
      <c r="K640" s="482" t="s">
        <v>42</v>
      </c>
      <c r="L640" s="482" t="s">
        <v>768</v>
      </c>
      <c r="M640" s="396" t="s">
        <v>43</v>
      </c>
      <c r="N640" s="396">
        <v>27.311699999999998</v>
      </c>
      <c r="O640" s="396">
        <v>97.415289999999999</v>
      </c>
      <c r="P640" s="396" t="s">
        <v>769</v>
      </c>
      <c r="Q640" s="396" t="s">
        <v>758</v>
      </c>
      <c r="R640" s="486">
        <v>17</v>
      </c>
      <c r="S640" s="486">
        <v>92</v>
      </c>
      <c r="T640" s="412"/>
      <c r="U640" s="488" t="s">
        <v>1077</v>
      </c>
      <c r="V640" s="396" t="s">
        <v>1076</v>
      </c>
      <c r="W640" s="482"/>
    </row>
    <row r="641" spans="1:23" s="68" customFormat="1" ht="14.25" customHeight="1">
      <c r="A641" s="487" t="s">
        <v>36</v>
      </c>
      <c r="B641" s="490" t="s">
        <v>204</v>
      </c>
      <c r="C641" s="491" t="s">
        <v>2019</v>
      </c>
      <c r="D641" s="485"/>
      <c r="E641" s="482"/>
      <c r="F641" s="482"/>
      <c r="G641" s="482"/>
      <c r="J641" s="68" t="s">
        <v>1460</v>
      </c>
      <c r="K641" s="484" t="s">
        <v>42</v>
      </c>
      <c r="L641" s="484" t="s">
        <v>772</v>
      </c>
      <c r="M641" s="68" t="s">
        <v>774</v>
      </c>
      <c r="P641" s="482" t="s">
        <v>757</v>
      </c>
      <c r="R641" s="494"/>
      <c r="S641" s="487"/>
      <c r="T641" s="101">
        <v>43298</v>
      </c>
      <c r="U641" s="488"/>
      <c r="V641" s="482"/>
      <c r="W641" s="482"/>
    </row>
    <row r="642" spans="1:23" s="68" customFormat="1" ht="14.25" customHeight="1">
      <c r="A642" s="487" t="s">
        <v>36</v>
      </c>
      <c r="B642" s="490" t="s">
        <v>204</v>
      </c>
      <c r="C642" s="413" t="s">
        <v>2011</v>
      </c>
      <c r="D642" s="485" t="s">
        <v>2817</v>
      </c>
      <c r="E642" s="68" t="s">
        <v>2818</v>
      </c>
      <c r="I642" s="482"/>
      <c r="J642" s="68" t="s">
        <v>42</v>
      </c>
      <c r="K642" s="484" t="s">
        <v>42</v>
      </c>
      <c r="L642" s="484" t="s">
        <v>772</v>
      </c>
      <c r="M642" s="68" t="s">
        <v>774</v>
      </c>
      <c r="P642" s="68" t="s">
        <v>757</v>
      </c>
      <c r="R642" s="494">
        <v>361</v>
      </c>
      <c r="S642" s="487">
        <v>1397</v>
      </c>
      <c r="T642" s="101">
        <v>43628</v>
      </c>
      <c r="U642" s="97"/>
      <c r="W642" s="482" t="s">
        <v>2819</v>
      </c>
    </row>
    <row r="643" spans="1:23" s="68" customFormat="1" ht="14.25" customHeight="1">
      <c r="A643" s="396" t="s">
        <v>36</v>
      </c>
      <c r="B643" s="484" t="s">
        <v>204</v>
      </c>
      <c r="C643" s="484" t="s">
        <v>205</v>
      </c>
      <c r="D643" s="431" t="s">
        <v>2817</v>
      </c>
      <c r="E643" s="482" t="s">
        <v>1473</v>
      </c>
      <c r="F643" s="396" t="s">
        <v>1775</v>
      </c>
      <c r="G643" s="396" t="s">
        <v>1775</v>
      </c>
      <c r="H643" s="396" t="s">
        <v>40</v>
      </c>
      <c r="I643" s="482" t="s">
        <v>2660</v>
      </c>
      <c r="J643" s="396" t="s">
        <v>42</v>
      </c>
      <c r="K643" s="396" t="s">
        <v>42</v>
      </c>
      <c r="L643" s="396" t="s">
        <v>42</v>
      </c>
      <c r="M643" s="396" t="s">
        <v>43</v>
      </c>
      <c r="N643" s="396">
        <v>24.200361000000001</v>
      </c>
      <c r="O643" s="396">
        <v>96.807353000000006</v>
      </c>
      <c r="P643" s="396" t="s">
        <v>757</v>
      </c>
      <c r="Q643" s="396" t="s">
        <v>776</v>
      </c>
      <c r="R643" s="399">
        <v>47</v>
      </c>
      <c r="S643" s="486">
        <v>276</v>
      </c>
      <c r="T643" s="412"/>
      <c r="U643" s="401"/>
      <c r="V643" s="396" t="s">
        <v>205</v>
      </c>
      <c r="W643" s="482"/>
    </row>
    <row r="644" spans="1:23" s="68" customFormat="1" ht="14.25" customHeight="1">
      <c r="A644" s="482" t="s">
        <v>36</v>
      </c>
      <c r="B644" s="484" t="s">
        <v>204</v>
      </c>
      <c r="C644" s="484" t="s">
        <v>206</v>
      </c>
      <c r="D644" s="431" t="s">
        <v>2817</v>
      </c>
      <c r="E644" s="484" t="s">
        <v>1474</v>
      </c>
      <c r="F644" s="482" t="s">
        <v>1775</v>
      </c>
      <c r="G644" s="482" t="s">
        <v>1775</v>
      </c>
      <c r="H644" s="482" t="s">
        <v>40</v>
      </c>
      <c r="I644" s="482" t="s">
        <v>41</v>
      </c>
      <c r="J644" s="68" t="s">
        <v>42</v>
      </c>
      <c r="K644" s="68" t="s">
        <v>42</v>
      </c>
      <c r="L644" s="68" t="s">
        <v>42</v>
      </c>
      <c r="M644" s="68" t="s">
        <v>43</v>
      </c>
      <c r="N644" s="482">
        <v>24.200367</v>
      </c>
      <c r="O644" s="482">
        <v>96.807353000000006</v>
      </c>
      <c r="P644" s="68" t="s">
        <v>757</v>
      </c>
      <c r="Q644" s="68" t="s">
        <v>776</v>
      </c>
      <c r="R644" s="486">
        <v>47</v>
      </c>
      <c r="S644" s="486">
        <v>194</v>
      </c>
      <c r="T644" s="101"/>
      <c r="U644" s="488"/>
      <c r="V644" s="482" t="s">
        <v>206</v>
      </c>
      <c r="W644" s="482"/>
    </row>
    <row r="645" spans="1:23" s="68" customFormat="1" ht="14.25" customHeight="1">
      <c r="A645" s="396" t="s">
        <v>36</v>
      </c>
      <c r="B645" s="484" t="s">
        <v>204</v>
      </c>
      <c r="C645" s="484" t="s">
        <v>1134</v>
      </c>
      <c r="D645" s="431" t="s">
        <v>1656</v>
      </c>
      <c r="E645" s="396"/>
      <c r="F645" s="396"/>
      <c r="G645" s="396"/>
      <c r="H645" s="396"/>
      <c r="I645" s="396"/>
      <c r="J645" s="68" t="s">
        <v>1083</v>
      </c>
      <c r="K645" s="68" t="s">
        <v>42</v>
      </c>
      <c r="L645" s="68" t="s">
        <v>756</v>
      </c>
      <c r="M645" s="396" t="s">
        <v>43</v>
      </c>
      <c r="N645" s="396"/>
      <c r="O645" s="396"/>
      <c r="P645" s="68" t="s">
        <v>757</v>
      </c>
      <c r="Q645" s="396"/>
      <c r="R645" s="399"/>
      <c r="S645" s="487"/>
      <c r="T645" s="412"/>
      <c r="U645" s="401"/>
      <c r="V645" s="396" t="s">
        <v>1134</v>
      </c>
      <c r="W645" s="482"/>
    </row>
    <row r="646" spans="1:23" s="68" customFormat="1" ht="14.25" customHeight="1">
      <c r="A646" s="482" t="s">
        <v>36</v>
      </c>
      <c r="B646" s="484" t="s">
        <v>204</v>
      </c>
      <c r="C646" s="484" t="s">
        <v>998</v>
      </c>
      <c r="D646" s="431" t="s">
        <v>1656</v>
      </c>
      <c r="E646" s="396" t="s">
        <v>1482</v>
      </c>
      <c r="F646" s="396"/>
      <c r="G646" s="396"/>
      <c r="H646" s="396"/>
      <c r="I646" s="482">
        <v>0</v>
      </c>
      <c r="J646" s="68" t="s">
        <v>42</v>
      </c>
      <c r="K646" s="482" t="s">
        <v>42</v>
      </c>
      <c r="L646" s="482" t="s">
        <v>756</v>
      </c>
      <c r="M646" s="396" t="s">
        <v>43</v>
      </c>
      <c r="N646" s="396">
        <v>24.224830999999998</v>
      </c>
      <c r="O646" s="396">
        <v>96.793177</v>
      </c>
      <c r="P646" s="482" t="s">
        <v>757</v>
      </c>
      <c r="Q646" s="396" t="s">
        <v>758</v>
      </c>
      <c r="R646" s="486"/>
      <c r="S646" s="487"/>
      <c r="T646" s="412">
        <v>42983</v>
      </c>
      <c r="U646" s="401" t="s">
        <v>999</v>
      </c>
      <c r="V646" s="396"/>
      <c r="W646" s="68" t="s">
        <v>2161</v>
      </c>
    </row>
    <row r="647" spans="1:23" s="68" customFormat="1" ht="14.25" customHeight="1">
      <c r="A647" s="487" t="s">
        <v>36</v>
      </c>
      <c r="B647" s="490" t="s">
        <v>204</v>
      </c>
      <c r="C647" s="491" t="s">
        <v>2018</v>
      </c>
      <c r="D647" s="485"/>
      <c r="J647" s="68" t="s">
        <v>1460</v>
      </c>
      <c r="K647" s="484" t="s">
        <v>42</v>
      </c>
      <c r="L647" s="484" t="s">
        <v>772</v>
      </c>
      <c r="M647" s="68" t="s">
        <v>774</v>
      </c>
      <c r="P647" s="482" t="s">
        <v>757</v>
      </c>
      <c r="R647" s="494"/>
      <c r="S647" s="487"/>
      <c r="T647" s="101">
        <v>43298</v>
      </c>
      <c r="U647" s="97"/>
      <c r="W647" s="482"/>
    </row>
    <row r="648" spans="1:23" s="68" customFormat="1" ht="14.25" customHeight="1">
      <c r="A648" s="487" t="s">
        <v>36</v>
      </c>
      <c r="B648" s="490" t="s">
        <v>204</v>
      </c>
      <c r="C648" s="491" t="s">
        <v>2016</v>
      </c>
      <c r="D648" s="485"/>
      <c r="E648" s="482"/>
      <c r="I648" s="482"/>
      <c r="J648" s="482" t="s">
        <v>1460</v>
      </c>
      <c r="K648" s="484" t="s">
        <v>42</v>
      </c>
      <c r="L648" s="484" t="s">
        <v>772</v>
      </c>
      <c r="M648" s="68" t="s">
        <v>774</v>
      </c>
      <c r="P648" s="68" t="s">
        <v>757</v>
      </c>
      <c r="R648" s="494"/>
      <c r="S648" s="487"/>
      <c r="T648" s="101">
        <v>43298</v>
      </c>
      <c r="U648" s="488"/>
      <c r="W648" s="482"/>
    </row>
    <row r="649" spans="1:23" s="68" customFormat="1" ht="14.25" customHeight="1">
      <c r="A649" s="487" t="s">
        <v>36</v>
      </c>
      <c r="B649" s="490" t="s">
        <v>174</v>
      </c>
      <c r="C649" s="491" t="s">
        <v>3121</v>
      </c>
      <c r="D649" s="485"/>
      <c r="E649" s="482"/>
      <c r="F649" s="396"/>
      <c r="G649" s="396"/>
      <c r="H649" s="396"/>
      <c r="I649" s="396"/>
      <c r="J649" s="659" t="s">
        <v>794</v>
      </c>
      <c r="K649" s="659" t="s">
        <v>794</v>
      </c>
      <c r="L649" s="396" t="s">
        <v>1095</v>
      </c>
      <c r="M649" s="396" t="s">
        <v>774</v>
      </c>
      <c r="N649" s="396"/>
      <c r="O649" s="396"/>
      <c r="P649" s="482"/>
      <c r="Q649" s="396" t="s">
        <v>3102</v>
      </c>
      <c r="R649" s="494"/>
      <c r="S649" s="487"/>
      <c r="T649" s="412">
        <v>43851</v>
      </c>
      <c r="U649" s="494"/>
      <c r="V649" s="396"/>
      <c r="W649" s="486"/>
    </row>
    <row r="650" spans="1:23" s="68" customFormat="1" ht="14.25" customHeight="1">
      <c r="A650" s="487" t="s">
        <v>36</v>
      </c>
      <c r="B650" s="490" t="s">
        <v>174</v>
      </c>
      <c r="C650" s="491" t="s">
        <v>3119</v>
      </c>
      <c r="D650" s="485"/>
      <c r="E650" s="482"/>
      <c r="F650" s="482"/>
      <c r="G650" s="482"/>
      <c r="H650" s="482"/>
      <c r="I650" s="482"/>
      <c r="J650" s="659" t="s">
        <v>794</v>
      </c>
      <c r="K650" s="659" t="s">
        <v>794</v>
      </c>
      <c r="L650" s="482" t="s">
        <v>1095</v>
      </c>
      <c r="M650" s="482" t="s">
        <v>774</v>
      </c>
      <c r="N650" s="482"/>
      <c r="O650" s="482"/>
      <c r="P650" s="482"/>
      <c r="Q650" s="482" t="s">
        <v>3102</v>
      </c>
      <c r="R650" s="494"/>
      <c r="S650" s="487"/>
      <c r="T650" s="506">
        <v>43851</v>
      </c>
      <c r="U650" s="494"/>
      <c r="V650" s="482"/>
      <c r="W650" s="486"/>
    </row>
    <row r="651" spans="1:23" s="68" customFormat="1" ht="14.25" customHeight="1">
      <c r="A651" s="482" t="s">
        <v>36</v>
      </c>
      <c r="B651" s="482" t="s">
        <v>174</v>
      </c>
      <c r="C651" s="430" t="s">
        <v>2658</v>
      </c>
      <c r="D651" s="431" t="s">
        <v>2817</v>
      </c>
      <c r="E651" s="484" t="s">
        <v>2659</v>
      </c>
      <c r="F651" s="68">
        <v>0</v>
      </c>
      <c r="G651" s="68">
        <v>0</v>
      </c>
      <c r="I651" s="484" t="s">
        <v>2116</v>
      </c>
      <c r="J651" s="482" t="s">
        <v>42</v>
      </c>
      <c r="K651" s="482" t="s">
        <v>42</v>
      </c>
      <c r="L651" s="429" t="s">
        <v>772</v>
      </c>
      <c r="M651" s="68" t="s">
        <v>43</v>
      </c>
      <c r="N651" s="68">
        <v>25.415667500000001</v>
      </c>
      <c r="O651" s="68">
        <v>97.437782499999997</v>
      </c>
      <c r="P651" s="17" t="s">
        <v>757</v>
      </c>
      <c r="Q651" s="68" t="s">
        <v>2627</v>
      </c>
      <c r="R651" s="486">
        <v>29</v>
      </c>
      <c r="S651" s="486">
        <v>140</v>
      </c>
      <c r="T651" s="101">
        <v>43579</v>
      </c>
      <c r="U651" s="488"/>
      <c r="W651" s="482"/>
    </row>
    <row r="652" spans="1:23" s="68" customFormat="1" ht="14.25" customHeight="1">
      <c r="A652" s="487" t="s">
        <v>36</v>
      </c>
      <c r="B652" s="490" t="s">
        <v>174</v>
      </c>
      <c r="C652" s="491" t="s">
        <v>3122</v>
      </c>
      <c r="D652" s="485"/>
      <c r="E652" s="482"/>
      <c r="F652" s="482"/>
      <c r="G652" s="482"/>
      <c r="H652" s="482"/>
      <c r="I652" s="482"/>
      <c r="J652" s="659" t="s">
        <v>794</v>
      </c>
      <c r="K652" s="659" t="s">
        <v>794</v>
      </c>
      <c r="L652" s="68" t="s">
        <v>1095</v>
      </c>
      <c r="M652" s="482" t="s">
        <v>774</v>
      </c>
      <c r="N652" s="482"/>
      <c r="O652" s="482"/>
      <c r="P652" s="482"/>
      <c r="Q652" s="482" t="s">
        <v>3102</v>
      </c>
      <c r="R652" s="494"/>
      <c r="S652" s="487"/>
      <c r="T652" s="506">
        <v>43851</v>
      </c>
      <c r="U652" s="494"/>
      <c r="V652" s="482"/>
      <c r="W652" s="486"/>
    </row>
    <row r="653" spans="1:23" s="68" customFormat="1" ht="14.25" customHeight="1">
      <c r="A653" s="396" t="s">
        <v>36</v>
      </c>
      <c r="B653" s="396" t="s">
        <v>174</v>
      </c>
      <c r="C653" s="396" t="s">
        <v>175</v>
      </c>
      <c r="D653" s="431" t="s">
        <v>2817</v>
      </c>
      <c r="E653" s="68" t="s">
        <v>1613</v>
      </c>
      <c r="F653" s="68">
        <v>0</v>
      </c>
      <c r="G653" s="68">
        <v>0</v>
      </c>
      <c r="H653" s="68" t="s">
        <v>40</v>
      </c>
      <c r="I653" s="68" t="s">
        <v>2661</v>
      </c>
      <c r="J653" s="68" t="s">
        <v>42</v>
      </c>
      <c r="K653" s="68" t="s">
        <v>42</v>
      </c>
      <c r="L653" s="68" t="s">
        <v>42</v>
      </c>
      <c r="M653" s="68" t="s">
        <v>774</v>
      </c>
      <c r="N653" s="68">
        <v>26.569633</v>
      </c>
      <c r="O653" s="68">
        <v>97.745480999999998</v>
      </c>
      <c r="P653" s="17" t="s">
        <v>757</v>
      </c>
      <c r="Q653" s="68" t="s">
        <v>758</v>
      </c>
      <c r="R653" s="399">
        <v>111</v>
      </c>
      <c r="S653" s="486">
        <v>564</v>
      </c>
      <c r="T653" s="101"/>
      <c r="U653" s="97"/>
      <c r="V653" s="68" t="s">
        <v>1067</v>
      </c>
      <c r="W653" s="482"/>
    </row>
    <row r="654" spans="1:23" s="68" customFormat="1" ht="14.25" customHeight="1">
      <c r="A654" s="396" t="s">
        <v>36</v>
      </c>
      <c r="B654" s="482" t="s">
        <v>174</v>
      </c>
      <c r="C654" s="482" t="s">
        <v>1120</v>
      </c>
      <c r="D654" s="431" t="s">
        <v>1656</v>
      </c>
      <c r="E654" s="482"/>
      <c r="J654" s="68" t="s">
        <v>42</v>
      </c>
      <c r="K654" s="68" t="s">
        <v>42</v>
      </c>
      <c r="L654" s="68" t="s">
        <v>1083</v>
      </c>
      <c r="M654" s="68" t="s">
        <v>43</v>
      </c>
      <c r="N654" s="396"/>
      <c r="O654" s="396"/>
      <c r="P654" s="482" t="s">
        <v>757</v>
      </c>
      <c r="R654" s="95"/>
      <c r="S654" s="487"/>
      <c r="T654" s="101"/>
      <c r="U654" s="97"/>
      <c r="V654" s="68" t="s">
        <v>1120</v>
      </c>
      <c r="W654" s="482"/>
    </row>
    <row r="655" spans="1:23" s="68" customFormat="1" ht="14.25" customHeight="1">
      <c r="A655" s="482" t="s">
        <v>36</v>
      </c>
      <c r="B655" s="484" t="s">
        <v>174</v>
      </c>
      <c r="C655" s="484" t="s">
        <v>177</v>
      </c>
      <c r="D655" s="431" t="s">
        <v>2817</v>
      </c>
      <c r="E655" s="484" t="s">
        <v>1612</v>
      </c>
      <c r="F655" s="68">
        <v>0</v>
      </c>
      <c r="G655" s="68">
        <v>0</v>
      </c>
      <c r="H655" s="68" t="s">
        <v>40</v>
      </c>
      <c r="I655" s="482" t="s">
        <v>2661</v>
      </c>
      <c r="J655" s="68" t="s">
        <v>42</v>
      </c>
      <c r="K655" s="68" t="s">
        <v>42</v>
      </c>
      <c r="L655" s="68" t="s">
        <v>42</v>
      </c>
      <c r="M655" s="68" t="s">
        <v>774</v>
      </c>
      <c r="N655" s="482">
        <v>26.548506</v>
      </c>
      <c r="O655" s="482">
        <v>97.75609</v>
      </c>
      <c r="P655" s="17" t="s">
        <v>757</v>
      </c>
      <c r="Q655" s="68" t="s">
        <v>758</v>
      </c>
      <c r="R655" s="486">
        <v>67</v>
      </c>
      <c r="S655" s="486">
        <v>311</v>
      </c>
      <c r="T655" s="101">
        <v>42788</v>
      </c>
      <c r="U655" s="488"/>
      <c r="W655" s="482"/>
    </row>
    <row r="656" spans="1:23" s="68" customFormat="1" ht="14.25" customHeight="1">
      <c r="A656" s="482" t="s">
        <v>36</v>
      </c>
      <c r="B656" s="484" t="s">
        <v>174</v>
      </c>
      <c r="C656" s="484" t="s">
        <v>174</v>
      </c>
      <c r="D656" s="431" t="s">
        <v>2817</v>
      </c>
      <c r="E656" s="484" t="s">
        <v>1611</v>
      </c>
      <c r="F656" s="68" t="s">
        <v>1870</v>
      </c>
      <c r="G656" s="68">
        <v>0</v>
      </c>
      <c r="I656" s="484" t="s">
        <v>2116</v>
      </c>
      <c r="J656" s="482" t="s">
        <v>42</v>
      </c>
      <c r="K656" s="482" t="s">
        <v>42</v>
      </c>
      <c r="L656" s="68" t="s">
        <v>772</v>
      </c>
      <c r="M656" s="68" t="s">
        <v>43</v>
      </c>
      <c r="N656" s="482">
        <v>26.541930000000001</v>
      </c>
      <c r="O656" s="482">
        <v>97.568836000000005</v>
      </c>
      <c r="P656" s="68" t="s">
        <v>757</v>
      </c>
      <c r="Q656" s="68" t="s">
        <v>758</v>
      </c>
      <c r="R656" s="486">
        <v>5</v>
      </c>
      <c r="S656" s="486">
        <v>32</v>
      </c>
      <c r="T656" s="101"/>
      <c r="U656" s="488" t="s">
        <v>1066</v>
      </c>
      <c r="V656" s="68" t="s">
        <v>174</v>
      </c>
      <c r="W656" s="482"/>
    </row>
    <row r="657" spans="1:23" s="68" customFormat="1" ht="14.25" customHeight="1">
      <c r="A657" s="487" t="s">
        <v>36</v>
      </c>
      <c r="B657" s="490" t="s">
        <v>174</v>
      </c>
      <c r="C657" s="491" t="s">
        <v>3120</v>
      </c>
      <c r="D657" s="485"/>
      <c r="E657" s="482"/>
      <c r="H657" s="482"/>
      <c r="I657" s="482"/>
      <c r="J657" s="659" t="s">
        <v>794</v>
      </c>
      <c r="K657" s="659" t="s">
        <v>794</v>
      </c>
      <c r="L657" s="482" t="s">
        <v>1095</v>
      </c>
      <c r="M657" s="482" t="s">
        <v>774</v>
      </c>
      <c r="N657" s="482"/>
      <c r="O657" s="482"/>
      <c r="P657" s="482"/>
      <c r="Q657" s="482" t="s">
        <v>3102</v>
      </c>
      <c r="R657" s="494"/>
      <c r="S657" s="487"/>
      <c r="T657" s="506">
        <v>43851</v>
      </c>
      <c r="U657" s="494"/>
      <c r="W657" s="486"/>
    </row>
    <row r="658" spans="1:23" s="68" customFormat="1" ht="14.25" customHeight="1">
      <c r="A658" s="484" t="s">
        <v>36</v>
      </c>
      <c r="B658" s="484" t="s">
        <v>174</v>
      </c>
      <c r="C658" s="484" t="s">
        <v>1148</v>
      </c>
      <c r="D658" s="431" t="s">
        <v>1656</v>
      </c>
      <c r="E658" s="484"/>
      <c r="F658" s="482"/>
      <c r="G658" s="482"/>
      <c r="H658" s="484"/>
      <c r="I658" s="484"/>
      <c r="J658" s="484" t="s">
        <v>1460</v>
      </c>
      <c r="K658" s="484" t="s">
        <v>42</v>
      </c>
      <c r="L658" s="484" t="s">
        <v>756</v>
      </c>
      <c r="M658" s="484" t="s">
        <v>43</v>
      </c>
      <c r="N658" s="484"/>
      <c r="O658" s="484"/>
      <c r="P658" s="482" t="s">
        <v>757</v>
      </c>
      <c r="Q658" s="484" t="s">
        <v>758</v>
      </c>
      <c r="R658" s="490"/>
      <c r="S658" s="491"/>
      <c r="T658" s="507">
        <v>42788</v>
      </c>
      <c r="U658" s="492"/>
      <c r="V658" s="482"/>
      <c r="W658" s="482"/>
    </row>
    <row r="659" spans="1:23" s="68" customFormat="1" ht="14.25" customHeight="1">
      <c r="A659" s="491" t="s">
        <v>36</v>
      </c>
      <c r="B659" s="490" t="s">
        <v>1135</v>
      </c>
      <c r="C659" s="491" t="s">
        <v>1976</v>
      </c>
      <c r="D659" s="432"/>
      <c r="E659" s="484"/>
      <c r="F659" s="484"/>
      <c r="G659" s="484"/>
      <c r="H659" s="484"/>
      <c r="I659" s="484"/>
      <c r="J659" s="484" t="s">
        <v>1460</v>
      </c>
      <c r="K659" s="484" t="s">
        <v>42</v>
      </c>
      <c r="L659" s="484" t="s">
        <v>772</v>
      </c>
      <c r="M659" s="484"/>
      <c r="N659" s="484"/>
      <c r="O659" s="484"/>
      <c r="P659" s="484" t="s">
        <v>1974</v>
      </c>
      <c r="Q659" s="484" t="s">
        <v>1930</v>
      </c>
      <c r="R659" s="495"/>
      <c r="S659" s="491"/>
      <c r="T659" s="507">
        <v>43285</v>
      </c>
      <c r="U659" s="492" t="s">
        <v>1981</v>
      </c>
      <c r="V659" s="484"/>
      <c r="W659" s="482"/>
    </row>
    <row r="660" spans="1:23" s="68" customFormat="1" ht="14.25" customHeight="1">
      <c r="A660" s="491" t="s">
        <v>36</v>
      </c>
      <c r="B660" s="490" t="s">
        <v>1135</v>
      </c>
      <c r="C660" s="491" t="s">
        <v>1977</v>
      </c>
      <c r="D660" s="485"/>
      <c r="E660" s="396"/>
      <c r="F660" s="482"/>
      <c r="G660" s="396"/>
      <c r="H660" s="396"/>
      <c r="I660" s="396"/>
      <c r="J660" s="396" t="s">
        <v>1460</v>
      </c>
      <c r="K660" s="484" t="s">
        <v>42</v>
      </c>
      <c r="L660" s="484" t="s">
        <v>772</v>
      </c>
      <c r="M660" s="396"/>
      <c r="N660" s="482"/>
      <c r="O660" s="482"/>
      <c r="P660" s="482" t="s">
        <v>1974</v>
      </c>
      <c r="Q660" s="396" t="s">
        <v>1930</v>
      </c>
      <c r="R660" s="494"/>
      <c r="S660" s="487"/>
      <c r="T660" s="412">
        <v>43285</v>
      </c>
      <c r="U660" s="492" t="s">
        <v>1981</v>
      </c>
      <c r="V660" s="396"/>
      <c r="W660" s="482"/>
    </row>
    <row r="661" spans="1:23" s="68" customFormat="1" ht="14.25" customHeight="1">
      <c r="A661" s="482" t="s">
        <v>36</v>
      </c>
      <c r="B661" s="484" t="s">
        <v>1135</v>
      </c>
      <c r="C661" s="484" t="s">
        <v>2230</v>
      </c>
      <c r="D661" s="431" t="s">
        <v>2817</v>
      </c>
      <c r="E661" s="68" t="s">
        <v>1627</v>
      </c>
      <c r="F661" s="482" t="s">
        <v>1135</v>
      </c>
      <c r="G661" s="68">
        <v>0</v>
      </c>
      <c r="H661" s="68" t="s">
        <v>40</v>
      </c>
      <c r="I661" s="68" t="s">
        <v>1325</v>
      </c>
      <c r="J661" s="68" t="s">
        <v>42</v>
      </c>
      <c r="K661" s="68" t="s">
        <v>42</v>
      </c>
      <c r="L661" s="484" t="s">
        <v>42</v>
      </c>
      <c r="M661" s="68" t="s">
        <v>43</v>
      </c>
      <c r="N661" s="482">
        <v>0</v>
      </c>
      <c r="O661" s="482">
        <v>0</v>
      </c>
      <c r="P661" s="68" t="s">
        <v>757</v>
      </c>
      <c r="Q661" s="68" t="s">
        <v>922</v>
      </c>
      <c r="R661" s="486">
        <v>145</v>
      </c>
      <c r="S661" s="486">
        <v>644</v>
      </c>
      <c r="T661" s="101">
        <v>43444</v>
      </c>
      <c r="U661" s="169" t="s">
        <v>2229</v>
      </c>
      <c r="V661" s="68" t="s">
        <v>1139</v>
      </c>
      <c r="W661" s="391" t="s">
        <v>2229</v>
      </c>
    </row>
    <row r="662" spans="1:23" s="68" customFormat="1" ht="14.25" customHeight="1">
      <c r="A662" s="482" t="s">
        <v>36</v>
      </c>
      <c r="B662" s="484" t="s">
        <v>1135</v>
      </c>
      <c r="C662" s="484" t="s">
        <v>1967</v>
      </c>
      <c r="D662" s="431" t="s">
        <v>2232</v>
      </c>
      <c r="E662" s="482" t="s">
        <v>1624</v>
      </c>
      <c r="F662" s="482" t="s">
        <v>1135</v>
      </c>
      <c r="G662" s="482">
        <v>0</v>
      </c>
      <c r="H662" s="482"/>
      <c r="I662" s="482" t="s">
        <v>2116</v>
      </c>
      <c r="J662" s="68" t="s">
        <v>42</v>
      </c>
      <c r="K662" s="482" t="s">
        <v>42</v>
      </c>
      <c r="L662" s="482" t="s">
        <v>756</v>
      </c>
      <c r="M662" s="68" t="s">
        <v>43</v>
      </c>
      <c r="P662" s="482" t="s">
        <v>757</v>
      </c>
      <c r="Q662" s="68" t="s">
        <v>922</v>
      </c>
      <c r="R662" s="486"/>
      <c r="S662" s="486"/>
      <c r="T662" s="101">
        <v>43444</v>
      </c>
      <c r="U662" s="488" t="s">
        <v>2663</v>
      </c>
      <c r="V662" s="482"/>
      <c r="W662" s="482" t="s">
        <v>2231</v>
      </c>
    </row>
    <row r="663" spans="1:23" s="68" customFormat="1" ht="14.25" customHeight="1">
      <c r="A663" s="482" t="s">
        <v>36</v>
      </c>
      <c r="B663" s="484" t="s">
        <v>1135</v>
      </c>
      <c r="C663" s="484" t="s">
        <v>1137</v>
      </c>
      <c r="D663" s="431" t="s">
        <v>2817</v>
      </c>
      <c r="E663" s="482" t="s">
        <v>1625</v>
      </c>
      <c r="F663" s="482" t="s">
        <v>1135</v>
      </c>
      <c r="G663" s="482">
        <v>0</v>
      </c>
      <c r="H663" s="396" t="s">
        <v>40</v>
      </c>
      <c r="I663" s="396" t="s">
        <v>1325</v>
      </c>
      <c r="J663" s="396" t="s">
        <v>42</v>
      </c>
      <c r="K663" s="482" t="s">
        <v>42</v>
      </c>
      <c r="L663" s="484" t="s">
        <v>42</v>
      </c>
      <c r="M663" s="68" t="s">
        <v>43</v>
      </c>
      <c r="N663" s="396">
        <v>0</v>
      </c>
      <c r="O663" s="68">
        <v>0</v>
      </c>
      <c r="P663" s="482" t="s">
        <v>757</v>
      </c>
      <c r="Q663" s="396" t="s">
        <v>922</v>
      </c>
      <c r="R663" s="399">
        <v>34</v>
      </c>
      <c r="S663" s="486">
        <v>147</v>
      </c>
      <c r="T663" s="412">
        <v>42983</v>
      </c>
      <c r="U663" s="488" t="s">
        <v>1136</v>
      </c>
      <c r="V663" s="482"/>
      <c r="W663" s="391" t="s">
        <v>2261</v>
      </c>
    </row>
    <row r="664" spans="1:23" s="68" customFormat="1" ht="14.25" customHeight="1">
      <c r="A664" s="482" t="s">
        <v>36</v>
      </c>
      <c r="B664" s="484" t="s">
        <v>1135</v>
      </c>
      <c r="C664" s="484" t="s">
        <v>2112</v>
      </c>
      <c r="D664" s="431" t="s">
        <v>2817</v>
      </c>
      <c r="E664" s="396" t="s">
        <v>1626</v>
      </c>
      <c r="F664" s="482" t="s">
        <v>1135</v>
      </c>
      <c r="G664" s="396">
        <v>0</v>
      </c>
      <c r="H664" s="396" t="s">
        <v>40</v>
      </c>
      <c r="I664" s="396" t="s">
        <v>2661</v>
      </c>
      <c r="J664" s="396" t="s">
        <v>42</v>
      </c>
      <c r="K664" s="396" t="s">
        <v>42</v>
      </c>
      <c r="L664" s="396" t="s">
        <v>42</v>
      </c>
      <c r="M664" s="68" t="s">
        <v>43</v>
      </c>
      <c r="N664" s="396">
        <v>0</v>
      </c>
      <c r="O664" s="68">
        <v>0</v>
      </c>
      <c r="P664" s="68" t="s">
        <v>757</v>
      </c>
      <c r="Q664" s="396" t="s">
        <v>922</v>
      </c>
      <c r="R664" s="486">
        <v>97</v>
      </c>
      <c r="S664" s="486">
        <v>365</v>
      </c>
      <c r="T664" s="412">
        <v>42983</v>
      </c>
      <c r="U664" s="401" t="s">
        <v>1138</v>
      </c>
      <c r="W664" s="391" t="s">
        <v>2262</v>
      </c>
    </row>
    <row r="665" spans="1:23" s="68" customFormat="1" ht="14.25" customHeight="1">
      <c r="A665" s="491" t="s">
        <v>36</v>
      </c>
      <c r="B665" s="490" t="s">
        <v>1135</v>
      </c>
      <c r="C665" s="484" t="s">
        <v>1939</v>
      </c>
      <c r="D665" s="485"/>
      <c r="E665" s="482"/>
      <c r="F665" s="482"/>
      <c r="G665" s="482"/>
      <c r="H665" s="482"/>
      <c r="I665" s="482"/>
      <c r="J665" s="68" t="s">
        <v>1460</v>
      </c>
      <c r="K665" s="68" t="s">
        <v>42</v>
      </c>
      <c r="L665" s="396" t="s">
        <v>42</v>
      </c>
      <c r="M665" s="68" t="s">
        <v>43</v>
      </c>
      <c r="N665" s="482"/>
      <c r="O665" s="482"/>
      <c r="P665" s="68" t="s">
        <v>757</v>
      </c>
      <c r="Q665" s="68" t="s">
        <v>1930</v>
      </c>
      <c r="R665" s="494"/>
      <c r="S665" s="487"/>
      <c r="T665" s="101">
        <v>43270</v>
      </c>
      <c r="U665" s="488"/>
      <c r="V665" s="482"/>
      <c r="W665" s="482"/>
    </row>
    <row r="666" spans="1:23" s="68" customFormat="1" ht="14.25" customHeight="1">
      <c r="A666" s="482" t="s">
        <v>36</v>
      </c>
      <c r="B666" s="482" t="s">
        <v>132</v>
      </c>
      <c r="C666" s="482" t="s">
        <v>226</v>
      </c>
      <c r="D666" s="431" t="s">
        <v>2817</v>
      </c>
      <c r="E666" s="482" t="s">
        <v>1526</v>
      </c>
      <c r="F666" s="482" t="s">
        <v>1804</v>
      </c>
      <c r="G666" s="482" t="s">
        <v>1802</v>
      </c>
      <c r="H666" s="482" t="s">
        <v>40</v>
      </c>
      <c r="I666" s="482" t="s">
        <v>1325</v>
      </c>
      <c r="J666" s="68" t="s">
        <v>42</v>
      </c>
      <c r="K666" s="68" t="s">
        <v>42</v>
      </c>
      <c r="L666" s="68" t="s">
        <v>42</v>
      </c>
      <c r="M666" s="68" t="s">
        <v>774</v>
      </c>
      <c r="N666" s="482">
        <v>25.220278</v>
      </c>
      <c r="O666" s="482">
        <v>97.915833000000006</v>
      </c>
      <c r="P666" s="482" t="s">
        <v>757</v>
      </c>
      <c r="Q666" s="68" t="s">
        <v>776</v>
      </c>
      <c r="R666" s="486">
        <v>117</v>
      </c>
      <c r="S666" s="486">
        <v>421</v>
      </c>
      <c r="T666" s="101"/>
      <c r="U666" s="488"/>
      <c r="V666" s="482" t="s">
        <v>226</v>
      </c>
      <c r="W666" s="482"/>
    </row>
    <row r="667" spans="1:23" s="68" customFormat="1" ht="14.25" customHeight="1">
      <c r="A667" s="482" t="s">
        <v>36</v>
      </c>
      <c r="B667" s="482" t="s">
        <v>132</v>
      </c>
      <c r="C667" s="482" t="s">
        <v>209</v>
      </c>
      <c r="D667" s="431" t="s">
        <v>1656</v>
      </c>
      <c r="E667" s="482"/>
      <c r="H667" s="482"/>
      <c r="I667" s="482"/>
      <c r="J667" s="68" t="s">
        <v>1460</v>
      </c>
      <c r="K667" s="68" t="s">
        <v>42</v>
      </c>
      <c r="L667" s="482" t="s">
        <v>1023</v>
      </c>
      <c r="M667" s="68" t="s">
        <v>774</v>
      </c>
      <c r="P667" s="482" t="s">
        <v>757</v>
      </c>
      <c r="Q667" s="68" t="s">
        <v>776</v>
      </c>
      <c r="R667" s="399"/>
      <c r="S667" s="487"/>
      <c r="T667" s="101"/>
      <c r="U667" s="488" t="s">
        <v>1091</v>
      </c>
      <c r="V667" s="482" t="s">
        <v>209</v>
      </c>
      <c r="W667" s="482"/>
    </row>
    <row r="668" spans="1:23" s="68" customFormat="1" ht="14.25" customHeight="1">
      <c r="A668" s="716" t="s">
        <v>36</v>
      </c>
      <c r="B668" s="720" t="s">
        <v>132</v>
      </c>
      <c r="C668" s="722" t="s">
        <v>3187</v>
      </c>
      <c r="D668" s="485"/>
      <c r="E668" s="717"/>
      <c r="F668" s="717"/>
      <c r="G668" s="717"/>
      <c r="H668" s="717"/>
      <c r="I668" s="717"/>
      <c r="J668" s="659" t="s">
        <v>794</v>
      </c>
      <c r="K668" s="659" t="s">
        <v>794</v>
      </c>
      <c r="L668" s="659" t="s">
        <v>794</v>
      </c>
      <c r="M668" s="717"/>
      <c r="N668" s="717"/>
      <c r="O668" s="717"/>
      <c r="P668" s="717" t="s">
        <v>795</v>
      </c>
      <c r="Q668" s="717" t="s">
        <v>3197</v>
      </c>
      <c r="R668" s="718"/>
      <c r="S668" s="716"/>
      <c r="T668" s="719">
        <v>43936</v>
      </c>
      <c r="U668" s="718"/>
      <c r="V668" s="717"/>
      <c r="W668" s="486"/>
    </row>
    <row r="669" spans="1:23" s="68" customFormat="1" ht="14.25" customHeight="1">
      <c r="A669" s="716" t="s">
        <v>36</v>
      </c>
      <c r="B669" s="720" t="s">
        <v>132</v>
      </c>
      <c r="C669" s="722" t="s">
        <v>3195</v>
      </c>
      <c r="D669" s="485"/>
      <c r="E669" s="717"/>
      <c r="F669" s="717"/>
      <c r="G669" s="717"/>
      <c r="H669" s="717"/>
      <c r="I669" s="717"/>
      <c r="J669" s="659" t="s">
        <v>794</v>
      </c>
      <c r="K669" s="659" t="s">
        <v>794</v>
      </c>
      <c r="L669" s="659" t="s">
        <v>794</v>
      </c>
      <c r="M669" s="717"/>
      <c r="N669" s="717"/>
      <c r="O669" s="717"/>
      <c r="P669" s="717" t="s">
        <v>795</v>
      </c>
      <c r="Q669" s="717" t="s">
        <v>3197</v>
      </c>
      <c r="R669" s="718"/>
      <c r="S669" s="716"/>
      <c r="T669" s="719">
        <v>43936</v>
      </c>
      <c r="U669" s="718"/>
      <c r="V669" s="717"/>
      <c r="W669" s="486"/>
    </row>
    <row r="670" spans="1:23" s="68" customFormat="1" ht="14.25" customHeight="1">
      <c r="A670" s="396" t="s">
        <v>36</v>
      </c>
      <c r="B670" s="482" t="s">
        <v>132</v>
      </c>
      <c r="C670" s="482" t="s">
        <v>210</v>
      </c>
      <c r="D670" s="431" t="s">
        <v>1656</v>
      </c>
      <c r="J670" s="68" t="s">
        <v>1460</v>
      </c>
      <c r="K670" s="68" t="s">
        <v>42</v>
      </c>
      <c r="L670" s="68" t="s">
        <v>1023</v>
      </c>
      <c r="M670" s="68" t="s">
        <v>774</v>
      </c>
      <c r="P670" s="68" t="s">
        <v>757</v>
      </c>
      <c r="Q670" s="68" t="s">
        <v>776</v>
      </c>
      <c r="R670" s="399"/>
      <c r="S670" s="487"/>
      <c r="T670" s="101"/>
      <c r="U670" s="97" t="s">
        <v>1091</v>
      </c>
      <c r="V670" s="68" t="s">
        <v>210</v>
      </c>
      <c r="W670" s="482"/>
    </row>
    <row r="671" spans="1:23" s="68" customFormat="1" ht="14.25" customHeight="1">
      <c r="A671" s="482" t="s">
        <v>36</v>
      </c>
      <c r="B671" s="482" t="s">
        <v>132</v>
      </c>
      <c r="C671" s="482" t="s">
        <v>1039</v>
      </c>
      <c r="D671" s="431" t="s">
        <v>2817</v>
      </c>
      <c r="E671" s="482" t="s">
        <v>1533</v>
      </c>
      <c r="F671" s="482" t="s">
        <v>1868</v>
      </c>
      <c r="G671" s="482" t="s">
        <v>1869</v>
      </c>
      <c r="H671" s="482"/>
      <c r="I671" s="484" t="s">
        <v>2116</v>
      </c>
      <c r="J671" s="68" t="s">
        <v>42</v>
      </c>
      <c r="K671" s="68" t="s">
        <v>42</v>
      </c>
      <c r="L671" s="68" t="s">
        <v>772</v>
      </c>
      <c r="M671" s="482" t="s">
        <v>43</v>
      </c>
      <c r="N671" s="482">
        <v>25.305008999999998</v>
      </c>
      <c r="O671" s="482">
        <v>97.430321000000006</v>
      </c>
      <c r="P671" s="482" t="s">
        <v>757</v>
      </c>
      <c r="Q671" s="482" t="s">
        <v>798</v>
      </c>
      <c r="R671" s="486">
        <v>62</v>
      </c>
      <c r="S671" s="486">
        <v>410</v>
      </c>
      <c r="T671" s="506">
        <v>42916</v>
      </c>
      <c r="U671" s="488" t="s">
        <v>1040</v>
      </c>
      <c r="V671" s="482"/>
      <c r="W671" s="482"/>
    </row>
    <row r="672" spans="1:23" s="68" customFormat="1" ht="14.25" customHeight="1">
      <c r="A672" s="716" t="s">
        <v>36</v>
      </c>
      <c r="B672" s="720" t="s">
        <v>132</v>
      </c>
      <c r="C672" s="722" t="s">
        <v>3191</v>
      </c>
      <c r="D672" s="485"/>
      <c r="E672" s="717"/>
      <c r="F672" s="717"/>
      <c r="G672" s="717"/>
      <c r="H672" s="717"/>
      <c r="I672" s="717"/>
      <c r="J672" s="659" t="s">
        <v>794</v>
      </c>
      <c r="K672" s="659" t="s">
        <v>794</v>
      </c>
      <c r="L672" s="659" t="s">
        <v>794</v>
      </c>
      <c r="M672" s="717"/>
      <c r="N672" s="717"/>
      <c r="O672" s="717"/>
      <c r="P672" s="717" t="s">
        <v>795</v>
      </c>
      <c r="Q672" s="717" t="s">
        <v>3197</v>
      </c>
      <c r="R672" s="718"/>
      <c r="S672" s="716"/>
      <c r="T672" s="719">
        <v>43936</v>
      </c>
      <c r="U672" s="718"/>
      <c r="V672" s="717"/>
      <c r="W672" s="486"/>
    </row>
    <row r="673" spans="1:23" s="68" customFormat="1" ht="14.25" customHeight="1">
      <c r="A673" s="482" t="s">
        <v>36</v>
      </c>
      <c r="B673" s="482" t="s">
        <v>132</v>
      </c>
      <c r="C673" s="482" t="s">
        <v>258</v>
      </c>
      <c r="D673" s="431" t="s">
        <v>2817</v>
      </c>
      <c r="E673" s="482" t="s">
        <v>1535</v>
      </c>
      <c r="F673" s="482" t="s">
        <v>1809</v>
      </c>
      <c r="G673" s="482" t="s">
        <v>1809</v>
      </c>
      <c r="H673" s="482" t="s">
        <v>40</v>
      </c>
      <c r="I673" s="482" t="s">
        <v>232</v>
      </c>
      <c r="J673" s="68" t="s">
        <v>42</v>
      </c>
      <c r="K673" s="68" t="s">
        <v>42</v>
      </c>
      <c r="L673" s="68" t="s">
        <v>42</v>
      </c>
      <c r="M673" s="482" t="s">
        <v>43</v>
      </c>
      <c r="N673" s="482">
        <v>25.321710740740698</v>
      </c>
      <c r="O673" s="482">
        <v>97.404195925926004</v>
      </c>
      <c r="P673" s="482" t="s">
        <v>757</v>
      </c>
      <c r="Q673" s="482" t="s">
        <v>776</v>
      </c>
      <c r="R673" s="486">
        <v>92</v>
      </c>
      <c r="S673" s="486">
        <v>448</v>
      </c>
      <c r="T673" s="506"/>
      <c r="U673" s="488"/>
      <c r="V673" s="482" t="s">
        <v>258</v>
      </c>
      <c r="W673" s="482"/>
    </row>
    <row r="674" spans="1:23" s="68" customFormat="1" ht="14.25" customHeight="1">
      <c r="A674" s="482" t="s">
        <v>36</v>
      </c>
      <c r="B674" s="482" t="s">
        <v>132</v>
      </c>
      <c r="C674" s="482" t="s">
        <v>165</v>
      </c>
      <c r="D674" s="431" t="s">
        <v>2817</v>
      </c>
      <c r="E674" s="482" t="s">
        <v>1525</v>
      </c>
      <c r="F674" s="482" t="s">
        <v>1802</v>
      </c>
      <c r="G674" s="482" t="s">
        <v>1803</v>
      </c>
      <c r="H674" s="482" t="s">
        <v>40</v>
      </c>
      <c r="I674" s="482" t="s">
        <v>2661</v>
      </c>
      <c r="J674" s="396" t="s">
        <v>42</v>
      </c>
      <c r="K674" s="396" t="s">
        <v>42</v>
      </c>
      <c r="L674" s="396" t="s">
        <v>42</v>
      </c>
      <c r="M674" s="482" t="s">
        <v>774</v>
      </c>
      <c r="N674" s="482">
        <v>25.200333000000001</v>
      </c>
      <c r="O674" s="482">
        <v>97.807182999999995</v>
      </c>
      <c r="P674" s="396" t="s">
        <v>757</v>
      </c>
      <c r="Q674" s="396" t="s">
        <v>776</v>
      </c>
      <c r="R674" s="486">
        <v>136</v>
      </c>
      <c r="S674" s="486">
        <v>985</v>
      </c>
      <c r="T674" s="412"/>
      <c r="U674" s="488"/>
      <c r="V674" s="482" t="s">
        <v>165</v>
      </c>
      <c r="W674" s="482"/>
    </row>
    <row r="675" spans="1:23" s="68" customFormat="1" ht="14.25" customHeight="1">
      <c r="A675" s="716" t="s">
        <v>36</v>
      </c>
      <c r="B675" s="720" t="s">
        <v>132</v>
      </c>
      <c r="C675" s="722" t="s">
        <v>3181</v>
      </c>
      <c r="D675" s="485"/>
      <c r="E675" s="717"/>
      <c r="F675" s="717"/>
      <c r="G675" s="717"/>
      <c r="H675" s="717"/>
      <c r="I675" s="717"/>
      <c r="J675" s="659" t="s">
        <v>794</v>
      </c>
      <c r="K675" s="659" t="s">
        <v>794</v>
      </c>
      <c r="L675" s="659" t="s">
        <v>794</v>
      </c>
      <c r="M675" s="717"/>
      <c r="N675" s="717"/>
      <c r="O675" s="717"/>
      <c r="P675" s="717" t="s">
        <v>795</v>
      </c>
      <c r="Q675" s="717" t="s">
        <v>3197</v>
      </c>
      <c r="R675" s="718"/>
      <c r="S675" s="716"/>
      <c r="T675" s="719">
        <v>43936</v>
      </c>
      <c r="U675" s="718"/>
      <c r="V675" s="717"/>
      <c r="W675" s="486"/>
    </row>
    <row r="676" spans="1:23" s="68" customFormat="1" ht="14.25" customHeight="1">
      <c r="A676" s="482" t="s">
        <v>36</v>
      </c>
      <c r="B676" s="482" t="s">
        <v>132</v>
      </c>
      <c r="C676" s="482" t="s">
        <v>214</v>
      </c>
      <c r="D676" s="431" t="s">
        <v>2817</v>
      </c>
      <c r="E676" s="68" t="s">
        <v>1513</v>
      </c>
      <c r="F676" s="68" t="s">
        <v>1709</v>
      </c>
      <c r="G676" s="68">
        <v>0</v>
      </c>
      <c r="I676" s="484" t="s">
        <v>2116</v>
      </c>
      <c r="J676" s="68" t="s">
        <v>42</v>
      </c>
      <c r="K676" s="68" t="s">
        <v>42</v>
      </c>
      <c r="L676" s="68" t="s">
        <v>1023</v>
      </c>
      <c r="M676" s="68" t="s">
        <v>774</v>
      </c>
      <c r="N676" s="482">
        <v>24.752471</v>
      </c>
      <c r="O676" s="482">
        <v>97.541793999999996</v>
      </c>
      <c r="P676" s="68" t="s">
        <v>757</v>
      </c>
      <c r="Q676" s="68" t="s">
        <v>758</v>
      </c>
      <c r="R676" s="486">
        <v>0</v>
      </c>
      <c r="S676" s="486">
        <v>872</v>
      </c>
      <c r="T676" s="101"/>
      <c r="U676" s="488"/>
      <c r="V676" s="68" t="s">
        <v>214</v>
      </c>
      <c r="W676" s="482"/>
    </row>
    <row r="677" spans="1:23" s="68" customFormat="1" ht="14.25" customHeight="1">
      <c r="A677" s="716" t="s">
        <v>36</v>
      </c>
      <c r="B677" s="720" t="s">
        <v>132</v>
      </c>
      <c r="C677" s="722" t="s">
        <v>3182</v>
      </c>
      <c r="D677" s="485"/>
      <c r="E677" s="717"/>
      <c r="F677" s="717"/>
      <c r="G677" s="717"/>
      <c r="H677" s="717"/>
      <c r="I677" s="717"/>
      <c r="J677" s="659" t="s">
        <v>794</v>
      </c>
      <c r="K677" s="659" t="s">
        <v>794</v>
      </c>
      <c r="L677" s="659" t="s">
        <v>794</v>
      </c>
      <c r="M677" s="717"/>
      <c r="N677" s="717"/>
      <c r="O677" s="717"/>
      <c r="P677" s="717" t="s">
        <v>795</v>
      </c>
      <c r="Q677" s="717" t="s">
        <v>3197</v>
      </c>
      <c r="R677" s="718"/>
      <c r="S677" s="716"/>
      <c r="T677" s="719">
        <v>43936</v>
      </c>
      <c r="U677" s="718"/>
      <c r="V677" s="717"/>
      <c r="W677" s="486"/>
    </row>
    <row r="678" spans="1:23" s="68" customFormat="1" ht="14.25" customHeight="1">
      <c r="A678" s="716" t="s">
        <v>36</v>
      </c>
      <c r="B678" s="720" t="s">
        <v>132</v>
      </c>
      <c r="C678" s="722" t="s">
        <v>3184</v>
      </c>
      <c r="D678" s="485"/>
      <c r="E678" s="717"/>
      <c r="F678" s="717"/>
      <c r="G678" s="717"/>
      <c r="H678" s="717"/>
      <c r="I678" s="717"/>
      <c r="J678" s="659" t="s">
        <v>794</v>
      </c>
      <c r="K678" s="659" t="s">
        <v>794</v>
      </c>
      <c r="L678" s="659" t="s">
        <v>794</v>
      </c>
      <c r="M678" s="717"/>
      <c r="N678" s="717"/>
      <c r="O678" s="717"/>
      <c r="P678" s="717" t="s">
        <v>795</v>
      </c>
      <c r="Q678" s="717" t="s">
        <v>3197</v>
      </c>
      <c r="R678" s="718"/>
      <c r="S678" s="716"/>
      <c r="T678" s="719">
        <v>43936</v>
      </c>
      <c r="U678" s="718"/>
      <c r="V678" s="717"/>
      <c r="W678" s="486"/>
    </row>
    <row r="679" spans="1:23" s="68" customFormat="1" ht="14.25" customHeight="1">
      <c r="A679" s="716" t="s">
        <v>36</v>
      </c>
      <c r="B679" s="720" t="s">
        <v>132</v>
      </c>
      <c r="C679" s="722" t="s">
        <v>1869</v>
      </c>
      <c r="D679" s="485"/>
      <c r="E679" s="717"/>
      <c r="F679" s="717"/>
      <c r="G679" s="717"/>
      <c r="H679" s="717"/>
      <c r="I679" s="717"/>
      <c r="J679" s="659" t="s">
        <v>794</v>
      </c>
      <c r="K679" s="659" t="s">
        <v>794</v>
      </c>
      <c r="L679" s="659" t="s">
        <v>794</v>
      </c>
      <c r="M679" s="717"/>
      <c r="N679" s="717"/>
      <c r="O679" s="717"/>
      <c r="P679" s="717" t="s">
        <v>795</v>
      </c>
      <c r="Q679" s="717" t="s">
        <v>3197</v>
      </c>
      <c r="R679" s="718"/>
      <c r="S679" s="716"/>
      <c r="T679" s="719">
        <v>43936</v>
      </c>
      <c r="U679" s="718"/>
      <c r="V679" s="717"/>
      <c r="W679" s="486"/>
    </row>
    <row r="680" spans="1:23" s="68" customFormat="1" ht="14.25" customHeight="1">
      <c r="A680" s="716" t="s">
        <v>36</v>
      </c>
      <c r="B680" s="720" t="s">
        <v>132</v>
      </c>
      <c r="C680" s="722" t="s">
        <v>3190</v>
      </c>
      <c r="D680" s="485"/>
      <c r="E680" s="717"/>
      <c r="F680" s="717"/>
      <c r="G680" s="717"/>
      <c r="H680" s="717"/>
      <c r="I680" s="717"/>
      <c r="J680" s="659" t="s">
        <v>794</v>
      </c>
      <c r="K680" s="659" t="s">
        <v>794</v>
      </c>
      <c r="L680" s="659" t="s">
        <v>794</v>
      </c>
      <c r="M680" s="717"/>
      <c r="N680" s="717"/>
      <c r="O680" s="717"/>
      <c r="P680" s="717" t="s">
        <v>795</v>
      </c>
      <c r="Q680" s="717" t="s">
        <v>3197</v>
      </c>
      <c r="R680" s="718"/>
      <c r="S680" s="716"/>
      <c r="T680" s="719">
        <v>43936</v>
      </c>
      <c r="U680" s="718"/>
      <c r="V680" s="717"/>
      <c r="W680" s="486"/>
    </row>
    <row r="681" spans="1:23" s="68" customFormat="1" ht="14.25" customHeight="1">
      <c r="A681" s="482" t="s">
        <v>36</v>
      </c>
      <c r="B681" s="482" t="s">
        <v>132</v>
      </c>
      <c r="C681" s="482" t="s">
        <v>1021</v>
      </c>
      <c r="D681" s="431" t="s">
        <v>1657</v>
      </c>
      <c r="E681" s="396" t="s">
        <v>1512</v>
      </c>
      <c r="F681" s="396" t="s">
        <v>1709</v>
      </c>
      <c r="G681" s="396" t="s">
        <v>1709</v>
      </c>
      <c r="H681" s="396" t="s">
        <v>40</v>
      </c>
      <c r="I681" s="396" t="s">
        <v>1325</v>
      </c>
      <c r="J681" s="396" t="s">
        <v>42</v>
      </c>
      <c r="K681" s="396" t="s">
        <v>42</v>
      </c>
      <c r="L681" s="396" t="s">
        <v>756</v>
      </c>
      <c r="M681" s="396" t="s">
        <v>774</v>
      </c>
      <c r="N681" s="482">
        <v>24.747212999999999</v>
      </c>
      <c r="O681" s="482">
        <v>97.551507000000001</v>
      </c>
      <c r="P681" s="482" t="s">
        <v>757</v>
      </c>
      <c r="Q681" s="396"/>
      <c r="R681" s="486"/>
      <c r="S681" s="487"/>
      <c r="T681" s="412"/>
      <c r="U681" s="488"/>
      <c r="V681" s="396" t="s">
        <v>1022</v>
      </c>
      <c r="W681" s="391" t="s">
        <v>2162</v>
      </c>
    </row>
    <row r="682" spans="1:23" s="68" customFormat="1" ht="14.25" customHeight="1">
      <c r="A682" s="482" t="s">
        <v>36</v>
      </c>
      <c r="B682" s="482" t="s">
        <v>132</v>
      </c>
      <c r="C682" s="482" t="s">
        <v>1035</v>
      </c>
      <c r="D682" s="431" t="s">
        <v>1656</v>
      </c>
      <c r="E682" s="482" t="s">
        <v>1524</v>
      </c>
      <c r="F682" s="482"/>
      <c r="G682" s="396"/>
      <c r="H682" s="396"/>
      <c r="I682" s="396"/>
      <c r="J682" s="396" t="s">
        <v>42</v>
      </c>
      <c r="K682" s="396" t="s">
        <v>42</v>
      </c>
      <c r="L682" s="396" t="s">
        <v>756</v>
      </c>
      <c r="M682" s="482" t="s">
        <v>774</v>
      </c>
      <c r="N682" s="482">
        <v>25.108011999999999</v>
      </c>
      <c r="O682" s="482">
        <v>97.718008999999995</v>
      </c>
      <c r="P682" s="396" t="s">
        <v>757</v>
      </c>
      <c r="Q682" s="396"/>
      <c r="R682" s="486"/>
      <c r="S682" s="487"/>
      <c r="T682" s="412"/>
      <c r="U682" s="488"/>
      <c r="V682" s="396" t="s">
        <v>1035</v>
      </c>
      <c r="W682" s="482"/>
    </row>
    <row r="683" spans="1:23" s="68" customFormat="1" ht="14.25" customHeight="1">
      <c r="A683" s="716" t="s">
        <v>36</v>
      </c>
      <c r="B683" s="720" t="s">
        <v>132</v>
      </c>
      <c r="C683" s="722" t="s">
        <v>3189</v>
      </c>
      <c r="D683" s="485"/>
      <c r="E683" s="717"/>
      <c r="F683" s="717"/>
      <c r="G683" s="717"/>
      <c r="H683" s="717"/>
      <c r="I683" s="717"/>
      <c r="J683" s="659" t="s">
        <v>794</v>
      </c>
      <c r="K683" s="659" t="s">
        <v>794</v>
      </c>
      <c r="L683" s="659" t="s">
        <v>794</v>
      </c>
      <c r="M683" s="717"/>
      <c r="N683" s="717"/>
      <c r="O683" s="717"/>
      <c r="P683" s="717" t="s">
        <v>795</v>
      </c>
      <c r="Q683" s="717" t="s">
        <v>3197</v>
      </c>
      <c r="R683" s="718"/>
      <c r="S683" s="716"/>
      <c r="T683" s="719">
        <v>43936</v>
      </c>
      <c r="U683" s="718"/>
      <c r="V683" s="717"/>
      <c r="W683" s="486"/>
    </row>
    <row r="684" spans="1:23" s="68" customFormat="1" ht="14.25" customHeight="1">
      <c r="A684" s="482" t="s">
        <v>36</v>
      </c>
      <c r="B684" s="482" t="s">
        <v>132</v>
      </c>
      <c r="C684" s="482" t="s">
        <v>166</v>
      </c>
      <c r="D684" s="431" t="s">
        <v>2817</v>
      </c>
      <c r="E684" s="68" t="s">
        <v>1545</v>
      </c>
      <c r="F684" s="68" t="s">
        <v>1814</v>
      </c>
      <c r="G684" s="68" t="s">
        <v>1815</v>
      </c>
      <c r="H684" s="68" t="s">
        <v>40</v>
      </c>
      <c r="I684" s="68" t="s">
        <v>2661</v>
      </c>
      <c r="J684" s="68" t="s">
        <v>42</v>
      </c>
      <c r="K684" s="68" t="s">
        <v>42</v>
      </c>
      <c r="L684" s="68" t="s">
        <v>42</v>
      </c>
      <c r="M684" s="68" t="s">
        <v>43</v>
      </c>
      <c r="N684" s="68">
        <v>25.356632000000001</v>
      </c>
      <c r="O684" s="68">
        <v>97.451965000000001</v>
      </c>
      <c r="P684" s="68" t="s">
        <v>757</v>
      </c>
      <c r="Q684" s="68" t="s">
        <v>776</v>
      </c>
      <c r="R684" s="486">
        <v>32</v>
      </c>
      <c r="S684" s="486">
        <v>196</v>
      </c>
      <c r="T684" s="101"/>
      <c r="U684" s="488"/>
      <c r="V684" s="482" t="s">
        <v>166</v>
      </c>
      <c r="W684" s="482"/>
    </row>
    <row r="685" spans="1:23" s="482" customFormat="1" ht="14.25" customHeight="1">
      <c r="A685" s="482" t="s">
        <v>36</v>
      </c>
      <c r="B685" s="482" t="s">
        <v>132</v>
      </c>
      <c r="C685" s="482" t="s">
        <v>167</v>
      </c>
      <c r="D685" s="431" t="s">
        <v>2817</v>
      </c>
      <c r="E685" s="482" t="s">
        <v>1519</v>
      </c>
      <c r="F685" s="482" t="s">
        <v>1799</v>
      </c>
      <c r="G685" s="482" t="s">
        <v>1801</v>
      </c>
      <c r="H685" s="482" t="s">
        <v>40</v>
      </c>
      <c r="I685" s="482" t="s">
        <v>1325</v>
      </c>
      <c r="J685" s="482" t="s">
        <v>42</v>
      </c>
      <c r="K685" s="482" t="s">
        <v>964</v>
      </c>
      <c r="L685" s="482" t="s">
        <v>42</v>
      </c>
      <c r="M685" s="482" t="s">
        <v>774</v>
      </c>
      <c r="N685" s="482">
        <v>24.980250000000002</v>
      </c>
      <c r="O685" s="482">
        <v>97.715230000000005</v>
      </c>
      <c r="P685" s="17" t="s">
        <v>757</v>
      </c>
      <c r="Q685" s="482" t="s">
        <v>776</v>
      </c>
      <c r="R685" s="486">
        <v>407</v>
      </c>
      <c r="S685" s="486">
        <v>1731</v>
      </c>
      <c r="T685" s="506"/>
      <c r="U685" s="488" t="s">
        <v>1028</v>
      </c>
      <c r="V685" s="482" t="s">
        <v>167</v>
      </c>
    </row>
    <row r="686" spans="1:23" s="482" customFormat="1" ht="14.25" customHeight="1">
      <c r="A686" s="482" t="s">
        <v>36</v>
      </c>
      <c r="B686" s="482" t="s">
        <v>132</v>
      </c>
      <c r="C686" s="482" t="s">
        <v>259</v>
      </c>
      <c r="D686" s="431" t="s">
        <v>2817</v>
      </c>
      <c r="E686" s="482" t="s">
        <v>1571</v>
      </c>
      <c r="F686" s="482" t="s">
        <v>1822</v>
      </c>
      <c r="G686" s="482" t="s">
        <v>1822</v>
      </c>
      <c r="H686" s="482" t="s">
        <v>40</v>
      </c>
      <c r="I686" s="482" t="s">
        <v>232</v>
      </c>
      <c r="J686" s="482" t="s">
        <v>42</v>
      </c>
      <c r="K686" s="482" t="s">
        <v>42</v>
      </c>
      <c r="L686" s="482" t="s">
        <v>42</v>
      </c>
      <c r="M686" s="482" t="s">
        <v>43</v>
      </c>
      <c r="N686" s="482">
        <v>25.424529444444399</v>
      </c>
      <c r="O686" s="482">
        <v>97.433419259259296</v>
      </c>
      <c r="P686" s="482" t="s">
        <v>757</v>
      </c>
      <c r="Q686" s="482" t="s">
        <v>776</v>
      </c>
      <c r="R686" s="486">
        <v>346</v>
      </c>
      <c r="S686" s="486">
        <v>2059</v>
      </c>
      <c r="T686" s="506"/>
      <c r="U686" s="488"/>
      <c r="V686" s="482" t="s">
        <v>259</v>
      </c>
    </row>
    <row r="687" spans="1:23" s="482" customFormat="1" ht="14.25" customHeight="1">
      <c r="A687" s="482" t="s">
        <v>36</v>
      </c>
      <c r="B687" s="482" t="s">
        <v>132</v>
      </c>
      <c r="C687" s="482" t="s">
        <v>227</v>
      </c>
      <c r="D687" s="431" t="s">
        <v>2817</v>
      </c>
      <c r="E687" s="484" t="s">
        <v>1565</v>
      </c>
      <c r="F687" s="482" t="s">
        <v>1822</v>
      </c>
      <c r="G687" s="482" t="s">
        <v>1822</v>
      </c>
      <c r="H687" s="482" t="s">
        <v>40</v>
      </c>
      <c r="I687" s="482" t="s">
        <v>1325</v>
      </c>
      <c r="J687" s="482" t="s">
        <v>42</v>
      </c>
      <c r="K687" s="482" t="s">
        <v>42</v>
      </c>
      <c r="L687" s="482" t="s">
        <v>42</v>
      </c>
      <c r="M687" s="482" t="s">
        <v>43</v>
      </c>
      <c r="N687" s="482">
        <v>25.415667500000001</v>
      </c>
      <c r="O687" s="482">
        <v>97.437782499999997</v>
      </c>
      <c r="P687" s="482" t="s">
        <v>757</v>
      </c>
      <c r="Q687" s="482" t="s">
        <v>776</v>
      </c>
      <c r="R687" s="486">
        <v>327</v>
      </c>
      <c r="S687" s="486">
        <v>1785</v>
      </c>
      <c r="T687" s="506"/>
      <c r="U687" s="488"/>
      <c r="V687" s="482" t="s">
        <v>227</v>
      </c>
    </row>
    <row r="688" spans="1:23" s="482" customFormat="1" ht="14.25" customHeight="1">
      <c r="A688" s="482" t="s">
        <v>36</v>
      </c>
      <c r="B688" s="482" t="s">
        <v>132</v>
      </c>
      <c r="C688" s="482" t="s">
        <v>168</v>
      </c>
      <c r="D688" s="431" t="s">
        <v>2817</v>
      </c>
      <c r="E688" s="482" t="s">
        <v>1562</v>
      </c>
      <c r="F688" s="482" t="s">
        <v>1822</v>
      </c>
      <c r="G688" s="482" t="s">
        <v>1822</v>
      </c>
      <c r="H688" s="482" t="s">
        <v>40</v>
      </c>
      <c r="I688" s="482" t="s">
        <v>2661</v>
      </c>
      <c r="J688" s="482" t="s">
        <v>42</v>
      </c>
      <c r="K688" s="482" t="s">
        <v>42</v>
      </c>
      <c r="L688" s="482" t="s">
        <v>42</v>
      </c>
      <c r="M688" s="482" t="s">
        <v>43</v>
      </c>
      <c r="N688" s="482">
        <v>25.4118005797101</v>
      </c>
      <c r="O688" s="482">
        <v>97.434855869565197</v>
      </c>
      <c r="P688" s="482" t="s">
        <v>757</v>
      </c>
      <c r="Q688" s="482" t="s">
        <v>776</v>
      </c>
      <c r="R688" s="486">
        <v>515</v>
      </c>
      <c r="S688" s="486">
        <v>2775</v>
      </c>
      <c r="T688" s="506"/>
      <c r="U688" s="488"/>
      <c r="V688" s="482" t="s">
        <v>168</v>
      </c>
      <c r="W688" s="391" t="s">
        <v>2263</v>
      </c>
    </row>
    <row r="689" spans="1:23" s="68" customFormat="1" ht="14.25" customHeight="1">
      <c r="A689" s="482" t="s">
        <v>36</v>
      </c>
      <c r="B689" s="482" t="s">
        <v>132</v>
      </c>
      <c r="C689" s="482" t="s">
        <v>169</v>
      </c>
      <c r="D689" s="431" t="s">
        <v>2817</v>
      </c>
      <c r="E689" s="68" t="s">
        <v>1560</v>
      </c>
      <c r="F689" s="482" t="s">
        <v>1822</v>
      </c>
      <c r="G689" s="68" t="s">
        <v>1822</v>
      </c>
      <c r="H689" s="68" t="s">
        <v>40</v>
      </c>
      <c r="I689" s="68" t="s">
        <v>2661</v>
      </c>
      <c r="J689" s="68" t="s">
        <v>42</v>
      </c>
      <c r="K689" s="68" t="s">
        <v>42</v>
      </c>
      <c r="L689" s="68" t="s">
        <v>42</v>
      </c>
      <c r="M689" s="68" t="s">
        <v>43</v>
      </c>
      <c r="N689" s="68">
        <v>25.409612685185198</v>
      </c>
      <c r="O689" s="68">
        <v>97.426536944444507</v>
      </c>
      <c r="P689" s="68" t="s">
        <v>757</v>
      </c>
      <c r="Q689" s="482" t="s">
        <v>776</v>
      </c>
      <c r="R689" s="486">
        <v>55</v>
      </c>
      <c r="S689" s="486">
        <v>250</v>
      </c>
      <c r="T689" s="101"/>
      <c r="U689" s="488"/>
      <c r="V689" s="68" t="s">
        <v>169</v>
      </c>
      <c r="W689" s="391" t="s">
        <v>2264</v>
      </c>
    </row>
    <row r="690" spans="1:23" s="68" customFormat="1" ht="14.25" customHeight="1">
      <c r="A690" s="716" t="s">
        <v>36</v>
      </c>
      <c r="B690" s="720" t="s">
        <v>132</v>
      </c>
      <c r="C690" s="722" t="s">
        <v>3185</v>
      </c>
      <c r="D690" s="485"/>
      <c r="E690" s="717"/>
      <c r="F690" s="717"/>
      <c r="G690" s="717"/>
      <c r="H690" s="717"/>
      <c r="I690" s="717"/>
      <c r="J690" s="659" t="s">
        <v>794</v>
      </c>
      <c r="K690" s="659" t="s">
        <v>794</v>
      </c>
      <c r="L690" s="659" t="s">
        <v>794</v>
      </c>
      <c r="M690" s="717"/>
      <c r="N690" s="717"/>
      <c r="O690" s="717"/>
      <c r="P690" s="717" t="s">
        <v>795</v>
      </c>
      <c r="Q690" s="717" t="s">
        <v>3197</v>
      </c>
      <c r="R690" s="718"/>
      <c r="S690" s="716"/>
      <c r="T690" s="719">
        <v>43936</v>
      </c>
      <c r="U690" s="718"/>
      <c r="V690" s="717"/>
      <c r="W690" s="486"/>
    </row>
    <row r="691" spans="1:23" s="68" customFormat="1" ht="14.25" customHeight="1">
      <c r="A691" s="716" t="s">
        <v>36</v>
      </c>
      <c r="B691" s="720" t="s">
        <v>132</v>
      </c>
      <c r="C691" s="722" t="s">
        <v>3188</v>
      </c>
      <c r="D691" s="485"/>
      <c r="E691" s="717"/>
      <c r="F691" s="717"/>
      <c r="G691" s="717"/>
      <c r="H691" s="717"/>
      <c r="I691" s="717"/>
      <c r="J691" s="659" t="s">
        <v>794</v>
      </c>
      <c r="K691" s="659" t="s">
        <v>794</v>
      </c>
      <c r="L691" s="659" t="s">
        <v>794</v>
      </c>
      <c r="M691" s="717"/>
      <c r="N691" s="717"/>
      <c r="O691" s="717"/>
      <c r="P691" s="717" t="s">
        <v>795</v>
      </c>
      <c r="Q691" s="717" t="s">
        <v>3197</v>
      </c>
      <c r="R691" s="718"/>
      <c r="S691" s="716"/>
      <c r="T691" s="719">
        <v>43936</v>
      </c>
      <c r="U691" s="718"/>
      <c r="V691" s="717"/>
      <c r="W691" s="486"/>
    </row>
    <row r="692" spans="1:23" s="68" customFormat="1" ht="14.25" customHeight="1">
      <c r="A692" s="716" t="s">
        <v>36</v>
      </c>
      <c r="B692" s="720" t="s">
        <v>132</v>
      </c>
      <c r="C692" s="722" t="s">
        <v>3192</v>
      </c>
      <c r="D692" s="485"/>
      <c r="E692" s="717"/>
      <c r="F692" s="717"/>
      <c r="G692" s="717"/>
      <c r="H692" s="717"/>
      <c r="I692" s="717"/>
      <c r="J692" s="659" t="s">
        <v>794</v>
      </c>
      <c r="K692" s="659" t="s">
        <v>794</v>
      </c>
      <c r="L692" s="659" t="s">
        <v>794</v>
      </c>
      <c r="M692" s="717"/>
      <c r="N692" s="717"/>
      <c r="O692" s="717"/>
      <c r="P692" s="717" t="s">
        <v>795</v>
      </c>
      <c r="Q692" s="717" t="s">
        <v>3197</v>
      </c>
      <c r="R692" s="718"/>
      <c r="S692" s="716"/>
      <c r="T692" s="719">
        <v>43936</v>
      </c>
      <c r="U692" s="718"/>
      <c r="V692" s="717"/>
      <c r="W692" s="486"/>
    </row>
    <row r="693" spans="1:23" s="68" customFormat="1" ht="14.25" customHeight="1">
      <c r="A693" s="716" t="s">
        <v>36</v>
      </c>
      <c r="B693" s="720" t="s">
        <v>132</v>
      </c>
      <c r="C693" s="722" t="s">
        <v>3177</v>
      </c>
      <c r="D693" s="485"/>
      <c r="E693" s="717"/>
      <c r="F693" s="717"/>
      <c r="G693" s="717"/>
      <c r="H693" s="717"/>
      <c r="I693" s="717"/>
      <c r="J693" s="659" t="s">
        <v>794</v>
      </c>
      <c r="K693" s="659" t="s">
        <v>794</v>
      </c>
      <c r="L693" s="659" t="s">
        <v>794</v>
      </c>
      <c r="M693" s="717"/>
      <c r="N693" s="717"/>
      <c r="O693" s="717"/>
      <c r="P693" s="717" t="s">
        <v>795</v>
      </c>
      <c r="Q693" s="717" t="s">
        <v>3197</v>
      </c>
      <c r="R693" s="718"/>
      <c r="S693" s="716"/>
      <c r="T693" s="719">
        <v>43936</v>
      </c>
      <c r="U693" s="718"/>
      <c r="V693" s="717"/>
      <c r="W693" s="486"/>
    </row>
    <row r="694" spans="1:23" s="68" customFormat="1" ht="14.25" customHeight="1">
      <c r="A694" s="482" t="s">
        <v>36</v>
      </c>
      <c r="B694" s="482" t="s">
        <v>132</v>
      </c>
      <c r="C694" s="482" t="s">
        <v>260</v>
      </c>
      <c r="D694" s="431" t="s">
        <v>2817</v>
      </c>
      <c r="E694" s="482" t="s">
        <v>1542</v>
      </c>
      <c r="F694" s="482" t="s">
        <v>1812</v>
      </c>
      <c r="G694" s="482" t="s">
        <v>1813</v>
      </c>
      <c r="H694" s="482" t="s">
        <v>40</v>
      </c>
      <c r="I694" s="482" t="s">
        <v>232</v>
      </c>
      <c r="J694" s="68" t="s">
        <v>42</v>
      </c>
      <c r="K694" s="68" t="s">
        <v>42</v>
      </c>
      <c r="L694" s="68" t="s">
        <v>42</v>
      </c>
      <c r="M694" s="68" t="s">
        <v>43</v>
      </c>
      <c r="N694" s="482">
        <v>25.351965</v>
      </c>
      <c r="O694" s="482">
        <v>97.345039</v>
      </c>
      <c r="P694" s="68" t="s">
        <v>757</v>
      </c>
      <c r="Q694" s="68" t="s">
        <v>776</v>
      </c>
      <c r="R694" s="486">
        <v>19</v>
      </c>
      <c r="S694" s="486">
        <v>82</v>
      </c>
      <c r="T694" s="101"/>
      <c r="U694" s="488"/>
      <c r="V694" s="482" t="s">
        <v>260</v>
      </c>
      <c r="W694" s="482"/>
    </row>
    <row r="695" spans="1:23" s="68" customFormat="1" ht="14.25" customHeight="1">
      <c r="A695" s="716" t="s">
        <v>36</v>
      </c>
      <c r="B695" s="720" t="s">
        <v>132</v>
      </c>
      <c r="C695" s="722" t="s">
        <v>3180</v>
      </c>
      <c r="D695" s="485"/>
      <c r="E695" s="717"/>
      <c r="F695" s="717"/>
      <c r="G695" s="717"/>
      <c r="H695" s="717"/>
      <c r="I695" s="717"/>
      <c r="J695" s="659" t="s">
        <v>794</v>
      </c>
      <c r="K695" s="659" t="s">
        <v>794</v>
      </c>
      <c r="L695" s="659" t="s">
        <v>794</v>
      </c>
      <c r="M695" s="717"/>
      <c r="N695" s="717"/>
      <c r="O695" s="717"/>
      <c r="P695" s="717" t="s">
        <v>795</v>
      </c>
      <c r="Q695" s="717" t="s">
        <v>3197</v>
      </c>
      <c r="R695" s="718"/>
      <c r="S695" s="716"/>
      <c r="T695" s="719">
        <v>43936</v>
      </c>
      <c r="U695" s="718"/>
      <c r="V695" s="717"/>
      <c r="W695" s="486"/>
    </row>
    <row r="696" spans="1:23" s="68" customFormat="1" ht="14.25" customHeight="1">
      <c r="A696" s="716" t="s">
        <v>36</v>
      </c>
      <c r="B696" s="720" t="s">
        <v>132</v>
      </c>
      <c r="C696" s="722" t="s">
        <v>3193</v>
      </c>
      <c r="D696" s="485"/>
      <c r="E696" s="717"/>
      <c r="F696" s="717"/>
      <c r="G696" s="717"/>
      <c r="H696" s="717"/>
      <c r="I696" s="717"/>
      <c r="J696" s="659" t="s">
        <v>794</v>
      </c>
      <c r="K696" s="659" t="s">
        <v>794</v>
      </c>
      <c r="L696" s="659" t="s">
        <v>794</v>
      </c>
      <c r="M696" s="717"/>
      <c r="N696" s="717"/>
      <c r="O696" s="717"/>
      <c r="P696" s="717" t="s">
        <v>795</v>
      </c>
      <c r="Q696" s="717" t="s">
        <v>3197</v>
      </c>
      <c r="R696" s="718"/>
      <c r="S696" s="716"/>
      <c r="T696" s="719">
        <v>43936</v>
      </c>
      <c r="U696" s="718"/>
      <c r="V696" s="717"/>
      <c r="W696" s="486"/>
    </row>
    <row r="697" spans="1:23" s="68" customFormat="1" ht="14.25" customHeight="1">
      <c r="A697" s="716" t="s">
        <v>36</v>
      </c>
      <c r="B697" s="720" t="s">
        <v>132</v>
      </c>
      <c r="C697" s="722" t="s">
        <v>3178</v>
      </c>
      <c r="D697" s="485"/>
      <c r="E697" s="717"/>
      <c r="F697" s="717"/>
      <c r="G697" s="717"/>
      <c r="H697" s="717"/>
      <c r="I697" s="717"/>
      <c r="J697" s="659" t="s">
        <v>794</v>
      </c>
      <c r="K697" s="659" t="s">
        <v>794</v>
      </c>
      <c r="L697" s="659" t="s">
        <v>794</v>
      </c>
      <c r="M697" s="717"/>
      <c r="N697" s="717"/>
      <c r="O697" s="717"/>
      <c r="P697" s="717" t="s">
        <v>795</v>
      </c>
      <c r="Q697" s="717" t="s">
        <v>3197</v>
      </c>
      <c r="R697" s="718"/>
      <c r="S697" s="716"/>
      <c r="T697" s="719">
        <v>43936</v>
      </c>
      <c r="U697" s="718"/>
      <c r="V697" s="717"/>
      <c r="W697" s="486"/>
    </row>
    <row r="698" spans="1:23" s="68" customFormat="1" ht="14.25" customHeight="1">
      <c r="A698" s="482" t="s">
        <v>36</v>
      </c>
      <c r="B698" s="482" t="s">
        <v>132</v>
      </c>
      <c r="C698" s="482" t="s">
        <v>170</v>
      </c>
      <c r="D698" s="431" t="s">
        <v>2817</v>
      </c>
      <c r="E698" s="482" t="s">
        <v>1518</v>
      </c>
      <c r="F698" s="482" t="s">
        <v>1799</v>
      </c>
      <c r="G698" s="482" t="s">
        <v>1800</v>
      </c>
      <c r="H698" s="482" t="s">
        <v>40</v>
      </c>
      <c r="I698" s="482" t="s">
        <v>2661</v>
      </c>
      <c r="J698" s="396" t="s">
        <v>42</v>
      </c>
      <c r="K698" s="396" t="s">
        <v>964</v>
      </c>
      <c r="L698" s="396" t="s">
        <v>42</v>
      </c>
      <c r="M698" s="482" t="s">
        <v>774</v>
      </c>
      <c r="N698" s="482">
        <v>24.831944</v>
      </c>
      <c r="O698" s="482">
        <v>97.751389000000003</v>
      </c>
      <c r="P698" s="482" t="s">
        <v>757</v>
      </c>
      <c r="Q698" s="482" t="s">
        <v>776</v>
      </c>
      <c r="R698" s="486">
        <v>185</v>
      </c>
      <c r="S698" s="486">
        <v>943</v>
      </c>
      <c r="T698" s="506"/>
      <c r="U698" s="488" t="s">
        <v>1028</v>
      </c>
      <c r="V698" s="482" t="s">
        <v>1029</v>
      </c>
      <c r="W698" s="482"/>
    </row>
    <row r="699" spans="1:23" s="68" customFormat="1" ht="14.25" customHeight="1">
      <c r="A699" s="396" t="s">
        <v>36</v>
      </c>
      <c r="B699" s="396" t="s">
        <v>132</v>
      </c>
      <c r="C699" s="396" t="s">
        <v>228</v>
      </c>
      <c r="D699" s="431" t="s">
        <v>2817</v>
      </c>
      <c r="E699" s="396" t="s">
        <v>1529</v>
      </c>
      <c r="F699" s="396" t="s">
        <v>1802</v>
      </c>
      <c r="G699" s="396" t="s">
        <v>1802</v>
      </c>
      <c r="H699" s="396" t="s">
        <v>40</v>
      </c>
      <c r="I699" s="396" t="s">
        <v>1325</v>
      </c>
      <c r="J699" s="396" t="s">
        <v>42</v>
      </c>
      <c r="K699" s="396" t="s">
        <v>42</v>
      </c>
      <c r="L699" s="396" t="s">
        <v>42</v>
      </c>
      <c r="M699" s="396" t="s">
        <v>774</v>
      </c>
      <c r="N699" s="396">
        <v>25.265277999999999</v>
      </c>
      <c r="O699" s="396">
        <v>97.990555999999998</v>
      </c>
      <c r="P699" s="396" t="s">
        <v>757</v>
      </c>
      <c r="Q699" s="396" t="s">
        <v>776</v>
      </c>
      <c r="R699" s="399">
        <v>79</v>
      </c>
      <c r="S699" s="486">
        <v>527</v>
      </c>
      <c r="T699" s="412"/>
      <c r="U699" s="401"/>
      <c r="V699" s="396" t="s">
        <v>228</v>
      </c>
      <c r="W699" s="396"/>
    </row>
    <row r="700" spans="1:23" s="71" customFormat="1" ht="14.25" customHeight="1">
      <c r="A700" s="482" t="s">
        <v>36</v>
      </c>
      <c r="B700" s="482" t="s">
        <v>132</v>
      </c>
      <c r="C700" s="482" t="s">
        <v>261</v>
      </c>
      <c r="D700" s="431" t="s">
        <v>2817</v>
      </c>
      <c r="E700" s="482" t="s">
        <v>1543</v>
      </c>
      <c r="F700" s="482" t="s">
        <v>1716</v>
      </c>
      <c r="G700" s="482" t="s">
        <v>1706</v>
      </c>
      <c r="H700" s="482" t="s">
        <v>40</v>
      </c>
      <c r="I700" s="482" t="s">
        <v>232</v>
      </c>
      <c r="J700" s="396" t="s">
        <v>42</v>
      </c>
      <c r="K700" s="396" t="s">
        <v>42</v>
      </c>
      <c r="L700" s="396" t="s">
        <v>42</v>
      </c>
      <c r="M700" s="482" t="s">
        <v>43</v>
      </c>
      <c r="N700" s="482">
        <v>25.3540362037037</v>
      </c>
      <c r="O700" s="482">
        <v>97.441166388888902</v>
      </c>
      <c r="P700" s="482" t="s">
        <v>757</v>
      </c>
      <c r="Q700" s="482" t="s">
        <v>776</v>
      </c>
      <c r="R700" s="486">
        <v>115</v>
      </c>
      <c r="S700" s="486">
        <v>493</v>
      </c>
      <c r="T700" s="506"/>
      <c r="U700" s="488"/>
      <c r="V700" s="482" t="s">
        <v>261</v>
      </c>
      <c r="W700" s="482"/>
    </row>
    <row r="701" spans="1:23" s="68" customFormat="1" ht="14.25" customHeight="1">
      <c r="A701" s="396" t="s">
        <v>36</v>
      </c>
      <c r="B701" s="482" t="s">
        <v>132</v>
      </c>
      <c r="C701" s="482" t="s">
        <v>171</v>
      </c>
      <c r="D701" s="431" t="s">
        <v>2817</v>
      </c>
      <c r="E701" s="396" t="s">
        <v>1541</v>
      </c>
      <c r="F701" s="396" t="s">
        <v>1716</v>
      </c>
      <c r="G701" s="396" t="s">
        <v>1706</v>
      </c>
      <c r="H701" s="396" t="s">
        <v>40</v>
      </c>
      <c r="I701" s="396" t="s">
        <v>2661</v>
      </c>
      <c r="J701" s="68" t="s">
        <v>42</v>
      </c>
      <c r="K701" s="68" t="s">
        <v>42</v>
      </c>
      <c r="L701" s="68" t="s">
        <v>42</v>
      </c>
      <c r="M701" s="396" t="s">
        <v>43</v>
      </c>
      <c r="N701" s="396">
        <v>25.351724999999998</v>
      </c>
      <c r="O701" s="396">
        <v>97.438432380952406</v>
      </c>
      <c r="P701" s="68" t="s">
        <v>757</v>
      </c>
      <c r="Q701" s="396" t="s">
        <v>776</v>
      </c>
      <c r="R701" s="399">
        <v>67</v>
      </c>
      <c r="S701" s="486">
        <v>341</v>
      </c>
      <c r="T701" s="412"/>
      <c r="U701" s="401"/>
      <c r="V701" s="396" t="s">
        <v>171</v>
      </c>
      <c r="W701" s="396"/>
    </row>
    <row r="702" spans="1:23" s="68" customFormat="1" ht="14.25" customHeight="1">
      <c r="A702" s="396" t="s">
        <v>36</v>
      </c>
      <c r="B702" s="482" t="s">
        <v>132</v>
      </c>
      <c r="C702" s="482" t="s">
        <v>262</v>
      </c>
      <c r="D702" s="431" t="s">
        <v>2817</v>
      </c>
      <c r="E702" s="68" t="s">
        <v>1537</v>
      </c>
      <c r="F702" s="482" t="s">
        <v>1716</v>
      </c>
      <c r="G702" s="68" t="s">
        <v>1764</v>
      </c>
      <c r="H702" s="68" t="s">
        <v>40</v>
      </c>
      <c r="I702" s="68" t="s">
        <v>232</v>
      </c>
      <c r="J702" s="68" t="s">
        <v>42</v>
      </c>
      <c r="K702" s="68" t="s">
        <v>42</v>
      </c>
      <c r="L702" s="68" t="s">
        <v>42</v>
      </c>
      <c r="M702" s="482" t="s">
        <v>43</v>
      </c>
      <c r="N702" s="396">
        <v>25.345918166666699</v>
      </c>
      <c r="O702" s="396">
        <v>97.437472666666693</v>
      </c>
      <c r="P702" s="68" t="s">
        <v>757</v>
      </c>
      <c r="Q702" s="68" t="s">
        <v>776</v>
      </c>
      <c r="R702" s="486">
        <v>36</v>
      </c>
      <c r="S702" s="486">
        <v>189</v>
      </c>
      <c r="T702" s="101"/>
      <c r="U702" s="488"/>
      <c r="V702" s="68" t="s">
        <v>262</v>
      </c>
      <c r="W702" s="482"/>
    </row>
    <row r="703" spans="1:23" s="68" customFormat="1" ht="14.25" customHeight="1">
      <c r="A703" s="396" t="s">
        <v>36</v>
      </c>
      <c r="B703" s="482" t="s">
        <v>132</v>
      </c>
      <c r="C703" s="482" t="s">
        <v>263</v>
      </c>
      <c r="D703" s="431" t="s">
        <v>2107</v>
      </c>
      <c r="E703" s="68" t="s">
        <v>1538</v>
      </c>
      <c r="F703" s="68" t="s">
        <v>1716</v>
      </c>
      <c r="G703" s="68" t="s">
        <v>1810</v>
      </c>
      <c r="H703" s="68" t="s">
        <v>40</v>
      </c>
      <c r="I703" s="68" t="s">
        <v>232</v>
      </c>
      <c r="J703" s="396" t="s">
        <v>42</v>
      </c>
      <c r="K703" s="396" t="s">
        <v>42</v>
      </c>
      <c r="L703" s="68" t="s">
        <v>756</v>
      </c>
      <c r="M703" s="68" t="s">
        <v>43</v>
      </c>
      <c r="N703" s="68">
        <v>25.350809000000002</v>
      </c>
      <c r="O703" s="68">
        <v>97.432495000000003</v>
      </c>
      <c r="P703" s="68" t="s">
        <v>757</v>
      </c>
      <c r="Q703" s="68" t="s">
        <v>776</v>
      </c>
      <c r="R703" s="486"/>
      <c r="S703" s="486"/>
      <c r="T703" s="101"/>
      <c r="U703" s="97"/>
      <c r="V703" s="68" t="s">
        <v>263</v>
      </c>
      <c r="W703" s="391" t="s">
        <v>2163</v>
      </c>
    </row>
    <row r="704" spans="1:23" s="68" customFormat="1" ht="14.25" customHeight="1">
      <c r="A704" s="491" t="s">
        <v>36</v>
      </c>
      <c r="B704" s="490" t="s">
        <v>132</v>
      </c>
      <c r="C704" s="484" t="s">
        <v>1046</v>
      </c>
      <c r="D704" s="431" t="s">
        <v>2817</v>
      </c>
      <c r="E704" s="484" t="s">
        <v>1960</v>
      </c>
      <c r="F704" s="482" t="s">
        <v>1046</v>
      </c>
      <c r="G704" s="482" t="s">
        <v>1046</v>
      </c>
      <c r="H704" s="484"/>
      <c r="I704" s="484" t="s">
        <v>2116</v>
      </c>
      <c r="J704" s="396" t="s">
        <v>42</v>
      </c>
      <c r="K704" s="396" t="s">
        <v>42</v>
      </c>
      <c r="L704" s="484" t="s">
        <v>772</v>
      </c>
      <c r="M704" s="482" t="s">
        <v>43</v>
      </c>
      <c r="N704" s="482">
        <v>0</v>
      </c>
      <c r="O704" s="482">
        <v>0</v>
      </c>
      <c r="P704" s="17" t="s">
        <v>757</v>
      </c>
      <c r="Q704" s="482" t="s">
        <v>1930</v>
      </c>
      <c r="R704" s="486">
        <v>85</v>
      </c>
      <c r="S704" s="486">
        <v>455</v>
      </c>
      <c r="T704" s="506">
        <v>43276</v>
      </c>
      <c r="U704" s="492"/>
      <c r="V704" s="484"/>
      <c r="W704" s="68" t="s">
        <v>2164</v>
      </c>
    </row>
    <row r="705" spans="1:23" s="68" customFormat="1" ht="14.25" customHeight="1">
      <c r="A705" s="482" t="s">
        <v>36</v>
      </c>
      <c r="B705" s="484" t="s">
        <v>132</v>
      </c>
      <c r="C705" s="484" t="s">
        <v>133</v>
      </c>
      <c r="D705" s="431" t="s">
        <v>2817</v>
      </c>
      <c r="E705" s="482" t="s">
        <v>1623</v>
      </c>
      <c r="F705" s="482" t="s">
        <v>1799</v>
      </c>
      <c r="G705" s="482" t="s">
        <v>1800</v>
      </c>
      <c r="H705" s="482" t="s">
        <v>40</v>
      </c>
      <c r="I705" s="482" t="s">
        <v>2661</v>
      </c>
      <c r="J705" s="396" t="s">
        <v>42</v>
      </c>
      <c r="K705" s="484" t="s">
        <v>42</v>
      </c>
      <c r="L705" s="484" t="s">
        <v>42</v>
      </c>
      <c r="M705" s="482" t="s">
        <v>774</v>
      </c>
      <c r="N705" s="482">
        <v>0</v>
      </c>
      <c r="O705" s="482">
        <v>0</v>
      </c>
      <c r="P705" s="17" t="s">
        <v>757</v>
      </c>
      <c r="Q705" s="482" t="s">
        <v>798</v>
      </c>
      <c r="R705" s="486">
        <v>398</v>
      </c>
      <c r="S705" s="486">
        <v>1834</v>
      </c>
      <c r="T705" s="506">
        <v>42916</v>
      </c>
      <c r="U705" s="488" t="s">
        <v>1132</v>
      </c>
      <c r="V705" s="482"/>
      <c r="W705" s="391" t="s">
        <v>2265</v>
      </c>
    </row>
    <row r="706" spans="1:23" s="68" customFormat="1" ht="14.25" customHeight="1">
      <c r="A706" s="716" t="s">
        <v>36</v>
      </c>
      <c r="B706" s="720" t="s">
        <v>132</v>
      </c>
      <c r="C706" s="722" t="s">
        <v>3196</v>
      </c>
      <c r="D706" s="485"/>
      <c r="E706" s="717"/>
      <c r="F706" s="717"/>
      <c r="G706" s="717"/>
      <c r="H706" s="717"/>
      <c r="I706" s="717"/>
      <c r="J706" s="659" t="s">
        <v>794</v>
      </c>
      <c r="K706" s="659" t="s">
        <v>794</v>
      </c>
      <c r="L706" s="659" t="s">
        <v>794</v>
      </c>
      <c r="M706" s="717"/>
      <c r="N706" s="717"/>
      <c r="O706" s="717"/>
      <c r="P706" s="717" t="s">
        <v>795</v>
      </c>
      <c r="Q706" s="717" t="s">
        <v>3197</v>
      </c>
      <c r="R706" s="718"/>
      <c r="S706" s="716"/>
      <c r="T706" s="719">
        <v>43936</v>
      </c>
      <c r="U706" s="718"/>
      <c r="V706" s="717"/>
      <c r="W706" s="486"/>
    </row>
    <row r="707" spans="1:23" s="68" customFormat="1" ht="14.25" customHeight="1">
      <c r="A707" s="482" t="s">
        <v>36</v>
      </c>
      <c r="B707" s="484" t="s">
        <v>132</v>
      </c>
      <c r="C707" s="484" t="s">
        <v>172</v>
      </c>
      <c r="D707" s="431" t="s">
        <v>2817</v>
      </c>
      <c r="E707" s="482" t="s">
        <v>1567</v>
      </c>
      <c r="F707" s="484" t="s">
        <v>1825</v>
      </c>
      <c r="G707" s="482" t="s">
        <v>1826</v>
      </c>
      <c r="H707" s="482" t="s">
        <v>40</v>
      </c>
      <c r="I707" s="482" t="s">
        <v>2661</v>
      </c>
      <c r="J707" s="396" t="s">
        <v>42</v>
      </c>
      <c r="K707" s="396" t="s">
        <v>42</v>
      </c>
      <c r="L707" s="68" t="s">
        <v>42</v>
      </c>
      <c r="M707" s="482" t="s">
        <v>43</v>
      </c>
      <c r="N707" s="482">
        <v>25.418084</v>
      </c>
      <c r="O707" s="482">
        <v>98.025662999999994</v>
      </c>
      <c r="P707" s="482" t="s">
        <v>757</v>
      </c>
      <c r="Q707" s="482" t="s">
        <v>776</v>
      </c>
      <c r="R707" s="486">
        <v>183</v>
      </c>
      <c r="S707" s="486">
        <v>1041</v>
      </c>
      <c r="T707" s="506"/>
      <c r="U707" s="488"/>
      <c r="V707" s="482" t="s">
        <v>172</v>
      </c>
      <c r="W707" s="391" t="s">
        <v>2266</v>
      </c>
    </row>
    <row r="708" spans="1:23" s="68" customFormat="1" ht="14.25" customHeight="1">
      <c r="A708" s="716" t="s">
        <v>36</v>
      </c>
      <c r="B708" s="720" t="s">
        <v>132</v>
      </c>
      <c r="C708" s="722" t="s">
        <v>3179</v>
      </c>
      <c r="D708" s="485"/>
      <c r="E708" s="717"/>
      <c r="F708" s="717"/>
      <c r="G708" s="717"/>
      <c r="H708" s="717"/>
      <c r="I708" s="717"/>
      <c r="J708" s="659" t="s">
        <v>794</v>
      </c>
      <c r="K708" s="659" t="s">
        <v>794</v>
      </c>
      <c r="L708" s="659" t="s">
        <v>794</v>
      </c>
      <c r="M708" s="717"/>
      <c r="N708" s="717"/>
      <c r="O708" s="717"/>
      <c r="P708" s="717" t="s">
        <v>795</v>
      </c>
      <c r="Q708" s="717" t="s">
        <v>3197</v>
      </c>
      <c r="R708" s="718"/>
      <c r="S708" s="716"/>
      <c r="T708" s="719">
        <v>43936</v>
      </c>
      <c r="U708" s="718"/>
      <c r="V708" s="717"/>
      <c r="W708" s="486"/>
    </row>
    <row r="709" spans="1:23" s="68" customFormat="1" ht="14.25" customHeight="1">
      <c r="A709" s="482" t="s">
        <v>36</v>
      </c>
      <c r="B709" s="484" t="s">
        <v>132</v>
      </c>
      <c r="C709" s="484" t="s">
        <v>264</v>
      </c>
      <c r="D709" s="431" t="s">
        <v>2817</v>
      </c>
      <c r="E709" s="482" t="s">
        <v>1536</v>
      </c>
      <c r="F709" s="482" t="s">
        <v>1716</v>
      </c>
      <c r="G709" s="482" t="s">
        <v>1810</v>
      </c>
      <c r="H709" s="482" t="s">
        <v>40</v>
      </c>
      <c r="I709" s="482" t="s">
        <v>232</v>
      </c>
      <c r="J709" s="482" t="s">
        <v>42</v>
      </c>
      <c r="K709" s="482" t="s">
        <v>42</v>
      </c>
      <c r="L709" s="482" t="s">
        <v>42</v>
      </c>
      <c r="M709" s="482" t="s">
        <v>43</v>
      </c>
      <c r="N709" s="482">
        <v>25.333683333333301</v>
      </c>
      <c r="O709" s="482">
        <v>97.428251153846105</v>
      </c>
      <c r="P709" s="482" t="s">
        <v>757</v>
      </c>
      <c r="Q709" s="482" t="s">
        <v>776</v>
      </c>
      <c r="R709" s="486">
        <v>46</v>
      </c>
      <c r="S709" s="486">
        <v>190</v>
      </c>
      <c r="T709" s="506"/>
      <c r="U709" s="488"/>
      <c r="V709" s="482" t="s">
        <v>264</v>
      </c>
      <c r="W709" s="482"/>
    </row>
    <row r="710" spans="1:23" s="68" customFormat="1" ht="14.25" customHeight="1">
      <c r="A710" s="491" t="s">
        <v>36</v>
      </c>
      <c r="B710" s="490" t="s">
        <v>132</v>
      </c>
      <c r="C710" s="484" t="s">
        <v>2108</v>
      </c>
      <c r="D710" s="431" t="s">
        <v>2817</v>
      </c>
      <c r="E710" s="484" t="s">
        <v>1957</v>
      </c>
      <c r="F710" s="484"/>
      <c r="G710" s="484"/>
      <c r="H710" s="482" t="s">
        <v>40</v>
      </c>
      <c r="I710" s="482" t="s">
        <v>2661</v>
      </c>
      <c r="J710" s="482" t="s">
        <v>42</v>
      </c>
      <c r="K710" s="482" t="s">
        <v>42</v>
      </c>
      <c r="L710" s="482" t="s">
        <v>42</v>
      </c>
      <c r="M710" s="482" t="s">
        <v>43</v>
      </c>
      <c r="N710" s="482">
        <v>0</v>
      </c>
      <c r="O710" s="482">
        <v>0</v>
      </c>
      <c r="P710" s="484" t="s">
        <v>757</v>
      </c>
      <c r="Q710" s="482" t="s">
        <v>1930</v>
      </c>
      <c r="R710" s="486">
        <v>79</v>
      </c>
      <c r="S710" s="486">
        <v>350</v>
      </c>
      <c r="T710" s="506">
        <v>43276</v>
      </c>
      <c r="U710" s="492" t="s">
        <v>1979</v>
      </c>
      <c r="V710" s="484"/>
      <c r="W710" s="391" t="s">
        <v>2267</v>
      </c>
    </row>
    <row r="711" spans="1:23" s="68" customFormat="1" ht="14.25" customHeight="1">
      <c r="A711" s="396" t="s">
        <v>36</v>
      </c>
      <c r="B711" s="500" t="s">
        <v>132</v>
      </c>
      <c r="C711" s="499" t="s">
        <v>265</v>
      </c>
      <c r="D711" s="431" t="s">
        <v>2817</v>
      </c>
      <c r="E711" s="396" t="s">
        <v>1540</v>
      </c>
      <c r="F711" s="500" t="s">
        <v>1716</v>
      </c>
      <c r="G711" s="396" t="s">
        <v>1764</v>
      </c>
      <c r="H711" s="396" t="s">
        <v>40</v>
      </c>
      <c r="I711" s="396" t="s">
        <v>232</v>
      </c>
      <c r="J711" s="396" t="s">
        <v>42</v>
      </c>
      <c r="K711" s="396" t="s">
        <v>42</v>
      </c>
      <c r="L711" s="396" t="s">
        <v>42</v>
      </c>
      <c r="M711" s="68" t="s">
        <v>43</v>
      </c>
      <c r="N711" s="68">
        <v>25.351250396825399</v>
      </c>
      <c r="O711" s="68">
        <v>97.444283730158702</v>
      </c>
      <c r="P711" s="482" t="s">
        <v>757</v>
      </c>
      <c r="Q711" s="396" t="s">
        <v>776</v>
      </c>
      <c r="R711" s="501">
        <v>67</v>
      </c>
      <c r="S711" s="501">
        <v>283</v>
      </c>
      <c r="T711" s="412"/>
      <c r="U711" s="401"/>
      <c r="V711" s="482" t="s">
        <v>265</v>
      </c>
      <c r="W711" s="396"/>
    </row>
    <row r="712" spans="1:23" s="68" customFormat="1" ht="14.25" customHeight="1">
      <c r="A712" s="396" t="s">
        <v>36</v>
      </c>
      <c r="B712" s="500" t="s">
        <v>132</v>
      </c>
      <c r="C712" s="499" t="s">
        <v>1041</v>
      </c>
      <c r="D712" s="431" t="s">
        <v>1657</v>
      </c>
      <c r="E712" s="396" t="s">
        <v>1544</v>
      </c>
      <c r="F712" s="482" t="s">
        <v>1716</v>
      </c>
      <c r="G712" s="396" t="s">
        <v>1706</v>
      </c>
      <c r="H712" s="396" t="s">
        <v>40</v>
      </c>
      <c r="I712" s="396" t="s">
        <v>131</v>
      </c>
      <c r="J712" s="396" t="s">
        <v>42</v>
      </c>
      <c r="K712" s="396" t="s">
        <v>42</v>
      </c>
      <c r="L712" s="68" t="s">
        <v>756</v>
      </c>
      <c r="M712" s="396" t="s">
        <v>43</v>
      </c>
      <c r="N712" s="396">
        <v>25.355841999999999</v>
      </c>
      <c r="O712" s="396">
        <v>97.438259000000002</v>
      </c>
      <c r="P712" s="68" t="s">
        <v>757</v>
      </c>
      <c r="Q712" s="396" t="s">
        <v>776</v>
      </c>
      <c r="R712" s="501"/>
      <c r="S712" s="502"/>
      <c r="T712" s="412"/>
      <c r="U712" s="488" t="s">
        <v>1042</v>
      </c>
      <c r="V712" s="396" t="s">
        <v>1041</v>
      </c>
      <c r="W712" s="391" t="s">
        <v>2165</v>
      </c>
    </row>
    <row r="713" spans="1:23" s="68" customFormat="1" ht="14.25" customHeight="1">
      <c r="A713" s="491" t="s">
        <v>36</v>
      </c>
      <c r="B713" s="501" t="s">
        <v>132</v>
      </c>
      <c r="C713" s="499" t="s">
        <v>1940</v>
      </c>
      <c r="D713" s="432"/>
      <c r="E713" s="484"/>
      <c r="F713" s="484"/>
      <c r="G713" s="484"/>
      <c r="H713" s="484"/>
      <c r="I713" s="484"/>
      <c r="J713" s="68" t="s">
        <v>1460</v>
      </c>
      <c r="K713" s="68" t="s">
        <v>42</v>
      </c>
      <c r="L713" s="68" t="s">
        <v>42</v>
      </c>
      <c r="M713" s="68" t="s">
        <v>43</v>
      </c>
      <c r="N713" s="484"/>
      <c r="O713" s="484"/>
      <c r="P713" s="68" t="s">
        <v>757</v>
      </c>
      <c r="Q713" s="68" t="s">
        <v>1930</v>
      </c>
      <c r="R713" s="702"/>
      <c r="S713" s="502"/>
      <c r="T713" s="101">
        <v>43270</v>
      </c>
      <c r="U713" s="492"/>
      <c r="V713" s="484"/>
    </row>
    <row r="714" spans="1:23" s="68" customFormat="1" ht="14.25" customHeight="1">
      <c r="A714" s="482" t="s">
        <v>36</v>
      </c>
      <c r="B714" s="500" t="s">
        <v>132</v>
      </c>
      <c r="C714" s="499" t="s">
        <v>211</v>
      </c>
      <c r="D714" s="431" t="s">
        <v>2817</v>
      </c>
      <c r="E714" s="68" t="s">
        <v>1514</v>
      </c>
      <c r="F714" s="482" t="s">
        <v>1709</v>
      </c>
      <c r="G714" s="68" t="s">
        <v>1709</v>
      </c>
      <c r="H714" s="68" t="s">
        <v>40</v>
      </c>
      <c r="I714" s="68" t="s">
        <v>1325</v>
      </c>
      <c r="J714" s="68" t="s">
        <v>42</v>
      </c>
      <c r="K714" s="68" t="s">
        <v>42</v>
      </c>
      <c r="L714" s="68" t="s">
        <v>42</v>
      </c>
      <c r="M714" s="68" t="s">
        <v>774</v>
      </c>
      <c r="N714" s="396">
        <v>24.755253</v>
      </c>
      <c r="O714" s="396">
        <v>97.546893999999995</v>
      </c>
      <c r="P714" s="68" t="s">
        <v>757</v>
      </c>
      <c r="Q714" s="396" t="s">
        <v>776</v>
      </c>
      <c r="R714" s="501">
        <v>1403</v>
      </c>
      <c r="S714" s="501">
        <v>7165</v>
      </c>
      <c r="T714" s="412"/>
      <c r="U714" s="488"/>
      <c r="V714" s="482" t="s">
        <v>211</v>
      </c>
      <c r="W714" s="391" t="s">
        <v>2268</v>
      </c>
    </row>
    <row r="715" spans="1:23" s="68" customFormat="1" ht="14.25" customHeight="1">
      <c r="A715" s="482" t="s">
        <v>36</v>
      </c>
      <c r="B715" s="500" t="s">
        <v>132</v>
      </c>
      <c r="C715" s="499" t="s">
        <v>213</v>
      </c>
      <c r="D715" s="431" t="s">
        <v>1656</v>
      </c>
      <c r="E715" s="482"/>
      <c r="F715" s="482"/>
      <c r="G715" s="482"/>
      <c r="H715" s="482"/>
      <c r="I715" s="482"/>
      <c r="J715" s="68" t="s">
        <v>1460</v>
      </c>
      <c r="K715" s="68" t="s">
        <v>42</v>
      </c>
      <c r="L715" s="68" t="s">
        <v>1147</v>
      </c>
      <c r="M715" s="482" t="s">
        <v>774</v>
      </c>
      <c r="N715" s="482"/>
      <c r="O715" s="482"/>
      <c r="P715" s="482" t="s">
        <v>757</v>
      </c>
      <c r="Q715" s="482" t="s">
        <v>776</v>
      </c>
      <c r="R715" s="501"/>
      <c r="S715" s="502"/>
      <c r="T715" s="506"/>
      <c r="U715" s="488" t="s">
        <v>1091</v>
      </c>
      <c r="V715" s="482"/>
      <c r="W715" s="482"/>
    </row>
    <row r="716" spans="1:23" s="68" customFormat="1" ht="14.25" customHeight="1">
      <c r="A716" s="396" t="s">
        <v>36</v>
      </c>
      <c r="B716" s="500" t="s">
        <v>132</v>
      </c>
      <c r="C716" s="499" t="s">
        <v>212</v>
      </c>
      <c r="D716" s="431" t="s">
        <v>1656</v>
      </c>
      <c r="F716" s="482"/>
      <c r="J716" s="68" t="s">
        <v>1460</v>
      </c>
      <c r="K716" s="396" t="s">
        <v>42</v>
      </c>
      <c r="L716" s="396" t="s">
        <v>768</v>
      </c>
      <c r="M716" s="68" t="s">
        <v>774</v>
      </c>
      <c r="N716" s="396"/>
      <c r="O716" s="396"/>
      <c r="P716" s="68" t="s">
        <v>769</v>
      </c>
      <c r="Q716" s="68" t="s">
        <v>776</v>
      </c>
      <c r="R716" s="501"/>
      <c r="S716" s="502"/>
      <c r="T716" s="101"/>
      <c r="U716" s="97" t="s">
        <v>1091</v>
      </c>
      <c r="W716" s="396"/>
    </row>
    <row r="717" spans="1:23" s="68" customFormat="1" ht="14.25" customHeight="1">
      <c r="A717" s="716" t="s">
        <v>36</v>
      </c>
      <c r="B717" s="721" t="s">
        <v>132</v>
      </c>
      <c r="C717" s="723" t="s">
        <v>3186</v>
      </c>
      <c r="D717" s="485"/>
      <c r="E717" s="717"/>
      <c r="F717" s="717"/>
      <c r="G717" s="717"/>
      <c r="H717" s="717"/>
      <c r="I717" s="717"/>
      <c r="J717" s="659" t="s">
        <v>794</v>
      </c>
      <c r="K717" s="659" t="s">
        <v>794</v>
      </c>
      <c r="L717" s="659" t="s">
        <v>794</v>
      </c>
      <c r="M717" s="717"/>
      <c r="N717" s="717"/>
      <c r="O717" s="717"/>
      <c r="P717" s="717" t="s">
        <v>795</v>
      </c>
      <c r="Q717" s="717" t="s">
        <v>3197</v>
      </c>
      <c r="R717" s="718"/>
      <c r="S717" s="716"/>
      <c r="T717" s="719">
        <v>43936</v>
      </c>
      <c r="U717" s="718"/>
      <c r="V717" s="717"/>
      <c r="W717" s="486"/>
    </row>
    <row r="718" spans="1:23" s="68" customFormat="1" ht="14.25" customHeight="1">
      <c r="A718" s="396" t="s">
        <v>36</v>
      </c>
      <c r="B718" s="500" t="s">
        <v>132</v>
      </c>
      <c r="C718" s="499" t="s">
        <v>1033</v>
      </c>
      <c r="D718" s="431" t="s">
        <v>1657</v>
      </c>
      <c r="E718" s="482" t="s">
        <v>1523</v>
      </c>
      <c r="F718" s="396" t="s">
        <v>1713</v>
      </c>
      <c r="G718" s="68" t="s">
        <v>1714</v>
      </c>
      <c r="H718" s="68" t="s">
        <v>40</v>
      </c>
      <c r="I718" s="68" t="s">
        <v>131</v>
      </c>
      <c r="J718" s="68" t="s">
        <v>42</v>
      </c>
      <c r="K718" s="68" t="s">
        <v>42</v>
      </c>
      <c r="L718" s="68" t="s">
        <v>756</v>
      </c>
      <c r="M718" s="68" t="s">
        <v>774</v>
      </c>
      <c r="N718" s="68">
        <v>25.106670000000001</v>
      </c>
      <c r="O718" s="68">
        <v>97.756789999999995</v>
      </c>
      <c r="P718" s="68" t="s">
        <v>757</v>
      </c>
      <c r="Q718" s="68" t="s">
        <v>776</v>
      </c>
      <c r="R718" s="501"/>
      <c r="S718" s="502"/>
      <c r="T718" s="101"/>
      <c r="U718" s="97" t="s">
        <v>1028</v>
      </c>
      <c r="V718" s="68" t="s">
        <v>1034</v>
      </c>
      <c r="W718" s="391" t="s">
        <v>2166</v>
      </c>
    </row>
    <row r="719" spans="1:23" s="68" customFormat="1" ht="14.25" customHeight="1">
      <c r="A719" s="716" t="s">
        <v>36</v>
      </c>
      <c r="B719" s="721" t="s">
        <v>132</v>
      </c>
      <c r="C719" s="723" t="s">
        <v>3194</v>
      </c>
      <c r="D719" s="485"/>
      <c r="E719" s="717"/>
      <c r="F719" s="717"/>
      <c r="G719" s="717"/>
      <c r="H719" s="717"/>
      <c r="I719" s="717"/>
      <c r="J719" s="659" t="s">
        <v>794</v>
      </c>
      <c r="K719" s="659" t="s">
        <v>794</v>
      </c>
      <c r="L719" s="659" t="s">
        <v>794</v>
      </c>
      <c r="M719" s="717"/>
      <c r="N719" s="717"/>
      <c r="O719" s="717"/>
      <c r="P719" s="717" t="s">
        <v>795</v>
      </c>
      <c r="Q719" s="717" t="s">
        <v>3197</v>
      </c>
      <c r="R719" s="725"/>
      <c r="S719" s="726"/>
      <c r="T719" s="719">
        <v>43936</v>
      </c>
      <c r="U719" s="718"/>
      <c r="V719" s="717"/>
      <c r="W719" s="486"/>
    </row>
    <row r="720" spans="1:23" s="68" customFormat="1" ht="14.25" customHeight="1">
      <c r="A720" s="396" t="s">
        <v>2647</v>
      </c>
      <c r="B720" s="500" t="s">
        <v>319</v>
      </c>
      <c r="C720" s="499" t="s">
        <v>2544</v>
      </c>
      <c r="D720" s="431"/>
      <c r="F720" s="482"/>
      <c r="J720" s="68" t="s">
        <v>2652</v>
      </c>
      <c r="K720" s="68" t="s">
        <v>2622</v>
      </c>
      <c r="L720" s="68" t="s">
        <v>2622</v>
      </c>
      <c r="P720" s="68" t="s">
        <v>1972</v>
      </c>
      <c r="R720" s="486"/>
      <c r="S720" s="487"/>
      <c r="T720" s="101"/>
      <c r="U720" s="97"/>
      <c r="W720" s="396"/>
    </row>
    <row r="721" spans="1:23" s="68" customFormat="1" ht="14.25" customHeight="1">
      <c r="A721" s="443" t="s">
        <v>2647</v>
      </c>
      <c r="B721" s="444" t="s">
        <v>319</v>
      </c>
      <c r="C721" s="451" t="s">
        <v>2675</v>
      </c>
      <c r="D721" s="485"/>
      <c r="E721" s="445">
        <v>198334</v>
      </c>
      <c r="F721" s="445" t="s">
        <v>2675</v>
      </c>
      <c r="G721" s="445"/>
      <c r="H721" s="445"/>
      <c r="I721" s="445"/>
      <c r="J721" s="68" t="s">
        <v>794</v>
      </c>
      <c r="K721" s="68" t="s">
        <v>794</v>
      </c>
      <c r="L721" s="68" t="s">
        <v>794</v>
      </c>
      <c r="M721" s="445"/>
      <c r="N721" s="445">
        <v>20.825700759887699</v>
      </c>
      <c r="O721" s="445">
        <v>92.542686462402301</v>
      </c>
      <c r="P721" s="396" t="s">
        <v>795</v>
      </c>
      <c r="Q721" s="445" t="s">
        <v>2627</v>
      </c>
      <c r="R721" s="446"/>
      <c r="S721" s="443"/>
      <c r="T721" s="447">
        <v>43580</v>
      </c>
      <c r="U721" s="448" t="s">
        <v>2672</v>
      </c>
      <c r="V721" s="449"/>
      <c r="W721" s="486"/>
    </row>
    <row r="722" spans="1:23" s="482" customFormat="1" ht="14.25" customHeight="1">
      <c r="A722" s="482" t="s">
        <v>2647</v>
      </c>
      <c r="B722" s="504" t="s">
        <v>319</v>
      </c>
      <c r="C722" s="499" t="s">
        <v>627</v>
      </c>
      <c r="D722" s="431" t="s">
        <v>1656</v>
      </c>
      <c r="E722" s="482">
        <v>198334</v>
      </c>
      <c r="J722" s="482" t="s">
        <v>2652</v>
      </c>
      <c r="K722" s="482" t="s">
        <v>2622</v>
      </c>
      <c r="L722" s="482" t="s">
        <v>2622</v>
      </c>
      <c r="M722" s="482" t="s">
        <v>791</v>
      </c>
      <c r="N722" s="482">
        <v>20.82570076</v>
      </c>
      <c r="O722" s="482">
        <v>92.542686459999999</v>
      </c>
      <c r="P722" s="482" t="s">
        <v>1972</v>
      </c>
      <c r="Q722" s="482" t="s">
        <v>776</v>
      </c>
      <c r="R722" s="486"/>
      <c r="S722" s="487"/>
      <c r="T722" s="506"/>
      <c r="U722" s="488"/>
      <c r="V722" s="482" t="s">
        <v>627</v>
      </c>
    </row>
    <row r="723" spans="1:23" s="68" customFormat="1" ht="14.25" customHeight="1">
      <c r="A723" s="396" t="s">
        <v>2647</v>
      </c>
      <c r="B723" s="504" t="s">
        <v>319</v>
      </c>
      <c r="C723" s="416" t="s">
        <v>2514</v>
      </c>
      <c r="D723" s="485"/>
      <c r="E723" s="68">
        <v>198349</v>
      </c>
      <c r="F723" s="445" t="s">
        <v>2514</v>
      </c>
      <c r="J723" s="68" t="s">
        <v>794</v>
      </c>
      <c r="K723" s="68" t="s">
        <v>794</v>
      </c>
      <c r="L723" s="68" t="s">
        <v>794</v>
      </c>
      <c r="M723" s="171" t="s">
        <v>791</v>
      </c>
      <c r="N723" s="68">
        <v>20.819919586181602</v>
      </c>
      <c r="O723" s="68">
        <v>92.589729309082003</v>
      </c>
      <c r="P723" s="482" t="s">
        <v>795</v>
      </c>
      <c r="Q723" s="68" t="s">
        <v>2961</v>
      </c>
      <c r="R723" s="494"/>
      <c r="S723" s="487"/>
      <c r="T723" s="101">
        <v>43769</v>
      </c>
      <c r="U723" s="494"/>
      <c r="W723" s="486"/>
    </row>
    <row r="724" spans="1:23" s="68" customFormat="1" ht="14.25" customHeight="1">
      <c r="A724" s="482" t="s">
        <v>2647</v>
      </c>
      <c r="B724" s="504" t="s">
        <v>319</v>
      </c>
      <c r="C724" s="503" t="s">
        <v>540</v>
      </c>
      <c r="D724" s="431" t="s">
        <v>1656</v>
      </c>
      <c r="E724" s="396">
        <v>198443</v>
      </c>
      <c r="F724" s="396"/>
      <c r="J724" s="68" t="s">
        <v>794</v>
      </c>
      <c r="K724" s="68" t="s">
        <v>794</v>
      </c>
      <c r="L724" s="68" t="s">
        <v>794</v>
      </c>
      <c r="M724" s="68" t="s">
        <v>791</v>
      </c>
      <c r="N724" s="396">
        <v>20.686819079999999</v>
      </c>
      <c r="O724" s="396">
        <v>92.57855988</v>
      </c>
      <c r="P724" s="68" t="s">
        <v>795</v>
      </c>
      <c r="Q724" s="68" t="s">
        <v>776</v>
      </c>
      <c r="R724" s="486"/>
      <c r="S724" s="487"/>
      <c r="T724" s="412"/>
      <c r="U724" s="488"/>
      <c r="V724" s="68" t="s">
        <v>540</v>
      </c>
      <c r="W724" s="482"/>
    </row>
    <row r="725" spans="1:23" s="68" customFormat="1" ht="14.25" customHeight="1">
      <c r="A725" s="482" t="s">
        <v>2647</v>
      </c>
      <c r="B725" s="500" t="s">
        <v>319</v>
      </c>
      <c r="C725" s="499" t="s">
        <v>2687</v>
      </c>
      <c r="D725" s="431" t="s">
        <v>1656</v>
      </c>
      <c r="E725" s="482">
        <v>198185</v>
      </c>
      <c r="F725" s="482"/>
      <c r="G725" s="482"/>
      <c r="H725" s="482"/>
      <c r="I725" s="482"/>
      <c r="J725" s="396" t="s">
        <v>794</v>
      </c>
      <c r="K725" s="396" t="s">
        <v>794</v>
      </c>
      <c r="L725" s="68" t="s">
        <v>794</v>
      </c>
      <c r="M725" s="482" t="s">
        <v>791</v>
      </c>
      <c r="N725" s="482">
        <v>20.961650850000002</v>
      </c>
      <c r="O725" s="482">
        <v>92.502937320000001</v>
      </c>
      <c r="P725" s="482" t="s">
        <v>795</v>
      </c>
      <c r="Q725" s="482" t="s">
        <v>776</v>
      </c>
      <c r="R725" s="486"/>
      <c r="S725" s="487"/>
      <c r="T725" s="506"/>
      <c r="U725" s="488"/>
      <c r="V725" s="482" t="s">
        <v>661</v>
      </c>
      <c r="W725" s="482"/>
    </row>
    <row r="726" spans="1:23" s="68" customFormat="1" ht="14.25" customHeight="1">
      <c r="A726" s="487" t="s">
        <v>2647</v>
      </c>
      <c r="B726" s="501" t="s">
        <v>319</v>
      </c>
      <c r="C726" s="416" t="s">
        <v>2814</v>
      </c>
      <c r="D726" s="485"/>
      <c r="E726" s="482">
        <v>198357</v>
      </c>
      <c r="F726" s="482"/>
      <c r="G726" s="482"/>
      <c r="H726" s="482"/>
      <c r="I726" s="482"/>
      <c r="J726" s="68" t="s">
        <v>794</v>
      </c>
      <c r="K726" s="68" t="s">
        <v>794</v>
      </c>
      <c r="L726" s="68" t="s">
        <v>794</v>
      </c>
      <c r="N726" s="482">
        <v>20.813840866088899</v>
      </c>
      <c r="O726" s="68">
        <v>92.599952697753906</v>
      </c>
      <c r="P726" s="68" t="s">
        <v>795</v>
      </c>
      <c r="Q726" s="482"/>
      <c r="R726" s="494"/>
      <c r="S726" s="487"/>
      <c r="T726" s="506"/>
      <c r="U726" s="494"/>
      <c r="W726" s="486"/>
    </row>
    <row r="727" spans="1:23" s="68" customFormat="1" ht="14.25" customHeight="1">
      <c r="A727" s="396" t="s">
        <v>2647</v>
      </c>
      <c r="B727" s="504" t="s">
        <v>319</v>
      </c>
      <c r="C727" s="503" t="s">
        <v>579</v>
      </c>
      <c r="D727" s="431" t="s">
        <v>1656</v>
      </c>
      <c r="E727" s="396">
        <v>198427</v>
      </c>
      <c r="J727" s="396" t="s">
        <v>794</v>
      </c>
      <c r="K727" s="396" t="s">
        <v>794</v>
      </c>
      <c r="L727" s="68" t="s">
        <v>794</v>
      </c>
      <c r="M727" s="68" t="s">
        <v>885</v>
      </c>
      <c r="N727" s="498">
        <v>20.742059709999999</v>
      </c>
      <c r="O727" s="498">
        <v>92.630676269999995</v>
      </c>
      <c r="P727" s="68" t="s">
        <v>795</v>
      </c>
      <c r="Q727" s="68" t="s">
        <v>776</v>
      </c>
      <c r="R727" s="486"/>
      <c r="S727" s="487"/>
      <c r="T727" s="101"/>
      <c r="U727" s="97"/>
      <c r="V727" s="68" t="s">
        <v>579</v>
      </c>
    </row>
    <row r="728" spans="1:23" s="68" customFormat="1" ht="14.25" customHeight="1">
      <c r="A728" s="396" t="s">
        <v>2647</v>
      </c>
      <c r="B728" s="500" t="s">
        <v>319</v>
      </c>
      <c r="C728" s="499" t="s">
        <v>2521</v>
      </c>
      <c r="D728" s="431"/>
      <c r="E728" s="482">
        <v>198427</v>
      </c>
      <c r="F728" s="482" t="s">
        <v>2630</v>
      </c>
      <c r="G728" s="482"/>
      <c r="H728" s="482"/>
      <c r="I728" s="482"/>
      <c r="J728" s="68" t="s">
        <v>794</v>
      </c>
      <c r="K728" s="396" t="s">
        <v>794</v>
      </c>
      <c r="L728" s="396" t="s">
        <v>794</v>
      </c>
      <c r="M728" s="482" t="s">
        <v>791</v>
      </c>
      <c r="N728" s="482"/>
      <c r="O728" s="482"/>
      <c r="P728" s="68" t="s">
        <v>795</v>
      </c>
      <c r="Q728" s="482" t="s">
        <v>2627</v>
      </c>
      <c r="R728" s="486"/>
      <c r="S728" s="487"/>
      <c r="T728" s="506"/>
      <c r="U728" s="488"/>
      <c r="V728" s="482"/>
      <c r="W728" s="396"/>
    </row>
    <row r="729" spans="1:23" s="68" customFormat="1" ht="14.25" customHeight="1">
      <c r="A729" s="396" t="s">
        <v>2647</v>
      </c>
      <c r="B729" s="504" t="s">
        <v>319</v>
      </c>
      <c r="C729" s="503" t="s">
        <v>2520</v>
      </c>
      <c r="D729" s="431"/>
      <c r="E729" s="482">
        <v>198426</v>
      </c>
      <c r="F729" s="482" t="s">
        <v>2630</v>
      </c>
      <c r="G729" s="482"/>
      <c r="H729" s="482"/>
      <c r="I729" s="482"/>
      <c r="J729" s="68" t="s">
        <v>794</v>
      </c>
      <c r="K729" s="396" t="s">
        <v>794</v>
      </c>
      <c r="L729" s="396" t="s">
        <v>794</v>
      </c>
      <c r="M729" s="482" t="s">
        <v>294</v>
      </c>
      <c r="N729" s="482"/>
      <c r="O729" s="482"/>
      <c r="P729" s="68" t="s">
        <v>795</v>
      </c>
      <c r="Q729" s="482" t="s">
        <v>2627</v>
      </c>
      <c r="R729" s="486"/>
      <c r="S729" s="487"/>
      <c r="T729" s="506"/>
      <c r="U729" s="488"/>
      <c r="V729" s="482"/>
    </row>
    <row r="730" spans="1:23" s="68" customFormat="1" ht="14.25" customHeight="1">
      <c r="A730" s="490" t="s">
        <v>2647</v>
      </c>
      <c r="B730" s="501" t="s">
        <v>319</v>
      </c>
      <c r="C730" s="416" t="s">
        <v>2783</v>
      </c>
      <c r="D730" s="485"/>
      <c r="E730" s="68">
        <v>198415</v>
      </c>
      <c r="J730" s="68" t="s">
        <v>2652</v>
      </c>
      <c r="K730" s="396" t="s">
        <v>2622</v>
      </c>
      <c r="L730" s="396" t="s">
        <v>2622</v>
      </c>
      <c r="N730" s="68">
        <v>20.734859466552699</v>
      </c>
      <c r="O730" s="68">
        <v>92.657089233398395</v>
      </c>
      <c r="P730" s="482"/>
      <c r="R730" s="494"/>
      <c r="S730" s="400"/>
      <c r="T730" s="101">
        <v>43591</v>
      </c>
      <c r="U730" s="494"/>
      <c r="W730" s="486"/>
    </row>
    <row r="731" spans="1:23" s="68" customFormat="1" ht="14.25" customHeight="1">
      <c r="A731" s="482" t="s">
        <v>2647</v>
      </c>
      <c r="B731" s="500" t="s">
        <v>319</v>
      </c>
      <c r="C731" s="499" t="s">
        <v>601</v>
      </c>
      <c r="D731" s="431" t="s">
        <v>1656</v>
      </c>
      <c r="E731" s="68">
        <v>198367</v>
      </c>
      <c r="F731" s="482"/>
      <c r="J731" s="68" t="s">
        <v>794</v>
      </c>
      <c r="K731" s="68" t="s">
        <v>794</v>
      </c>
      <c r="L731" s="68" t="s">
        <v>794</v>
      </c>
      <c r="M731" s="68" t="s">
        <v>791</v>
      </c>
      <c r="N731" s="68">
        <v>20.792390820000001</v>
      </c>
      <c r="O731" s="68">
        <v>92.587081909999995</v>
      </c>
      <c r="P731" s="68" t="s">
        <v>795</v>
      </c>
      <c r="Q731" s="68" t="s">
        <v>776</v>
      </c>
      <c r="R731" s="486"/>
      <c r="S731" s="487"/>
      <c r="T731" s="101"/>
      <c r="U731" s="488"/>
      <c r="V731" s="68" t="s">
        <v>601</v>
      </c>
      <c r="W731" s="482"/>
    </row>
    <row r="732" spans="1:23" s="68" customFormat="1" ht="14.25" customHeight="1">
      <c r="A732" s="396" t="s">
        <v>2647</v>
      </c>
      <c r="B732" s="500" t="s">
        <v>319</v>
      </c>
      <c r="C732" s="499" t="s">
        <v>2975</v>
      </c>
      <c r="D732" s="431"/>
      <c r="E732" s="482">
        <v>198290</v>
      </c>
      <c r="F732" s="484"/>
      <c r="G732" s="482"/>
      <c r="H732" s="482"/>
      <c r="I732" s="482"/>
      <c r="J732" s="68" t="s">
        <v>794</v>
      </c>
      <c r="K732" s="68" t="s">
        <v>794</v>
      </c>
      <c r="L732" s="68" t="s">
        <v>794</v>
      </c>
      <c r="M732" s="482" t="s">
        <v>294</v>
      </c>
      <c r="N732" s="482">
        <v>20.864589691162099</v>
      </c>
      <c r="O732" s="482">
        <v>92.575378417968807</v>
      </c>
      <c r="P732" s="68" t="s">
        <v>795</v>
      </c>
      <c r="Q732" s="482" t="s">
        <v>2961</v>
      </c>
      <c r="R732" s="490"/>
      <c r="S732" s="491"/>
      <c r="T732" s="506">
        <v>43768</v>
      </c>
      <c r="U732" s="488"/>
      <c r="V732" s="482"/>
      <c r="W732" s="482"/>
    </row>
    <row r="733" spans="1:23" s="68" customFormat="1" ht="14.25" customHeight="1">
      <c r="A733" s="396" t="s">
        <v>2647</v>
      </c>
      <c r="B733" s="500" t="s">
        <v>319</v>
      </c>
      <c r="C733" s="416" t="s">
        <v>2989</v>
      </c>
      <c r="D733" s="485"/>
      <c r="E733" s="482">
        <v>198223</v>
      </c>
      <c r="F733" s="482"/>
      <c r="G733" s="482"/>
      <c r="H733" s="482"/>
      <c r="I733" s="482"/>
      <c r="J733" s="482" t="s">
        <v>794</v>
      </c>
      <c r="K733" s="482" t="s">
        <v>794</v>
      </c>
      <c r="L733" s="482" t="s">
        <v>794</v>
      </c>
      <c r="M733" s="482"/>
      <c r="N733" s="482">
        <v>20.9363498687744</v>
      </c>
      <c r="O733" s="482">
        <v>92.5257568359375</v>
      </c>
      <c r="P733" s="482" t="s">
        <v>795</v>
      </c>
      <c r="Q733" s="482" t="s">
        <v>2961</v>
      </c>
      <c r="R733" s="495"/>
      <c r="S733" s="491"/>
      <c r="T733" s="506">
        <v>43769</v>
      </c>
      <c r="U733" s="494"/>
      <c r="V733" s="482"/>
      <c r="W733" s="486"/>
    </row>
    <row r="734" spans="1:23" s="68" customFormat="1" ht="14.25" customHeight="1">
      <c r="A734" s="482" t="s">
        <v>2647</v>
      </c>
      <c r="B734" s="500" t="s">
        <v>319</v>
      </c>
      <c r="C734" s="499" t="s">
        <v>648</v>
      </c>
      <c r="D734" s="431" t="s">
        <v>1656</v>
      </c>
      <c r="E734" s="482">
        <v>198317</v>
      </c>
      <c r="F734" s="482"/>
      <c r="G734" s="482"/>
      <c r="H734" s="482"/>
      <c r="I734" s="482"/>
      <c r="J734" s="482" t="s">
        <v>794</v>
      </c>
      <c r="K734" s="482" t="s">
        <v>794</v>
      </c>
      <c r="L734" s="482" t="s">
        <v>794</v>
      </c>
      <c r="M734" s="482" t="s">
        <v>791</v>
      </c>
      <c r="N734" s="498">
        <v>20.891330719999999</v>
      </c>
      <c r="O734" s="498">
        <v>92.491966250000004</v>
      </c>
      <c r="P734" s="482" t="s">
        <v>795</v>
      </c>
      <c r="Q734" s="482" t="s">
        <v>776</v>
      </c>
      <c r="R734" s="490"/>
      <c r="S734" s="491"/>
      <c r="T734" s="506"/>
      <c r="U734" s="488"/>
      <c r="V734" s="482" t="s">
        <v>648</v>
      </c>
      <c r="W734" s="482"/>
    </row>
    <row r="735" spans="1:23" s="68" customFormat="1" ht="14.25" customHeight="1">
      <c r="A735" s="490" t="s">
        <v>2647</v>
      </c>
      <c r="B735" s="501" t="s">
        <v>319</v>
      </c>
      <c r="C735" s="416" t="s">
        <v>617</v>
      </c>
      <c r="D735" s="485"/>
      <c r="E735" s="482">
        <v>217876</v>
      </c>
      <c r="F735" s="482"/>
      <c r="G735" s="482"/>
      <c r="H735" s="482"/>
      <c r="I735" s="482"/>
      <c r="J735" s="482" t="s">
        <v>794</v>
      </c>
      <c r="K735" s="482" t="s">
        <v>794</v>
      </c>
      <c r="L735" s="482" t="s">
        <v>794</v>
      </c>
      <c r="M735" s="482" t="s">
        <v>294</v>
      </c>
      <c r="N735" s="482">
        <v>20.818290709999999</v>
      </c>
      <c r="O735" s="482">
        <v>92.594978330000004</v>
      </c>
      <c r="P735" s="482" t="s">
        <v>795</v>
      </c>
      <c r="Q735" s="482"/>
      <c r="R735" s="495"/>
      <c r="S735" s="491"/>
      <c r="T735" s="506">
        <v>43591</v>
      </c>
      <c r="U735" s="494"/>
      <c r="V735" s="482"/>
      <c r="W735" s="486"/>
    </row>
    <row r="736" spans="1:23" s="68" customFormat="1" ht="14.25" customHeight="1">
      <c r="A736" s="396" t="s">
        <v>2647</v>
      </c>
      <c r="B736" s="409" t="s">
        <v>319</v>
      </c>
      <c r="C736" s="408" t="s">
        <v>320</v>
      </c>
      <c r="D736" s="431" t="s">
        <v>1656</v>
      </c>
      <c r="E736" s="396"/>
      <c r="F736" s="482"/>
      <c r="J736" s="68" t="s">
        <v>800</v>
      </c>
      <c r="K736" s="396" t="s">
        <v>794</v>
      </c>
      <c r="L736" s="396" t="s">
        <v>800</v>
      </c>
      <c r="M736" s="68" t="s">
        <v>791</v>
      </c>
      <c r="P736" s="68" t="s">
        <v>919</v>
      </c>
      <c r="Q736" s="68" t="s">
        <v>798</v>
      </c>
      <c r="R736" s="490"/>
      <c r="S736" s="491"/>
      <c r="T736" s="412">
        <v>42926</v>
      </c>
      <c r="U736" s="97" t="s">
        <v>929</v>
      </c>
      <c r="W736" s="396"/>
    </row>
    <row r="737" spans="1:23" s="482" customFormat="1" ht="14.25" customHeight="1">
      <c r="A737" s="482" t="s">
        <v>2647</v>
      </c>
      <c r="B737" s="500" t="s">
        <v>319</v>
      </c>
      <c r="C737" s="499" t="s">
        <v>538</v>
      </c>
      <c r="D737" s="431"/>
      <c r="E737" s="482">
        <v>220754</v>
      </c>
      <c r="J737" s="482" t="s">
        <v>794</v>
      </c>
      <c r="K737" s="482" t="s">
        <v>794</v>
      </c>
      <c r="L737" s="482" t="s">
        <v>794</v>
      </c>
      <c r="N737" s="482">
        <v>20.685689929999999</v>
      </c>
      <c r="O737" s="482">
        <v>92.572860719999994</v>
      </c>
      <c r="P737" s="482" t="s">
        <v>795</v>
      </c>
      <c r="Q737" s="482" t="s">
        <v>2961</v>
      </c>
      <c r="R737" s="490"/>
      <c r="S737" s="491"/>
      <c r="T737" s="506">
        <v>43768</v>
      </c>
      <c r="U737" s="488"/>
    </row>
    <row r="738" spans="1:23" s="482" customFormat="1" ht="14.25" customHeight="1">
      <c r="A738" s="482" t="s">
        <v>2647</v>
      </c>
      <c r="B738" s="500" t="s">
        <v>319</v>
      </c>
      <c r="C738" s="499" t="s">
        <v>567</v>
      </c>
      <c r="D738" s="431" t="s">
        <v>1656</v>
      </c>
      <c r="E738" s="482">
        <v>198429</v>
      </c>
      <c r="J738" s="482" t="s">
        <v>794</v>
      </c>
      <c r="K738" s="482" t="s">
        <v>794</v>
      </c>
      <c r="L738" s="482" t="s">
        <v>794</v>
      </c>
      <c r="M738" s="482" t="s">
        <v>791</v>
      </c>
      <c r="N738" s="482">
        <v>20.721019739999999</v>
      </c>
      <c r="O738" s="482">
        <v>92.626197809999994</v>
      </c>
      <c r="P738" s="482" t="s">
        <v>795</v>
      </c>
      <c r="Q738" s="482" t="s">
        <v>776</v>
      </c>
      <c r="R738" s="486"/>
      <c r="S738" s="487"/>
      <c r="T738" s="506"/>
      <c r="U738" s="488"/>
      <c r="V738" s="482" t="s">
        <v>567</v>
      </c>
    </row>
    <row r="739" spans="1:23" s="68" customFormat="1" ht="14.25" customHeight="1">
      <c r="A739" s="482" t="s">
        <v>2647</v>
      </c>
      <c r="B739" s="500" t="s">
        <v>319</v>
      </c>
      <c r="C739" s="499" t="s">
        <v>647</v>
      </c>
      <c r="D739" s="431"/>
      <c r="E739" s="396">
        <v>198435</v>
      </c>
      <c r="F739" s="482" t="s">
        <v>2632</v>
      </c>
      <c r="G739" s="396"/>
      <c r="H739" s="396"/>
      <c r="I739" s="396"/>
      <c r="J739" s="68" t="s">
        <v>794</v>
      </c>
      <c r="K739" s="396" t="s">
        <v>794</v>
      </c>
      <c r="L739" s="396" t="s">
        <v>794</v>
      </c>
      <c r="M739" s="68" t="s">
        <v>791</v>
      </c>
      <c r="P739" s="68" t="s">
        <v>795</v>
      </c>
      <c r="Q739" s="68" t="s">
        <v>2627</v>
      </c>
      <c r="R739" s="490"/>
      <c r="S739" s="491"/>
      <c r="T739" s="412"/>
      <c r="U739" s="488"/>
      <c r="V739" s="482"/>
      <c r="W739" s="482"/>
    </row>
    <row r="740" spans="1:23" s="68" customFormat="1" ht="14.25" customHeight="1">
      <c r="A740" s="482" t="s">
        <v>2647</v>
      </c>
      <c r="B740" s="500" t="s">
        <v>319</v>
      </c>
      <c r="C740" s="499" t="s">
        <v>2985</v>
      </c>
      <c r="D740" s="431" t="s">
        <v>1656</v>
      </c>
      <c r="E740" s="68">
        <v>198390</v>
      </c>
      <c r="F740" s="482"/>
      <c r="J740" s="68" t="s">
        <v>794</v>
      </c>
      <c r="K740" s="68" t="s">
        <v>794</v>
      </c>
      <c r="L740" s="68" t="s">
        <v>794</v>
      </c>
      <c r="M740" s="68" t="s">
        <v>791</v>
      </c>
      <c r="N740" s="68">
        <v>20.753370289999999</v>
      </c>
      <c r="O740" s="68">
        <v>92.545188899999999</v>
      </c>
      <c r="P740" s="68" t="s">
        <v>795</v>
      </c>
      <c r="Q740" s="396" t="s">
        <v>776</v>
      </c>
      <c r="R740" s="490"/>
      <c r="S740" s="491"/>
      <c r="T740" s="412"/>
      <c r="U740" s="488"/>
      <c r="V740" s="68" t="s">
        <v>581</v>
      </c>
      <c r="W740" s="482"/>
    </row>
    <row r="741" spans="1:23" s="68" customFormat="1" ht="14.25" customHeight="1">
      <c r="A741" s="396" t="s">
        <v>2647</v>
      </c>
      <c r="B741" s="500" t="s">
        <v>319</v>
      </c>
      <c r="C741" s="499" t="s">
        <v>2522</v>
      </c>
      <c r="D741" s="431" t="s">
        <v>1656</v>
      </c>
      <c r="E741" s="396">
        <v>198431</v>
      </c>
      <c r="F741" s="482" t="s">
        <v>2631</v>
      </c>
      <c r="G741" s="396"/>
      <c r="H741" s="396"/>
      <c r="I741" s="396"/>
      <c r="J741" s="396" t="s">
        <v>794</v>
      </c>
      <c r="K741" s="396" t="s">
        <v>794</v>
      </c>
      <c r="L741" s="396" t="s">
        <v>794</v>
      </c>
      <c r="M741" s="396" t="s">
        <v>791</v>
      </c>
      <c r="N741" s="396">
        <v>20.703790659999999</v>
      </c>
      <c r="O741" s="396">
        <v>92.628463749999995</v>
      </c>
      <c r="P741" s="396" t="s">
        <v>795</v>
      </c>
      <c r="Q741" s="396" t="s">
        <v>776</v>
      </c>
      <c r="R741" s="486"/>
      <c r="S741" s="487"/>
      <c r="T741" s="412"/>
      <c r="U741" s="488"/>
      <c r="V741" s="396" t="s">
        <v>550</v>
      </c>
      <c r="W741" s="482"/>
    </row>
    <row r="742" spans="1:23" s="68" customFormat="1" ht="14.25" customHeight="1">
      <c r="A742" s="396" t="s">
        <v>2647</v>
      </c>
      <c r="B742" s="500" t="s">
        <v>319</v>
      </c>
      <c r="C742" s="499" t="s">
        <v>2523</v>
      </c>
      <c r="D742" s="431" t="s">
        <v>1656</v>
      </c>
      <c r="E742" s="68">
        <v>198428</v>
      </c>
      <c r="J742" s="68" t="s">
        <v>794</v>
      </c>
      <c r="K742" s="68" t="s">
        <v>794</v>
      </c>
      <c r="L742" s="68" t="s">
        <v>794</v>
      </c>
      <c r="M742" s="68" t="s">
        <v>294</v>
      </c>
      <c r="N742" s="68">
        <v>20.703920360000001</v>
      </c>
      <c r="O742" s="68">
        <v>92.631500239999994</v>
      </c>
      <c r="P742" s="482" t="s">
        <v>795</v>
      </c>
      <c r="Q742" s="68" t="s">
        <v>776</v>
      </c>
      <c r="R742" s="486"/>
      <c r="S742" s="487"/>
      <c r="T742" s="101"/>
      <c r="U742" s="97"/>
      <c r="V742" s="68" t="s">
        <v>551</v>
      </c>
    </row>
    <row r="743" spans="1:23" s="68" customFormat="1" ht="14.25" customHeight="1">
      <c r="A743" s="396" t="s">
        <v>2647</v>
      </c>
      <c r="B743" s="500" t="s">
        <v>319</v>
      </c>
      <c r="C743" s="499" t="s">
        <v>529</v>
      </c>
      <c r="D743" s="431" t="s">
        <v>1656</v>
      </c>
      <c r="E743" s="482">
        <v>217884</v>
      </c>
      <c r="F743" s="482"/>
      <c r="G743" s="482"/>
      <c r="H743" s="482"/>
      <c r="I743" s="482"/>
      <c r="J743" s="482" t="s">
        <v>794</v>
      </c>
      <c r="K743" s="482" t="s">
        <v>794</v>
      </c>
      <c r="L743" s="482" t="s">
        <v>794</v>
      </c>
      <c r="M743" s="482" t="s">
        <v>791</v>
      </c>
      <c r="N743" s="482">
        <v>20.673639300000001</v>
      </c>
      <c r="O743" s="482">
        <v>92.596298219999994</v>
      </c>
      <c r="P743" s="482" t="s">
        <v>795</v>
      </c>
      <c r="Q743" s="482" t="s">
        <v>776</v>
      </c>
      <c r="R743" s="486"/>
      <c r="S743" s="487"/>
      <c r="T743" s="506"/>
      <c r="U743" s="488"/>
      <c r="V743" s="482" t="s">
        <v>529</v>
      </c>
      <c r="W743" s="482"/>
    </row>
    <row r="744" spans="1:23" s="68" customFormat="1" ht="14.25" customHeight="1">
      <c r="A744" s="396" t="s">
        <v>2647</v>
      </c>
      <c r="B744" s="504" t="s">
        <v>319</v>
      </c>
      <c r="C744" s="503" t="s">
        <v>2910</v>
      </c>
      <c r="D744" s="431" t="s">
        <v>1656</v>
      </c>
      <c r="E744" s="68">
        <v>198442</v>
      </c>
      <c r="F744" s="482"/>
      <c r="J744" s="68" t="s">
        <v>794</v>
      </c>
      <c r="K744" s="68" t="s">
        <v>794</v>
      </c>
      <c r="L744" s="68" t="s">
        <v>794</v>
      </c>
      <c r="M744" s="68" t="s">
        <v>791</v>
      </c>
      <c r="N744" s="68">
        <v>20.692510599999999</v>
      </c>
      <c r="O744" s="68">
        <v>92.579689029999997</v>
      </c>
      <c r="P744" s="482" t="s">
        <v>795</v>
      </c>
      <c r="Q744" s="68" t="s">
        <v>776</v>
      </c>
      <c r="R744" s="490"/>
      <c r="S744" s="491"/>
      <c r="T744" s="101"/>
      <c r="U744" s="488"/>
      <c r="V744" s="68" t="s">
        <v>545</v>
      </c>
      <c r="W744" s="482"/>
    </row>
    <row r="745" spans="1:23" s="68" customFormat="1" ht="14.25" customHeight="1">
      <c r="A745" s="396" t="s">
        <v>2647</v>
      </c>
      <c r="B745" s="500" t="s">
        <v>319</v>
      </c>
      <c r="C745" s="499" t="s">
        <v>2674</v>
      </c>
      <c r="D745" s="431"/>
      <c r="F745" s="482"/>
      <c r="J745" s="68" t="s">
        <v>794</v>
      </c>
      <c r="K745" s="396" t="s">
        <v>875</v>
      </c>
      <c r="L745" s="396" t="s">
        <v>875</v>
      </c>
      <c r="P745" s="68" t="s">
        <v>795</v>
      </c>
      <c r="R745" s="486"/>
      <c r="S745" s="487"/>
      <c r="T745" s="101"/>
      <c r="U745" s="97"/>
      <c r="V745" s="68" t="s">
        <v>2816</v>
      </c>
      <c r="W745" s="396"/>
    </row>
    <row r="746" spans="1:23" s="68" customFormat="1" ht="14.25" customHeight="1">
      <c r="A746" s="443" t="s">
        <v>2647</v>
      </c>
      <c r="B746" s="676" t="s">
        <v>319</v>
      </c>
      <c r="C746" s="678" t="s">
        <v>1097</v>
      </c>
      <c r="D746" s="485" t="s">
        <v>1656</v>
      </c>
      <c r="E746" s="445">
        <v>198232</v>
      </c>
      <c r="F746" s="512"/>
      <c r="G746" s="445"/>
      <c r="H746" s="445"/>
      <c r="I746" s="445"/>
      <c r="J746" s="482" t="s">
        <v>794</v>
      </c>
      <c r="K746" s="482" t="s">
        <v>794</v>
      </c>
      <c r="L746" s="482" t="s">
        <v>794</v>
      </c>
      <c r="M746" s="445" t="s">
        <v>294</v>
      </c>
      <c r="N746" s="445"/>
      <c r="O746" s="445"/>
      <c r="P746" s="445" t="s">
        <v>795</v>
      </c>
      <c r="Q746" s="445" t="s">
        <v>798</v>
      </c>
      <c r="R746" s="446"/>
      <c r="S746" s="443"/>
      <c r="T746" s="447">
        <v>42926</v>
      </c>
      <c r="U746" s="448" t="s">
        <v>799</v>
      </c>
      <c r="V746" s="449"/>
      <c r="W746" s="486"/>
    </row>
    <row r="747" spans="1:23" s="68" customFormat="1" ht="14.25" customHeight="1">
      <c r="A747" s="482" t="s">
        <v>2647</v>
      </c>
      <c r="B747" s="500" t="s">
        <v>319</v>
      </c>
      <c r="C747" s="499" t="s">
        <v>2628</v>
      </c>
      <c r="D747" s="431"/>
      <c r="E747" s="68">
        <v>198370</v>
      </c>
      <c r="F747" s="396" t="s">
        <v>2628</v>
      </c>
      <c r="J747" s="68" t="s">
        <v>794</v>
      </c>
      <c r="K747" s="396" t="s">
        <v>794</v>
      </c>
      <c r="L747" s="396" t="s">
        <v>794</v>
      </c>
      <c r="N747" s="68">
        <v>20.793779373168899</v>
      </c>
      <c r="O747" s="68">
        <v>92.597961425781307</v>
      </c>
      <c r="P747" s="68" t="s">
        <v>795</v>
      </c>
      <c r="Q747" s="68" t="s">
        <v>2627</v>
      </c>
      <c r="R747" s="486"/>
      <c r="S747" s="487"/>
      <c r="T747" s="101">
        <v>43580</v>
      </c>
      <c r="U747" s="488" t="s">
        <v>2672</v>
      </c>
      <c r="W747" s="482"/>
    </row>
    <row r="748" spans="1:23" s="68" customFormat="1" ht="14.25" customHeight="1">
      <c r="A748" s="482" t="s">
        <v>2647</v>
      </c>
      <c r="B748" s="500" t="s">
        <v>319</v>
      </c>
      <c r="C748" s="499" t="s">
        <v>2513</v>
      </c>
      <c r="D748" s="431"/>
      <c r="E748" s="482">
        <v>198350</v>
      </c>
      <c r="F748" s="482" t="s">
        <v>2514</v>
      </c>
      <c r="G748" s="482"/>
      <c r="H748" s="482"/>
      <c r="I748" s="482"/>
      <c r="J748" s="482" t="s">
        <v>794</v>
      </c>
      <c r="K748" s="482" t="s">
        <v>794</v>
      </c>
      <c r="L748" s="482" t="s">
        <v>794</v>
      </c>
      <c r="M748" s="482" t="s">
        <v>791</v>
      </c>
      <c r="N748" s="482"/>
      <c r="O748" s="482"/>
      <c r="P748" s="482" t="s">
        <v>795</v>
      </c>
      <c r="Q748" s="482" t="s">
        <v>2627</v>
      </c>
      <c r="R748" s="486"/>
      <c r="S748" s="487"/>
      <c r="T748" s="506"/>
      <c r="U748" s="488"/>
      <c r="V748" s="482"/>
      <c r="W748" s="482"/>
    </row>
    <row r="749" spans="1:23" s="68" customFormat="1" ht="14.25" customHeight="1">
      <c r="A749" s="482" t="s">
        <v>2647</v>
      </c>
      <c r="B749" s="500" t="s">
        <v>319</v>
      </c>
      <c r="C749" s="499" t="s">
        <v>664</v>
      </c>
      <c r="D749" s="431" t="s">
        <v>1656</v>
      </c>
      <c r="E749" s="482">
        <v>198183</v>
      </c>
      <c r="F749" s="482"/>
      <c r="G749" s="482"/>
      <c r="H749" s="482"/>
      <c r="I749" s="482"/>
      <c r="J749" s="68" t="s">
        <v>794</v>
      </c>
      <c r="K749" s="396" t="s">
        <v>794</v>
      </c>
      <c r="L749" s="396" t="s">
        <v>794</v>
      </c>
      <c r="M749" s="68" t="s">
        <v>947</v>
      </c>
      <c r="N749" s="482">
        <v>20.977460860000001</v>
      </c>
      <c r="O749" s="396">
        <v>92.484466549999993</v>
      </c>
      <c r="P749" s="482" t="s">
        <v>795</v>
      </c>
      <c r="Q749" s="482" t="s">
        <v>776</v>
      </c>
      <c r="R749" s="486"/>
      <c r="S749" s="487"/>
      <c r="T749" s="506"/>
      <c r="U749" s="488"/>
      <c r="V749" s="68" t="s">
        <v>664</v>
      </c>
      <c r="W749" s="482"/>
    </row>
    <row r="750" spans="1:23" s="68" customFormat="1" ht="14.25" customHeight="1">
      <c r="A750" s="482" t="s">
        <v>2647</v>
      </c>
      <c r="B750" s="500" t="s">
        <v>319</v>
      </c>
      <c r="C750" s="499" t="s">
        <v>663</v>
      </c>
      <c r="D750" s="431" t="s">
        <v>1656</v>
      </c>
      <c r="E750" s="482">
        <v>198187</v>
      </c>
      <c r="F750" s="482"/>
      <c r="G750" s="482"/>
      <c r="H750" s="482"/>
      <c r="I750" s="482"/>
      <c r="J750" s="68" t="s">
        <v>794</v>
      </c>
      <c r="K750" s="68" t="s">
        <v>794</v>
      </c>
      <c r="L750" s="68" t="s">
        <v>794</v>
      </c>
      <c r="M750" s="68" t="s">
        <v>791</v>
      </c>
      <c r="N750" s="482">
        <v>20.974870679999999</v>
      </c>
      <c r="O750" s="68">
        <v>92.483711240000005</v>
      </c>
      <c r="P750" s="68" t="s">
        <v>795</v>
      </c>
      <c r="Q750" s="482" t="s">
        <v>776</v>
      </c>
      <c r="R750" s="486"/>
      <c r="S750" s="487"/>
      <c r="T750" s="506"/>
      <c r="U750" s="488"/>
      <c r="V750" s="68" t="s">
        <v>663</v>
      </c>
      <c r="W750" s="482"/>
    </row>
    <row r="751" spans="1:23" s="482" customFormat="1" ht="14.25" customHeight="1">
      <c r="A751" s="482" t="s">
        <v>2647</v>
      </c>
      <c r="B751" s="500" t="s">
        <v>319</v>
      </c>
      <c r="C751" s="504" t="s">
        <v>2976</v>
      </c>
      <c r="D751" s="431"/>
      <c r="E751" s="482">
        <v>220751</v>
      </c>
      <c r="J751" s="482" t="s">
        <v>794</v>
      </c>
      <c r="K751" s="482" t="s">
        <v>794</v>
      </c>
      <c r="L751" s="482" t="s">
        <v>794</v>
      </c>
      <c r="N751" s="482">
        <v>20.8534545898438</v>
      </c>
      <c r="O751" s="482">
        <v>92.568794250488295</v>
      </c>
      <c r="P751" s="482" t="s">
        <v>795</v>
      </c>
      <c r="Q751" s="482" t="s">
        <v>2961</v>
      </c>
      <c r="R751" s="486"/>
      <c r="S751" s="487"/>
      <c r="T751" s="506">
        <v>43768</v>
      </c>
      <c r="U751" s="488"/>
    </row>
    <row r="752" spans="1:23" s="68" customFormat="1" ht="14.25" customHeight="1">
      <c r="A752" s="396" t="s">
        <v>2647</v>
      </c>
      <c r="B752" s="500" t="s">
        <v>319</v>
      </c>
      <c r="C752" s="499" t="s">
        <v>634</v>
      </c>
      <c r="D752" s="431" t="s">
        <v>1656</v>
      </c>
      <c r="E752" s="396">
        <v>198313</v>
      </c>
      <c r="F752" s="484"/>
      <c r="G752" s="396"/>
      <c r="H752" s="396"/>
      <c r="I752" s="396"/>
      <c r="J752" s="396" t="s">
        <v>794</v>
      </c>
      <c r="K752" s="396" t="s">
        <v>794</v>
      </c>
      <c r="L752" s="396" t="s">
        <v>794</v>
      </c>
      <c r="M752" s="396" t="s">
        <v>294</v>
      </c>
      <c r="N752" s="396">
        <v>20.849060059999999</v>
      </c>
      <c r="O752" s="396">
        <v>92.497413640000005</v>
      </c>
      <c r="P752" s="396" t="s">
        <v>795</v>
      </c>
      <c r="Q752" s="396" t="s">
        <v>798</v>
      </c>
      <c r="R752" s="490"/>
      <c r="S752" s="491"/>
      <c r="T752" s="412">
        <v>42926</v>
      </c>
      <c r="U752" s="401" t="s">
        <v>929</v>
      </c>
      <c r="V752" s="396"/>
      <c r="W752" s="396"/>
    </row>
    <row r="753" spans="1:26" s="68" customFormat="1" ht="14.25" customHeight="1">
      <c r="A753" s="482" t="s">
        <v>2647</v>
      </c>
      <c r="B753" s="504" t="s">
        <v>319</v>
      </c>
      <c r="C753" s="503" t="s">
        <v>640</v>
      </c>
      <c r="D753" s="431" t="s">
        <v>1656</v>
      </c>
      <c r="E753" s="68">
        <v>198301</v>
      </c>
      <c r="J753" s="68" t="s">
        <v>794</v>
      </c>
      <c r="K753" s="396" t="s">
        <v>794</v>
      </c>
      <c r="L753" s="396" t="s">
        <v>794</v>
      </c>
      <c r="M753" s="68" t="s">
        <v>791</v>
      </c>
      <c r="N753" s="68">
        <v>20.876710889999998</v>
      </c>
      <c r="O753" s="68">
        <v>92.537406919999995</v>
      </c>
      <c r="P753" s="68" t="s">
        <v>795</v>
      </c>
      <c r="Q753" s="396" t="s">
        <v>776</v>
      </c>
      <c r="R753" s="490"/>
      <c r="S753" s="491"/>
      <c r="T753" s="412"/>
      <c r="U753" s="488"/>
      <c r="V753" s="68" t="s">
        <v>640</v>
      </c>
      <c r="W753" s="482"/>
    </row>
    <row r="754" spans="1:26" s="68" customFormat="1" ht="14.25" customHeight="1">
      <c r="A754" s="482" t="s">
        <v>2647</v>
      </c>
      <c r="B754" s="504" t="s">
        <v>319</v>
      </c>
      <c r="C754" s="503" t="s">
        <v>541</v>
      </c>
      <c r="D754" s="431" t="s">
        <v>1656</v>
      </c>
      <c r="E754" s="482">
        <v>198444</v>
      </c>
      <c r="F754" s="482"/>
      <c r="G754" s="482"/>
      <c r="H754" s="482"/>
      <c r="I754" s="482"/>
      <c r="J754" s="68" t="s">
        <v>794</v>
      </c>
      <c r="K754" s="396" t="s">
        <v>794</v>
      </c>
      <c r="L754" s="396" t="s">
        <v>794</v>
      </c>
      <c r="M754" s="68" t="s">
        <v>791</v>
      </c>
      <c r="N754" s="482">
        <v>20.687610630000002</v>
      </c>
      <c r="O754" s="68">
        <v>92.617988589999996</v>
      </c>
      <c r="P754" s="68" t="s">
        <v>795</v>
      </c>
      <c r="Q754" s="482" t="s">
        <v>776</v>
      </c>
      <c r="R754" s="490"/>
      <c r="S754" s="491"/>
      <c r="T754" s="506"/>
      <c r="U754" s="488"/>
      <c r="V754" s="68" t="s">
        <v>541</v>
      </c>
      <c r="W754" s="482"/>
    </row>
    <row r="755" spans="1:26" s="68" customFormat="1" ht="14.25" customHeight="1">
      <c r="A755" s="396" t="s">
        <v>2647</v>
      </c>
      <c r="B755" s="504" t="s">
        <v>319</v>
      </c>
      <c r="C755" s="503" t="s">
        <v>659</v>
      </c>
      <c r="D755" s="431" t="s">
        <v>1656</v>
      </c>
      <c r="E755" s="396">
        <v>217866</v>
      </c>
      <c r="J755" s="68" t="s">
        <v>794</v>
      </c>
      <c r="K755" s="68" t="s">
        <v>794</v>
      </c>
      <c r="L755" s="68" t="s">
        <v>794</v>
      </c>
      <c r="M755" s="68" t="s">
        <v>791</v>
      </c>
      <c r="N755" s="68">
        <v>20.936349870000001</v>
      </c>
      <c r="O755" s="68">
        <v>92.468246460000003</v>
      </c>
      <c r="P755" s="68" t="s">
        <v>795</v>
      </c>
      <c r="Q755" s="396" t="s">
        <v>776</v>
      </c>
      <c r="R755" s="490"/>
      <c r="S755" s="491"/>
      <c r="T755" s="412"/>
      <c r="U755" s="97"/>
      <c r="V755" s="68" t="s">
        <v>659</v>
      </c>
      <c r="W755" s="396"/>
    </row>
    <row r="756" spans="1:26" s="68" customFormat="1" ht="14.25" customHeight="1">
      <c r="A756" s="443" t="s">
        <v>2647</v>
      </c>
      <c r="B756" s="444" t="s">
        <v>319</v>
      </c>
      <c r="C756" s="451" t="s">
        <v>609</v>
      </c>
      <c r="D756" s="485" t="s">
        <v>1657</v>
      </c>
      <c r="E756" s="445">
        <v>198336</v>
      </c>
      <c r="F756" s="445" t="s">
        <v>1666</v>
      </c>
      <c r="G756" s="445" t="s">
        <v>1667</v>
      </c>
      <c r="H756" s="445"/>
      <c r="I756" s="445"/>
      <c r="J756" s="68" t="s">
        <v>794</v>
      </c>
      <c r="K756" s="482" t="s">
        <v>794</v>
      </c>
      <c r="L756" s="482" t="s">
        <v>794</v>
      </c>
      <c r="M756" s="445" t="s">
        <v>294</v>
      </c>
      <c r="N756" s="445">
        <v>20.80558014</v>
      </c>
      <c r="O756" s="445">
        <v>92.549842830000003</v>
      </c>
      <c r="P756" s="445" t="s">
        <v>795</v>
      </c>
      <c r="Q756" s="445" t="s">
        <v>798</v>
      </c>
      <c r="R756" s="455"/>
      <c r="S756" s="453"/>
      <c r="T756" s="447">
        <v>42926</v>
      </c>
      <c r="U756" s="448" t="s">
        <v>799</v>
      </c>
      <c r="V756" s="449"/>
      <c r="W756" s="486"/>
    </row>
    <row r="757" spans="1:26" s="68" customFormat="1" ht="14.25" customHeight="1">
      <c r="A757" s="396" t="s">
        <v>2647</v>
      </c>
      <c r="B757" s="504" t="s">
        <v>319</v>
      </c>
      <c r="C757" s="503" t="s">
        <v>2670</v>
      </c>
      <c r="D757" s="431"/>
      <c r="E757" s="482">
        <v>198356</v>
      </c>
      <c r="F757" s="484" t="s">
        <v>2678</v>
      </c>
      <c r="G757" s="482"/>
      <c r="H757" s="482"/>
      <c r="I757" s="482"/>
      <c r="J757" s="68" t="s">
        <v>794</v>
      </c>
      <c r="K757" s="396" t="s">
        <v>794</v>
      </c>
      <c r="L757" s="396" t="s">
        <v>794</v>
      </c>
      <c r="M757" s="482"/>
      <c r="N757" s="482">
        <v>20.821479797363299</v>
      </c>
      <c r="O757" s="482">
        <v>92.603950500488295</v>
      </c>
      <c r="P757" s="68" t="s">
        <v>795</v>
      </c>
      <c r="Q757" s="482" t="s">
        <v>2627</v>
      </c>
      <c r="R757" s="490"/>
      <c r="S757" s="491"/>
      <c r="T757" s="506">
        <v>43580</v>
      </c>
      <c r="U757" s="488" t="s">
        <v>2672</v>
      </c>
      <c r="V757" s="482"/>
    </row>
    <row r="758" spans="1:26" ht="14.25" customHeight="1">
      <c r="A758" s="482" t="s">
        <v>2647</v>
      </c>
      <c r="B758" s="504" t="s">
        <v>319</v>
      </c>
      <c r="C758" s="503" t="s">
        <v>620</v>
      </c>
      <c r="D758" s="431" t="s">
        <v>1656</v>
      </c>
      <c r="E758" s="396">
        <v>198356</v>
      </c>
      <c r="F758" s="396"/>
      <c r="G758" s="396"/>
      <c r="H758" s="396"/>
      <c r="I758" s="396"/>
      <c r="J758" s="68" t="s">
        <v>794</v>
      </c>
      <c r="K758" s="500" t="s">
        <v>794</v>
      </c>
      <c r="L758" s="500" t="s">
        <v>794</v>
      </c>
      <c r="M758" s="68" t="s">
        <v>791</v>
      </c>
      <c r="N758" s="68">
        <v>20.821479799999999</v>
      </c>
      <c r="O758" s="68">
        <v>92.603950499999996</v>
      </c>
      <c r="P758" s="482" t="s">
        <v>795</v>
      </c>
      <c r="Q758" s="68" t="s">
        <v>776</v>
      </c>
      <c r="R758" s="490"/>
      <c r="S758" s="491"/>
      <c r="T758" s="101"/>
      <c r="U758" s="488"/>
      <c r="V758" s="68" t="s">
        <v>620</v>
      </c>
      <c r="W758" s="482"/>
      <c r="X758" s="17"/>
      <c r="Z758" s="17"/>
    </row>
    <row r="759" spans="1:26" ht="14.25" customHeight="1">
      <c r="A759" s="482" t="s">
        <v>2647</v>
      </c>
      <c r="B759" s="484" t="s">
        <v>319</v>
      </c>
      <c r="C759" s="509" t="s">
        <v>2623</v>
      </c>
      <c r="D759" s="431"/>
      <c r="E759" s="484">
        <v>198369</v>
      </c>
      <c r="F759" s="482"/>
      <c r="G759" s="482"/>
      <c r="H759" s="482"/>
      <c r="I759" s="482"/>
      <c r="J759" s="68" t="s">
        <v>2652</v>
      </c>
      <c r="K759" s="500" t="s">
        <v>2622</v>
      </c>
      <c r="L759" s="500" t="s">
        <v>2622</v>
      </c>
      <c r="M759" s="68"/>
      <c r="N759" s="482"/>
      <c r="O759" s="68"/>
      <c r="P759" s="68"/>
      <c r="Q759" s="482"/>
      <c r="R759" s="490"/>
      <c r="S759" s="491"/>
      <c r="T759" s="506"/>
      <c r="U759" s="488"/>
      <c r="V759" s="68"/>
      <c r="W759" s="482"/>
      <c r="X759" s="17"/>
      <c r="Z759" s="17"/>
    </row>
    <row r="760" spans="1:26" ht="14.25" customHeight="1">
      <c r="A760" s="482" t="s">
        <v>2647</v>
      </c>
      <c r="B760" s="500" t="s">
        <v>319</v>
      </c>
      <c r="C760" s="724" t="s">
        <v>613</v>
      </c>
      <c r="D760" s="431" t="s">
        <v>1656</v>
      </c>
      <c r="E760" s="482">
        <v>198369</v>
      </c>
      <c r="F760" s="484"/>
      <c r="G760" s="482"/>
      <c r="H760" s="482"/>
      <c r="I760" s="482"/>
      <c r="J760" s="68" t="s">
        <v>794</v>
      </c>
      <c r="K760" s="500" t="s">
        <v>794</v>
      </c>
      <c r="L760" s="500" t="s">
        <v>794</v>
      </c>
      <c r="M760" s="396" t="s">
        <v>791</v>
      </c>
      <c r="N760" s="482">
        <v>20.806030270000001</v>
      </c>
      <c r="O760" s="482">
        <v>92.601951600000007</v>
      </c>
      <c r="P760" s="68" t="s">
        <v>795</v>
      </c>
      <c r="Q760" s="482" t="s">
        <v>776</v>
      </c>
      <c r="R760" s="490"/>
      <c r="S760" s="491"/>
      <c r="T760" s="506"/>
      <c r="U760" s="488"/>
      <c r="V760" s="391" t="s">
        <v>613</v>
      </c>
      <c r="W760" s="482"/>
      <c r="X760" s="17"/>
      <c r="Z760" s="17"/>
    </row>
    <row r="761" spans="1:26" ht="14.25" customHeight="1">
      <c r="A761" s="482" t="s">
        <v>2647</v>
      </c>
      <c r="B761" s="484" t="s">
        <v>319</v>
      </c>
      <c r="C761" s="509" t="s">
        <v>604</v>
      </c>
      <c r="D761" s="431" t="s">
        <v>1656</v>
      </c>
      <c r="E761" s="482">
        <v>198368</v>
      </c>
      <c r="F761" s="484"/>
      <c r="G761" s="482"/>
      <c r="H761" s="482"/>
      <c r="I761" s="482"/>
      <c r="J761" s="68" t="s">
        <v>794</v>
      </c>
      <c r="K761" s="500" t="s">
        <v>794</v>
      </c>
      <c r="L761" s="500" t="s">
        <v>794</v>
      </c>
      <c r="M761" s="482" t="s">
        <v>294</v>
      </c>
      <c r="N761" s="482">
        <v>20.80282021</v>
      </c>
      <c r="O761" s="482">
        <v>92.599418639999996</v>
      </c>
      <c r="P761" s="482" t="s">
        <v>795</v>
      </c>
      <c r="Q761" s="482" t="s">
        <v>776</v>
      </c>
      <c r="R761" s="490"/>
      <c r="S761" s="491"/>
      <c r="T761" s="506"/>
      <c r="U761" s="488"/>
      <c r="V761" s="482" t="s">
        <v>604</v>
      </c>
      <c r="W761" s="482"/>
      <c r="X761" s="17"/>
      <c r="Z761" s="17"/>
    </row>
    <row r="762" spans="1:26" ht="14.25" customHeight="1">
      <c r="A762" s="482" t="s">
        <v>2647</v>
      </c>
      <c r="B762" s="484" t="s">
        <v>319</v>
      </c>
      <c r="C762" s="509" t="s">
        <v>580</v>
      </c>
      <c r="D762" s="431" t="s">
        <v>1656</v>
      </c>
      <c r="E762" s="396">
        <v>217879</v>
      </c>
      <c r="F762" s="484"/>
      <c r="G762" s="396"/>
      <c r="H762" s="396"/>
      <c r="I762" s="396"/>
      <c r="J762" s="396" t="s">
        <v>794</v>
      </c>
      <c r="K762" s="504" t="s">
        <v>794</v>
      </c>
      <c r="L762" s="504" t="s">
        <v>794</v>
      </c>
      <c r="M762" s="396" t="s">
        <v>294</v>
      </c>
      <c r="N762" s="396">
        <v>20.7494297</v>
      </c>
      <c r="O762" s="396">
        <v>92.528648380000007</v>
      </c>
      <c r="P762" s="482" t="s">
        <v>795</v>
      </c>
      <c r="Q762" s="396" t="s">
        <v>776</v>
      </c>
      <c r="R762" s="490"/>
      <c r="S762" s="491"/>
      <c r="T762" s="412"/>
      <c r="U762" s="488"/>
      <c r="V762" s="396" t="s">
        <v>580</v>
      </c>
      <c r="W762" s="482"/>
      <c r="X762" s="17"/>
      <c r="Z762" s="17"/>
    </row>
    <row r="763" spans="1:26" ht="14.25" customHeight="1">
      <c r="A763" s="396" t="s">
        <v>2647</v>
      </c>
      <c r="B763" s="504" t="s">
        <v>319</v>
      </c>
      <c r="C763" s="509" t="s">
        <v>2527</v>
      </c>
      <c r="D763" s="431"/>
      <c r="E763" s="482">
        <v>198404</v>
      </c>
      <c r="F763" s="482" t="s">
        <v>2633</v>
      </c>
      <c r="G763" s="482"/>
      <c r="H763" s="482"/>
      <c r="I763" s="482"/>
      <c r="J763" s="482" t="s">
        <v>2652</v>
      </c>
      <c r="K763" s="482" t="s">
        <v>2622</v>
      </c>
      <c r="L763" s="482" t="s">
        <v>2622</v>
      </c>
      <c r="M763" s="482" t="s">
        <v>294</v>
      </c>
      <c r="N763" s="482">
        <v>20.769779209999999</v>
      </c>
      <c r="O763" s="482">
        <v>92.604240419999996</v>
      </c>
      <c r="P763" s="482" t="s">
        <v>795</v>
      </c>
      <c r="Q763" s="482" t="s">
        <v>2627</v>
      </c>
      <c r="R763" s="490"/>
      <c r="S763" s="491"/>
      <c r="T763" s="506"/>
      <c r="U763" s="488"/>
      <c r="V763" s="482"/>
      <c r="W763" s="482"/>
      <c r="X763" s="17"/>
      <c r="Z763" s="17"/>
    </row>
    <row r="764" spans="1:26" ht="14.25" customHeight="1">
      <c r="A764" s="482" t="s">
        <v>2647</v>
      </c>
      <c r="B764" s="504" t="s">
        <v>319</v>
      </c>
      <c r="C764" s="503" t="s">
        <v>2529</v>
      </c>
      <c r="D764" s="431"/>
      <c r="E764" s="482">
        <v>198303</v>
      </c>
      <c r="F764" s="482" t="s">
        <v>2634</v>
      </c>
      <c r="G764" s="482"/>
      <c r="H764" s="482"/>
      <c r="I764" s="482"/>
      <c r="J764" s="68" t="s">
        <v>794</v>
      </c>
      <c r="K764" s="482" t="s">
        <v>794</v>
      </c>
      <c r="L764" s="482" t="s">
        <v>794</v>
      </c>
      <c r="M764" s="68" t="s">
        <v>294</v>
      </c>
      <c r="N764" s="482">
        <v>20.892290119999998</v>
      </c>
      <c r="O764" s="482">
        <v>92.550079350000004</v>
      </c>
      <c r="P764" s="68" t="s">
        <v>795</v>
      </c>
      <c r="Q764" s="482" t="s">
        <v>2627</v>
      </c>
      <c r="R764" s="490"/>
      <c r="S764" s="491"/>
      <c r="T764" s="506"/>
      <c r="U764" s="488"/>
      <c r="V764" s="482"/>
      <c r="W764" s="482"/>
      <c r="X764" s="17"/>
      <c r="Z764" s="17"/>
    </row>
    <row r="765" spans="1:26" ht="14.25" customHeight="1">
      <c r="A765" s="482" t="s">
        <v>2647</v>
      </c>
      <c r="B765" s="484" t="s">
        <v>319</v>
      </c>
      <c r="C765" s="509" t="s">
        <v>649</v>
      </c>
      <c r="D765" s="431" t="s">
        <v>1656</v>
      </c>
      <c r="E765" s="482">
        <v>198303</v>
      </c>
      <c r="F765" s="482" t="s">
        <v>2634</v>
      </c>
      <c r="G765" s="482"/>
      <c r="H765" s="482"/>
      <c r="I765" s="482"/>
      <c r="J765" s="68" t="s">
        <v>794</v>
      </c>
      <c r="K765" s="482" t="s">
        <v>794</v>
      </c>
      <c r="L765" s="482" t="s">
        <v>794</v>
      </c>
      <c r="M765" s="482" t="s">
        <v>791</v>
      </c>
      <c r="N765" s="482">
        <v>20.892290119999998</v>
      </c>
      <c r="O765" s="482">
        <v>92.550079350000004</v>
      </c>
      <c r="P765" s="482" t="s">
        <v>795</v>
      </c>
      <c r="Q765" s="482" t="s">
        <v>776</v>
      </c>
      <c r="R765" s="490"/>
      <c r="S765" s="491"/>
      <c r="T765" s="506"/>
      <c r="U765" s="488"/>
      <c r="V765" s="482" t="s">
        <v>649</v>
      </c>
      <c r="W765" s="482"/>
      <c r="X765" s="17"/>
      <c r="Z765" s="17"/>
    </row>
    <row r="766" spans="1:26" ht="14.25" customHeight="1">
      <c r="A766" s="482" t="s">
        <v>2647</v>
      </c>
      <c r="B766" s="484" t="s">
        <v>319</v>
      </c>
      <c r="C766" s="503" t="s">
        <v>678</v>
      </c>
      <c r="D766" s="431" t="s">
        <v>1656</v>
      </c>
      <c r="E766" s="68">
        <v>198196</v>
      </c>
      <c r="F766" s="396"/>
      <c r="G766" s="68"/>
      <c r="H766" s="68"/>
      <c r="I766" s="68"/>
      <c r="J766" s="68" t="s">
        <v>794</v>
      </c>
      <c r="K766" s="482" t="s">
        <v>794</v>
      </c>
      <c r="L766" s="482" t="s">
        <v>794</v>
      </c>
      <c r="M766" s="68" t="s">
        <v>294</v>
      </c>
      <c r="N766" s="68">
        <v>21.02563095</v>
      </c>
      <c r="O766" s="68">
        <v>92.524818420000003</v>
      </c>
      <c r="P766" s="68" t="s">
        <v>795</v>
      </c>
      <c r="Q766" s="396" t="s">
        <v>798</v>
      </c>
      <c r="R766" s="490"/>
      <c r="S766" s="491"/>
      <c r="T766" s="412">
        <v>42926</v>
      </c>
      <c r="U766" s="488" t="s">
        <v>799</v>
      </c>
      <c r="V766" s="68"/>
      <c r="W766" s="482"/>
      <c r="X766" s="17"/>
      <c r="Z766" s="17"/>
    </row>
    <row r="767" spans="1:26" ht="14.25" customHeight="1">
      <c r="A767" s="482" t="s">
        <v>2647</v>
      </c>
      <c r="B767" s="504" t="s">
        <v>319</v>
      </c>
      <c r="C767" s="503" t="s">
        <v>642</v>
      </c>
      <c r="D767" s="431" t="s">
        <v>1656</v>
      </c>
      <c r="E767" s="68">
        <v>198292</v>
      </c>
      <c r="F767" s="396"/>
      <c r="G767" s="68"/>
      <c r="H767" s="68"/>
      <c r="I767" s="68"/>
      <c r="J767" s="68" t="s">
        <v>794</v>
      </c>
      <c r="K767" s="482" t="s">
        <v>794</v>
      </c>
      <c r="L767" s="482" t="s">
        <v>794</v>
      </c>
      <c r="M767" s="68" t="s">
        <v>791</v>
      </c>
      <c r="N767" s="68">
        <v>20.883680340000002</v>
      </c>
      <c r="O767" s="500">
        <v>92.569938660000005</v>
      </c>
      <c r="P767" s="482" t="s">
        <v>795</v>
      </c>
      <c r="Q767" s="68" t="s">
        <v>776</v>
      </c>
      <c r="R767" s="490"/>
      <c r="S767" s="491"/>
      <c r="T767" s="101"/>
      <c r="U767" s="488"/>
      <c r="V767" s="68" t="s">
        <v>942</v>
      </c>
      <c r="W767" s="482"/>
      <c r="X767" s="17"/>
      <c r="Z767" s="17"/>
    </row>
    <row r="768" spans="1:26" ht="14.25" customHeight="1">
      <c r="A768" s="482" t="s">
        <v>2647</v>
      </c>
      <c r="B768" s="504" t="s">
        <v>319</v>
      </c>
      <c r="C768" s="503" t="s">
        <v>643</v>
      </c>
      <c r="D768" s="431" t="s">
        <v>1656</v>
      </c>
      <c r="E768" s="68">
        <v>198292</v>
      </c>
      <c r="F768" s="489"/>
      <c r="G768" s="68"/>
      <c r="H768" s="68"/>
      <c r="I768" s="68"/>
      <c r="J768" s="68" t="s">
        <v>794</v>
      </c>
      <c r="K768" s="482" t="s">
        <v>794</v>
      </c>
      <c r="L768" s="482" t="s">
        <v>794</v>
      </c>
      <c r="M768" s="68" t="s">
        <v>791</v>
      </c>
      <c r="N768" s="396">
        <v>20.883680340000002</v>
      </c>
      <c r="O768" s="482">
        <v>92.569938660000005</v>
      </c>
      <c r="P768" s="396" t="s">
        <v>795</v>
      </c>
      <c r="Q768" s="68" t="s">
        <v>776</v>
      </c>
      <c r="R768" s="490"/>
      <c r="S768" s="491"/>
      <c r="T768" s="101">
        <v>42745</v>
      </c>
      <c r="U768" s="488"/>
      <c r="V768" s="68"/>
      <c r="W768" s="482"/>
      <c r="X768" s="17"/>
      <c r="Z768" s="17"/>
    </row>
    <row r="769" spans="1:26" ht="14.25" customHeight="1">
      <c r="A769" s="396" t="s">
        <v>2647</v>
      </c>
      <c r="B769" s="504" t="s">
        <v>319</v>
      </c>
      <c r="C769" s="503" t="s">
        <v>685</v>
      </c>
      <c r="D769" s="431" t="s">
        <v>1656</v>
      </c>
      <c r="E769" s="482">
        <v>198146</v>
      </c>
      <c r="F769" s="489"/>
      <c r="G769" s="482"/>
      <c r="H769" s="482"/>
      <c r="I769" s="482"/>
      <c r="J769" s="482" t="s">
        <v>800</v>
      </c>
      <c r="K769" s="482" t="s">
        <v>794</v>
      </c>
      <c r="L769" s="482" t="s">
        <v>800</v>
      </c>
      <c r="M769" s="482" t="s">
        <v>791</v>
      </c>
      <c r="N769" s="482">
        <v>21.098579409999999</v>
      </c>
      <c r="O769" s="482">
        <v>92.445549009999993</v>
      </c>
      <c r="P769" s="68" t="s">
        <v>919</v>
      </c>
      <c r="Q769" s="482" t="s">
        <v>798</v>
      </c>
      <c r="R769" s="490"/>
      <c r="S769" s="491"/>
      <c r="T769" s="506">
        <v>42926</v>
      </c>
      <c r="U769" s="488" t="s">
        <v>929</v>
      </c>
      <c r="V769" s="482"/>
      <c r="W769" s="482"/>
      <c r="X769" s="17"/>
      <c r="Z769" s="17"/>
    </row>
    <row r="770" spans="1:26" ht="14.25" customHeight="1">
      <c r="A770" s="482" t="s">
        <v>2647</v>
      </c>
      <c r="B770" s="504" t="s">
        <v>319</v>
      </c>
      <c r="C770" s="503" t="s">
        <v>531</v>
      </c>
      <c r="D770" s="431" t="s">
        <v>1656</v>
      </c>
      <c r="E770" s="482">
        <v>217885</v>
      </c>
      <c r="F770" s="482"/>
      <c r="G770" s="482"/>
      <c r="H770" s="482"/>
      <c r="I770" s="482"/>
      <c r="J770" s="482" t="s">
        <v>794</v>
      </c>
      <c r="K770" s="482" t="s">
        <v>794</v>
      </c>
      <c r="L770" s="482" t="s">
        <v>794</v>
      </c>
      <c r="M770" s="482" t="s">
        <v>791</v>
      </c>
      <c r="N770" s="482">
        <v>20.676519389999999</v>
      </c>
      <c r="O770" s="482">
        <v>92.591667180000002</v>
      </c>
      <c r="P770" s="68" t="s">
        <v>795</v>
      </c>
      <c r="Q770" s="482" t="s">
        <v>776</v>
      </c>
      <c r="R770" s="486"/>
      <c r="S770" s="487"/>
      <c r="T770" s="506"/>
      <c r="U770" s="488"/>
      <c r="V770" s="482" t="s">
        <v>531</v>
      </c>
      <c r="W770" s="482"/>
      <c r="X770" s="17"/>
      <c r="Z770" s="17"/>
    </row>
    <row r="771" spans="1:26" ht="14.25" customHeight="1">
      <c r="A771" s="482" t="s">
        <v>2647</v>
      </c>
      <c r="B771" s="504" t="s">
        <v>319</v>
      </c>
      <c r="C771" s="503" t="s">
        <v>2977</v>
      </c>
      <c r="D771" s="431"/>
      <c r="E771" s="482">
        <v>198249</v>
      </c>
      <c r="F771" s="482"/>
      <c r="G771" s="482"/>
      <c r="H771" s="482"/>
      <c r="I771" s="482"/>
      <c r="J771" s="482" t="s">
        <v>794</v>
      </c>
      <c r="K771" s="482" t="s">
        <v>794</v>
      </c>
      <c r="L771" s="482" t="s">
        <v>794</v>
      </c>
      <c r="M771" s="482"/>
      <c r="N771" s="482">
        <v>21.169160842895501</v>
      </c>
      <c r="O771" s="482">
        <v>92.569076538085895</v>
      </c>
      <c r="P771" s="482" t="s">
        <v>795</v>
      </c>
      <c r="Q771" s="482" t="s">
        <v>2961</v>
      </c>
      <c r="R771" s="486"/>
      <c r="S771" s="487"/>
      <c r="T771" s="506">
        <v>43768</v>
      </c>
      <c r="U771" s="488"/>
      <c r="V771" s="482"/>
      <c r="W771" s="482"/>
      <c r="X771" s="17"/>
      <c r="Z771" s="17"/>
    </row>
    <row r="772" spans="1:26" ht="14.25" customHeight="1">
      <c r="A772" s="396" t="s">
        <v>2647</v>
      </c>
      <c r="B772" s="504" t="s">
        <v>319</v>
      </c>
      <c r="C772" s="504" t="s">
        <v>660</v>
      </c>
      <c r="D772" s="431" t="s">
        <v>1656</v>
      </c>
      <c r="E772" s="68">
        <v>198164</v>
      </c>
      <c r="F772" s="482"/>
      <c r="G772" s="68"/>
      <c r="H772" s="68"/>
      <c r="I772" s="68"/>
      <c r="J772" s="68" t="s">
        <v>794</v>
      </c>
      <c r="K772" s="482" t="s">
        <v>794</v>
      </c>
      <c r="L772" s="482" t="s">
        <v>794</v>
      </c>
      <c r="M772" s="68" t="s">
        <v>947</v>
      </c>
      <c r="N772" s="68">
        <v>20.945800779999999</v>
      </c>
      <c r="O772" s="482">
        <v>92.471672060000003</v>
      </c>
      <c r="P772" s="482" t="s">
        <v>795</v>
      </c>
      <c r="Q772" s="68" t="s">
        <v>776</v>
      </c>
      <c r="R772" s="486"/>
      <c r="S772" s="487"/>
      <c r="T772" s="506"/>
      <c r="U772" s="488"/>
      <c r="V772" s="68" t="s">
        <v>660</v>
      </c>
      <c r="W772" s="482"/>
      <c r="X772" s="17"/>
      <c r="Z772" s="17"/>
    </row>
    <row r="773" spans="1:26" ht="14.25" customHeight="1">
      <c r="A773" s="482" t="s">
        <v>2647</v>
      </c>
      <c r="B773" s="504" t="s">
        <v>319</v>
      </c>
      <c r="C773" s="503" t="s">
        <v>618</v>
      </c>
      <c r="D773" s="431" t="s">
        <v>1656</v>
      </c>
      <c r="E773" s="68">
        <v>198335</v>
      </c>
      <c r="F773" s="482"/>
      <c r="G773" s="68"/>
      <c r="H773" s="68"/>
      <c r="I773" s="68"/>
      <c r="J773" s="68" t="s">
        <v>794</v>
      </c>
      <c r="K773" s="482" t="s">
        <v>794</v>
      </c>
      <c r="L773" s="482" t="s">
        <v>794</v>
      </c>
      <c r="M773" s="68" t="s">
        <v>294</v>
      </c>
      <c r="N773" s="396">
        <v>20.818910599999999</v>
      </c>
      <c r="O773" s="396">
        <v>92.541358950000003</v>
      </c>
      <c r="P773" s="482" t="s">
        <v>795</v>
      </c>
      <c r="Q773" s="68" t="s">
        <v>776</v>
      </c>
      <c r="R773" s="486"/>
      <c r="S773" s="487"/>
      <c r="T773" s="101"/>
      <c r="U773" s="488"/>
      <c r="V773" s="68" t="s">
        <v>618</v>
      </c>
      <c r="W773" s="482"/>
      <c r="X773" s="17"/>
      <c r="Z773" s="17"/>
    </row>
    <row r="774" spans="1:26" ht="14.25" customHeight="1">
      <c r="A774" s="482" t="s">
        <v>2647</v>
      </c>
      <c r="B774" s="504" t="s">
        <v>319</v>
      </c>
      <c r="C774" s="503" t="s">
        <v>652</v>
      </c>
      <c r="D774" s="431" t="s">
        <v>1656</v>
      </c>
      <c r="E774" s="482">
        <v>198316</v>
      </c>
      <c r="F774" s="482"/>
      <c r="G774" s="482"/>
      <c r="H774" s="482"/>
      <c r="I774" s="482"/>
      <c r="J774" s="482" t="s">
        <v>794</v>
      </c>
      <c r="K774" s="482" t="s">
        <v>794</v>
      </c>
      <c r="L774" s="482" t="s">
        <v>794</v>
      </c>
      <c r="M774" s="482" t="s">
        <v>791</v>
      </c>
      <c r="N774" s="482">
        <v>20.89318085</v>
      </c>
      <c r="O774" s="482">
        <v>92.493637079999999</v>
      </c>
      <c r="P774" s="482" t="s">
        <v>795</v>
      </c>
      <c r="Q774" s="482" t="s">
        <v>776</v>
      </c>
      <c r="R774" s="486"/>
      <c r="S774" s="487"/>
      <c r="T774" s="506"/>
      <c r="U774" s="488"/>
      <c r="V774" s="482" t="s">
        <v>652</v>
      </c>
      <c r="W774" s="482"/>
      <c r="X774" s="17"/>
      <c r="Z774" s="17"/>
    </row>
    <row r="775" spans="1:26" ht="14.25" customHeight="1">
      <c r="A775" s="482" t="s">
        <v>2647</v>
      </c>
      <c r="B775" s="504" t="s">
        <v>319</v>
      </c>
      <c r="C775" s="503" t="s">
        <v>637</v>
      </c>
      <c r="D775" s="431" t="s">
        <v>1656</v>
      </c>
      <c r="E775" s="68">
        <v>198308</v>
      </c>
      <c r="F775" s="482"/>
      <c r="G775" s="68"/>
      <c r="H775" s="68"/>
      <c r="I775" s="68"/>
      <c r="J775" s="68" t="s">
        <v>800</v>
      </c>
      <c r="K775" s="396" t="s">
        <v>794</v>
      </c>
      <c r="L775" s="396" t="s">
        <v>800</v>
      </c>
      <c r="M775" s="68" t="s">
        <v>791</v>
      </c>
      <c r="N775" s="68">
        <v>20.863079070000001</v>
      </c>
      <c r="O775" s="482">
        <v>92.497192380000001</v>
      </c>
      <c r="P775" s="482" t="s">
        <v>919</v>
      </c>
      <c r="Q775" s="68" t="s">
        <v>798</v>
      </c>
      <c r="R775" s="486"/>
      <c r="S775" s="487"/>
      <c r="T775" s="101">
        <v>42926</v>
      </c>
      <c r="U775" s="488" t="s">
        <v>929</v>
      </c>
      <c r="V775" s="396"/>
      <c r="W775" s="482"/>
      <c r="X775" s="17"/>
      <c r="Z775" s="17"/>
    </row>
    <row r="776" spans="1:26" ht="14.25" customHeight="1">
      <c r="A776" s="482" t="s">
        <v>2647</v>
      </c>
      <c r="B776" s="484" t="s">
        <v>319</v>
      </c>
      <c r="C776" s="503" t="s">
        <v>592</v>
      </c>
      <c r="D776" s="431" t="s">
        <v>1656</v>
      </c>
      <c r="E776" s="482">
        <v>220753</v>
      </c>
      <c r="F776" s="482"/>
      <c r="G776" s="482"/>
      <c r="H776" s="482"/>
      <c r="I776" s="482"/>
      <c r="J776" s="482" t="s">
        <v>800</v>
      </c>
      <c r="K776" s="482" t="s">
        <v>794</v>
      </c>
      <c r="L776" s="482" t="s">
        <v>800</v>
      </c>
      <c r="M776" s="482" t="s">
        <v>294</v>
      </c>
      <c r="N776" s="482">
        <v>20.782770159999998</v>
      </c>
      <c r="O776" s="482">
        <v>92.551826480000003</v>
      </c>
      <c r="P776" s="482" t="s">
        <v>919</v>
      </c>
      <c r="Q776" s="482" t="s">
        <v>798</v>
      </c>
      <c r="R776" s="486"/>
      <c r="S776" s="487"/>
      <c r="T776" s="506">
        <v>42926</v>
      </c>
      <c r="U776" s="488" t="s">
        <v>929</v>
      </c>
      <c r="V776" s="482"/>
      <c r="W776" s="482"/>
      <c r="X776" s="17"/>
      <c r="Z776" s="17"/>
    </row>
    <row r="777" spans="1:26" ht="14.25" customHeight="1">
      <c r="A777" s="396" t="s">
        <v>2647</v>
      </c>
      <c r="B777" s="504" t="s">
        <v>319</v>
      </c>
      <c r="C777" s="503" t="s">
        <v>633</v>
      </c>
      <c r="D777" s="431" t="s">
        <v>1656</v>
      </c>
      <c r="E777" s="482">
        <v>198325</v>
      </c>
      <c r="F777" s="482"/>
      <c r="G777" s="482"/>
      <c r="H777" s="482"/>
      <c r="I777" s="482"/>
      <c r="J777" s="482" t="s">
        <v>800</v>
      </c>
      <c r="K777" s="482" t="s">
        <v>794</v>
      </c>
      <c r="L777" s="482" t="s">
        <v>800</v>
      </c>
      <c r="M777" s="482" t="s">
        <v>791</v>
      </c>
      <c r="N777" s="482">
        <v>20.839260100000001</v>
      </c>
      <c r="O777" s="482">
        <v>92.534591669999998</v>
      </c>
      <c r="P777" s="68" t="s">
        <v>919</v>
      </c>
      <c r="Q777" s="482" t="s">
        <v>798</v>
      </c>
      <c r="R777" s="486"/>
      <c r="S777" s="487"/>
      <c r="T777" s="506">
        <v>42926</v>
      </c>
      <c r="U777" s="488" t="s">
        <v>929</v>
      </c>
      <c r="V777" s="482"/>
      <c r="W777" s="482"/>
      <c r="X777" s="17"/>
      <c r="Z777" s="17"/>
    </row>
    <row r="778" spans="1:26" ht="14.25" customHeight="1">
      <c r="A778" s="482" t="s">
        <v>2647</v>
      </c>
      <c r="B778" s="504" t="s">
        <v>319</v>
      </c>
      <c r="C778" s="503" t="s">
        <v>324</v>
      </c>
      <c r="D778" s="432" t="s">
        <v>1656</v>
      </c>
      <c r="E778" s="484"/>
      <c r="F778" s="484"/>
      <c r="G778" s="484"/>
      <c r="H778" s="491"/>
      <c r="I778" s="484"/>
      <c r="J778" s="68" t="s">
        <v>800</v>
      </c>
      <c r="K778" s="482" t="s">
        <v>794</v>
      </c>
      <c r="L778" s="482" t="s">
        <v>800</v>
      </c>
      <c r="M778" s="484" t="s">
        <v>791</v>
      </c>
      <c r="N778" s="484"/>
      <c r="O778" s="484"/>
      <c r="P778" s="68" t="s">
        <v>919</v>
      </c>
      <c r="Q778" s="484" t="s">
        <v>798</v>
      </c>
      <c r="R778" s="490"/>
      <c r="S778" s="491"/>
      <c r="T778" s="507">
        <v>42926</v>
      </c>
      <c r="U778" s="492" t="s">
        <v>929</v>
      </c>
      <c r="V778" s="484"/>
      <c r="W778" s="482"/>
      <c r="X778" s="17"/>
      <c r="Z778" s="17"/>
    </row>
    <row r="779" spans="1:26" ht="14.25" customHeight="1">
      <c r="A779" s="482" t="s">
        <v>2647</v>
      </c>
      <c r="B779" s="504" t="s">
        <v>319</v>
      </c>
      <c r="C779" s="503" t="s">
        <v>568</v>
      </c>
      <c r="D779" s="431" t="s">
        <v>1656</v>
      </c>
      <c r="E779" s="482">
        <v>198432</v>
      </c>
      <c r="F779" s="482"/>
      <c r="G779" s="482"/>
      <c r="H779" s="482"/>
      <c r="I779" s="482"/>
      <c r="J779" s="482" t="s">
        <v>794</v>
      </c>
      <c r="K779" s="484" t="s">
        <v>794</v>
      </c>
      <c r="L779" s="484" t="s">
        <v>794</v>
      </c>
      <c r="M779" s="68" t="s">
        <v>791</v>
      </c>
      <c r="N779" s="482">
        <v>20.721290589999999</v>
      </c>
      <c r="O779" s="482">
        <v>92.605140689999999</v>
      </c>
      <c r="P779" s="68" t="s">
        <v>795</v>
      </c>
      <c r="Q779" s="482" t="s">
        <v>776</v>
      </c>
      <c r="R779" s="486"/>
      <c r="S779" s="487"/>
      <c r="T779" s="506"/>
      <c r="U779" s="488"/>
      <c r="V779" s="68" t="s">
        <v>568</v>
      </c>
      <c r="W779" s="482"/>
      <c r="X779" s="17"/>
      <c r="Z779" s="17"/>
    </row>
    <row r="780" spans="1:26" ht="14.25" customHeight="1">
      <c r="A780" s="490" t="s">
        <v>2647</v>
      </c>
      <c r="B780" s="514" t="s">
        <v>319</v>
      </c>
      <c r="C780" s="515" t="s">
        <v>662</v>
      </c>
      <c r="D780" s="485" t="s">
        <v>1656</v>
      </c>
      <c r="E780" s="68">
        <v>198222</v>
      </c>
      <c r="F780" s="482"/>
      <c r="G780" s="68"/>
      <c r="H780" s="68"/>
      <c r="I780" s="68"/>
      <c r="J780" s="68" t="s">
        <v>800</v>
      </c>
      <c r="K780" s="484" t="s">
        <v>794</v>
      </c>
      <c r="L780" s="484" t="s">
        <v>800</v>
      </c>
      <c r="M780" s="68" t="s">
        <v>791</v>
      </c>
      <c r="N780" s="68">
        <v>20.962799069999999</v>
      </c>
      <c r="O780" s="482">
        <v>92.527702329999997</v>
      </c>
      <c r="P780" s="68" t="s">
        <v>919</v>
      </c>
      <c r="Q780" s="68" t="s">
        <v>798</v>
      </c>
      <c r="R780" s="494"/>
      <c r="S780" s="487"/>
      <c r="T780" s="101">
        <v>42926</v>
      </c>
      <c r="U780" s="494" t="s">
        <v>929</v>
      </c>
      <c r="V780" s="68"/>
      <c r="W780" s="486"/>
      <c r="X780" s="17"/>
      <c r="Z780" s="17"/>
    </row>
    <row r="781" spans="1:26" ht="14.25" customHeight="1">
      <c r="A781" s="396" t="s">
        <v>2647</v>
      </c>
      <c r="B781" s="504" t="s">
        <v>319</v>
      </c>
      <c r="C781" s="515" t="s">
        <v>2990</v>
      </c>
      <c r="D781" s="485"/>
      <c r="E781" s="68">
        <v>198179</v>
      </c>
      <c r="F781" s="482"/>
      <c r="G781" s="68"/>
      <c r="H781" s="68"/>
      <c r="I781" s="68"/>
      <c r="J781" s="68" t="s">
        <v>794</v>
      </c>
      <c r="K781" s="484" t="s">
        <v>794</v>
      </c>
      <c r="L781" s="484" t="s">
        <v>794</v>
      </c>
      <c r="M781" s="68"/>
      <c r="N781" s="68">
        <v>20.945339202880898</v>
      </c>
      <c r="O781" s="396">
        <v>92.496063232421903</v>
      </c>
      <c r="P781" s="482" t="s">
        <v>795</v>
      </c>
      <c r="Q781" s="68" t="s">
        <v>2961</v>
      </c>
      <c r="R781" s="494"/>
      <c r="S781" s="487"/>
      <c r="T781" s="101">
        <v>43769</v>
      </c>
      <c r="U781" s="494"/>
      <c r="V781" s="68"/>
      <c r="W781" s="486"/>
      <c r="X781" s="17"/>
      <c r="Z781" s="17"/>
    </row>
    <row r="782" spans="1:26" ht="14.25" customHeight="1">
      <c r="A782" s="482" t="s">
        <v>2647</v>
      </c>
      <c r="B782" s="504" t="s">
        <v>319</v>
      </c>
      <c r="C782" s="503" t="s">
        <v>2764</v>
      </c>
      <c r="D782" s="431"/>
      <c r="E782" s="482">
        <v>198289</v>
      </c>
      <c r="F782" s="482"/>
      <c r="G782" s="482"/>
      <c r="H782" s="482"/>
      <c r="I782" s="482"/>
      <c r="J782" s="482" t="s">
        <v>2652</v>
      </c>
      <c r="K782" s="484" t="s">
        <v>2622</v>
      </c>
      <c r="L782" s="484" t="s">
        <v>2622</v>
      </c>
      <c r="M782" s="482"/>
      <c r="N782" s="482">
        <v>20.838279724121101</v>
      </c>
      <c r="O782" s="482">
        <v>92.610900878906307</v>
      </c>
      <c r="P782" s="482"/>
      <c r="Q782" s="482"/>
      <c r="R782" s="486"/>
      <c r="S782" s="487"/>
      <c r="T782" s="506">
        <v>43591</v>
      </c>
      <c r="U782" s="488"/>
      <c r="V782" s="482"/>
      <c r="W782" s="482"/>
      <c r="X782" s="17"/>
      <c r="Z782" s="17"/>
    </row>
    <row r="783" spans="1:26" ht="14.25" customHeight="1">
      <c r="A783" s="482" t="s">
        <v>2647</v>
      </c>
      <c r="B783" s="504" t="s">
        <v>319</v>
      </c>
      <c r="C783" s="503" t="s">
        <v>602</v>
      </c>
      <c r="D783" s="431" t="s">
        <v>1656</v>
      </c>
      <c r="E783" s="68">
        <v>198379</v>
      </c>
      <c r="F783" s="396"/>
      <c r="G783" s="68"/>
      <c r="H783" s="68"/>
      <c r="I783" s="68"/>
      <c r="J783" s="68" t="s">
        <v>794</v>
      </c>
      <c r="K783" s="484" t="s">
        <v>794</v>
      </c>
      <c r="L783" s="484" t="s">
        <v>794</v>
      </c>
      <c r="M783" s="68" t="s">
        <v>791</v>
      </c>
      <c r="N783" s="68">
        <v>20.79891014</v>
      </c>
      <c r="O783" s="396">
        <v>92.553680420000006</v>
      </c>
      <c r="P783" s="68" t="s">
        <v>795</v>
      </c>
      <c r="Q783" s="68" t="s">
        <v>776</v>
      </c>
      <c r="R783" s="486"/>
      <c r="S783" s="487"/>
      <c r="T783" s="101"/>
      <c r="U783" s="488"/>
      <c r="V783" s="68" t="s">
        <v>602</v>
      </c>
      <c r="W783" s="482"/>
      <c r="X783" s="17"/>
      <c r="Z783" s="17"/>
    </row>
    <row r="784" spans="1:26" ht="14.25" customHeight="1">
      <c r="A784" s="482" t="s">
        <v>2647</v>
      </c>
      <c r="B784" s="635" t="s">
        <v>319</v>
      </c>
      <c r="C784" s="637" t="s">
        <v>631</v>
      </c>
      <c r="D784" s="485" t="s">
        <v>1656</v>
      </c>
      <c r="E784" s="523">
        <v>198332</v>
      </c>
      <c r="F784" s="171"/>
      <c r="G784" s="171"/>
      <c r="H784" s="171"/>
      <c r="I784" s="171"/>
      <c r="J784" s="171" t="s">
        <v>794</v>
      </c>
      <c r="K784" s="171" t="s">
        <v>794</v>
      </c>
      <c r="L784" s="171" t="s">
        <v>794</v>
      </c>
      <c r="M784" s="171" t="s">
        <v>791</v>
      </c>
      <c r="N784" s="171">
        <v>20.833719250000001</v>
      </c>
      <c r="O784" s="171">
        <v>92.534461980000003</v>
      </c>
      <c r="P784" s="171" t="s">
        <v>795</v>
      </c>
      <c r="Q784" s="171" t="s">
        <v>776</v>
      </c>
      <c r="R784" s="172"/>
      <c r="S784" s="170"/>
      <c r="T784" s="173"/>
      <c r="U784" s="174"/>
      <c r="V784" s="171" t="s">
        <v>631</v>
      </c>
      <c r="W784" s="486"/>
      <c r="X784" s="17"/>
      <c r="Z784" s="17"/>
    </row>
    <row r="785" spans="1:26" ht="14.25" customHeight="1">
      <c r="A785" s="482" t="s">
        <v>2647</v>
      </c>
      <c r="B785" s="504" t="s">
        <v>319</v>
      </c>
      <c r="C785" s="503" t="s">
        <v>2526</v>
      </c>
      <c r="D785" s="431"/>
      <c r="E785" s="482">
        <v>198405</v>
      </c>
      <c r="F785" s="484" t="s">
        <v>2633</v>
      </c>
      <c r="G785" s="482"/>
      <c r="H785" s="482"/>
      <c r="I785" s="482"/>
      <c r="J785" s="68" t="s">
        <v>794</v>
      </c>
      <c r="K785" s="482" t="s">
        <v>794</v>
      </c>
      <c r="L785" s="482" t="s">
        <v>794</v>
      </c>
      <c r="M785" s="68" t="s">
        <v>791</v>
      </c>
      <c r="N785" s="482"/>
      <c r="O785" s="482"/>
      <c r="P785" s="482" t="s">
        <v>795</v>
      </c>
      <c r="Q785" s="482" t="s">
        <v>2627</v>
      </c>
      <c r="R785" s="490"/>
      <c r="S785" s="491"/>
      <c r="T785" s="506"/>
      <c r="U785" s="488"/>
      <c r="V785" s="482"/>
      <c r="W785" s="482"/>
      <c r="X785" s="17"/>
      <c r="Z785" s="17"/>
    </row>
    <row r="786" spans="1:26" ht="14.25" customHeight="1">
      <c r="A786" s="482" t="s">
        <v>2647</v>
      </c>
      <c r="B786" s="504" t="s">
        <v>319</v>
      </c>
      <c r="C786" s="503" t="s">
        <v>646</v>
      </c>
      <c r="D786" s="431" t="s">
        <v>1656</v>
      </c>
      <c r="E786" s="482">
        <v>217871</v>
      </c>
      <c r="F786" s="484"/>
      <c r="G786" s="482"/>
      <c r="H786" s="482"/>
      <c r="I786" s="482"/>
      <c r="J786" s="68" t="s">
        <v>794</v>
      </c>
      <c r="K786" s="482" t="s">
        <v>794</v>
      </c>
      <c r="L786" s="482" t="s">
        <v>794</v>
      </c>
      <c r="M786" s="482" t="s">
        <v>791</v>
      </c>
      <c r="N786" s="482">
        <v>20.887029649999999</v>
      </c>
      <c r="O786" s="482">
        <v>92.556823730000005</v>
      </c>
      <c r="P786" s="482" t="s">
        <v>795</v>
      </c>
      <c r="Q786" s="482" t="s">
        <v>776</v>
      </c>
      <c r="R786" s="490"/>
      <c r="S786" s="491"/>
      <c r="T786" s="506"/>
      <c r="U786" s="488"/>
      <c r="V786" s="482" t="s">
        <v>646</v>
      </c>
      <c r="W786" s="482"/>
      <c r="X786" s="17"/>
      <c r="Z786" s="17"/>
    </row>
    <row r="787" spans="1:26" ht="14.25" customHeight="1">
      <c r="A787" s="482" t="s">
        <v>2647</v>
      </c>
      <c r="B787" s="504" t="s">
        <v>319</v>
      </c>
      <c r="C787" s="503" t="s">
        <v>1899</v>
      </c>
      <c r="D787" s="431"/>
      <c r="E787" s="482">
        <v>198177</v>
      </c>
      <c r="F787" s="482"/>
      <c r="G787" s="482"/>
      <c r="H787" s="482"/>
      <c r="I787" s="482"/>
      <c r="J787" s="396" t="s">
        <v>794</v>
      </c>
      <c r="K787" s="482" t="s">
        <v>794</v>
      </c>
      <c r="L787" s="482" t="s">
        <v>794</v>
      </c>
      <c r="M787" s="482" t="s">
        <v>947</v>
      </c>
      <c r="N787" s="482">
        <v>20.93604088</v>
      </c>
      <c r="O787" s="482">
        <v>92.475830079999994</v>
      </c>
      <c r="P787" s="482" t="s">
        <v>795</v>
      </c>
      <c r="Q787" s="482" t="s">
        <v>1904</v>
      </c>
      <c r="R787" s="490"/>
      <c r="S787" s="491"/>
      <c r="T787" s="506">
        <v>43245</v>
      </c>
      <c r="U787" s="488"/>
      <c r="V787" s="482"/>
      <c r="W787" s="482"/>
      <c r="X787" s="17"/>
      <c r="Z787" s="17"/>
    </row>
    <row r="788" spans="1:26" ht="14.25" customHeight="1">
      <c r="A788" s="482" t="s">
        <v>2647</v>
      </c>
      <c r="B788" s="504" t="s">
        <v>319</v>
      </c>
      <c r="C788" s="503" t="s">
        <v>2978</v>
      </c>
      <c r="D788" s="431"/>
      <c r="E788" s="68">
        <v>198173</v>
      </c>
      <c r="F788" s="482"/>
      <c r="G788" s="68"/>
      <c r="H788" s="68"/>
      <c r="I788" s="68"/>
      <c r="J788" s="68" t="s">
        <v>794</v>
      </c>
      <c r="K788" s="482" t="s">
        <v>794</v>
      </c>
      <c r="L788" s="482" t="s">
        <v>794</v>
      </c>
      <c r="M788" s="68"/>
      <c r="N788" s="68">
        <v>20.938350677490199</v>
      </c>
      <c r="O788" s="484">
        <v>92.490928649902301</v>
      </c>
      <c r="P788" s="68" t="s">
        <v>795</v>
      </c>
      <c r="Q788" s="68" t="s">
        <v>2961</v>
      </c>
      <c r="R788" s="490"/>
      <c r="S788" s="491"/>
      <c r="T788" s="101">
        <v>43768</v>
      </c>
      <c r="U788" s="488"/>
      <c r="V788" s="396"/>
      <c r="W788" s="482"/>
      <c r="X788" s="17"/>
      <c r="Z788" s="17"/>
    </row>
    <row r="789" spans="1:26" ht="14.25" customHeight="1">
      <c r="A789" s="482" t="s">
        <v>2647</v>
      </c>
      <c r="B789" s="504" t="s">
        <v>319</v>
      </c>
      <c r="C789" s="503" t="s">
        <v>2545</v>
      </c>
      <c r="D789" s="431"/>
      <c r="E789" s="68"/>
      <c r="F789" s="484"/>
      <c r="G789" s="68"/>
      <c r="H789" s="68"/>
      <c r="I789" s="68"/>
      <c r="J789" s="68" t="s">
        <v>2652</v>
      </c>
      <c r="K789" s="482" t="s">
        <v>2622</v>
      </c>
      <c r="L789" s="482" t="s">
        <v>2622</v>
      </c>
      <c r="M789" s="68"/>
      <c r="N789" s="482"/>
      <c r="O789" s="482"/>
      <c r="P789" s="68"/>
      <c r="Q789" s="68"/>
      <c r="R789" s="490"/>
      <c r="S789" s="491"/>
      <c r="T789" s="101"/>
      <c r="U789" s="488"/>
      <c r="V789" s="396"/>
      <c r="W789" s="482"/>
      <c r="X789" s="17"/>
      <c r="Z789" s="17"/>
    </row>
    <row r="790" spans="1:26" ht="14.25" customHeight="1">
      <c r="A790" s="482" t="s">
        <v>2647</v>
      </c>
      <c r="B790" s="504" t="s">
        <v>319</v>
      </c>
      <c r="C790" s="515" t="s">
        <v>2988</v>
      </c>
      <c r="D790" s="485"/>
      <c r="E790" s="68">
        <v>198188</v>
      </c>
      <c r="F790" s="484"/>
      <c r="G790" s="68"/>
      <c r="H790" s="68"/>
      <c r="I790" s="68"/>
      <c r="J790" s="68" t="s">
        <v>794</v>
      </c>
      <c r="K790" s="482" t="s">
        <v>794</v>
      </c>
      <c r="L790" s="482" t="s">
        <v>794</v>
      </c>
      <c r="M790" s="68"/>
      <c r="N790" s="68">
        <v>21.004440307617202</v>
      </c>
      <c r="O790" s="68">
        <v>92.500228881835895</v>
      </c>
      <c r="P790" s="68" t="s">
        <v>795</v>
      </c>
      <c r="Q790" s="68" t="s">
        <v>2961</v>
      </c>
      <c r="R790" s="494"/>
      <c r="S790" s="487"/>
      <c r="T790" s="101">
        <v>43769</v>
      </c>
      <c r="U790" s="494"/>
      <c r="V790" s="396"/>
      <c r="W790" s="486"/>
      <c r="X790" s="17"/>
      <c r="Z790" s="17"/>
    </row>
    <row r="791" spans="1:26" ht="14.25" customHeight="1">
      <c r="A791" s="482" t="s">
        <v>2647</v>
      </c>
      <c r="B791" s="504" t="s">
        <v>319</v>
      </c>
      <c r="C791" s="503" t="s">
        <v>582</v>
      </c>
      <c r="D791" s="431" t="s">
        <v>1656</v>
      </c>
      <c r="E791" s="482">
        <v>198413</v>
      </c>
      <c r="F791" s="482"/>
      <c r="G791" s="482"/>
      <c r="H791" s="482"/>
      <c r="I791" s="482"/>
      <c r="J791" s="68" t="s">
        <v>794</v>
      </c>
      <c r="K791" s="482" t="s">
        <v>794</v>
      </c>
      <c r="L791" s="482" t="s">
        <v>794</v>
      </c>
      <c r="M791" s="68" t="s">
        <v>294</v>
      </c>
      <c r="N791" s="482">
        <v>20.756410599999999</v>
      </c>
      <c r="O791" s="482">
        <v>92.63580322</v>
      </c>
      <c r="P791" s="482" t="s">
        <v>795</v>
      </c>
      <c r="Q791" s="482" t="s">
        <v>776</v>
      </c>
      <c r="R791" s="490"/>
      <c r="S791" s="491"/>
      <c r="T791" s="506"/>
      <c r="U791" s="488"/>
      <c r="V791" s="482" t="s">
        <v>582</v>
      </c>
      <c r="W791" s="482"/>
      <c r="X791" s="17"/>
      <c r="Z791" s="17"/>
    </row>
    <row r="792" spans="1:26" ht="14.25" customHeight="1">
      <c r="A792" s="482" t="s">
        <v>2647</v>
      </c>
      <c r="B792" s="504" t="s">
        <v>319</v>
      </c>
      <c r="C792" s="503" t="s">
        <v>544</v>
      </c>
      <c r="D792" s="431" t="s">
        <v>1656</v>
      </c>
      <c r="E792" s="482">
        <v>198446</v>
      </c>
      <c r="F792" s="482"/>
      <c r="G792" s="482"/>
      <c r="H792" s="482"/>
      <c r="I792" s="482"/>
      <c r="J792" s="68" t="s">
        <v>794</v>
      </c>
      <c r="K792" s="482" t="s">
        <v>794</v>
      </c>
      <c r="L792" s="482" t="s">
        <v>794</v>
      </c>
      <c r="M792" s="482" t="s">
        <v>294</v>
      </c>
      <c r="N792" s="482">
        <v>20.691099170000001</v>
      </c>
      <c r="O792" s="482">
        <v>92.590652469999995</v>
      </c>
      <c r="P792" s="482" t="s">
        <v>795</v>
      </c>
      <c r="Q792" s="482" t="s">
        <v>776</v>
      </c>
      <c r="R792" s="490"/>
      <c r="S792" s="491"/>
      <c r="T792" s="506"/>
      <c r="U792" s="488"/>
      <c r="V792" s="482" t="s">
        <v>544</v>
      </c>
      <c r="W792" s="482"/>
      <c r="X792" s="17"/>
      <c r="Z792" s="17"/>
    </row>
    <row r="793" spans="1:26" ht="14.25" customHeight="1">
      <c r="A793" s="482" t="s">
        <v>2647</v>
      </c>
      <c r="B793" s="504" t="s">
        <v>319</v>
      </c>
      <c r="C793" s="503" t="s">
        <v>651</v>
      </c>
      <c r="D793" s="431" t="s">
        <v>1656</v>
      </c>
      <c r="E793" s="68">
        <v>198297</v>
      </c>
      <c r="F793" s="482"/>
      <c r="G793" s="68"/>
      <c r="H793" s="68"/>
      <c r="I793" s="68"/>
      <c r="J793" s="68" t="s">
        <v>794</v>
      </c>
      <c r="K793" s="482" t="s">
        <v>794</v>
      </c>
      <c r="L793" s="482" t="s">
        <v>794</v>
      </c>
      <c r="M793" s="68" t="s">
        <v>791</v>
      </c>
      <c r="N793" s="68">
        <v>20.89270973</v>
      </c>
      <c r="O793" s="482">
        <v>92.562187190000003</v>
      </c>
      <c r="P793" s="68" t="s">
        <v>795</v>
      </c>
      <c r="Q793" s="68" t="s">
        <v>776</v>
      </c>
      <c r="R793" s="490"/>
      <c r="S793" s="491"/>
      <c r="T793" s="101"/>
      <c r="U793" s="488"/>
      <c r="V793" s="68" t="s">
        <v>651</v>
      </c>
      <c r="W793" s="482"/>
      <c r="X793" s="17"/>
      <c r="Z793" s="17"/>
    </row>
    <row r="794" spans="1:26" ht="14.25" customHeight="1">
      <c r="A794" s="482" t="s">
        <v>2647</v>
      </c>
      <c r="B794" s="504" t="s">
        <v>319</v>
      </c>
      <c r="C794" s="503" t="s">
        <v>658</v>
      </c>
      <c r="D794" s="431" t="s">
        <v>1656</v>
      </c>
      <c r="E794" s="482">
        <v>198234</v>
      </c>
      <c r="F794" s="482"/>
      <c r="G794" s="482"/>
      <c r="H794" s="482"/>
      <c r="I794" s="482"/>
      <c r="J794" s="68" t="s">
        <v>794</v>
      </c>
      <c r="K794" s="482" t="s">
        <v>794</v>
      </c>
      <c r="L794" s="482" t="s">
        <v>794</v>
      </c>
      <c r="M794" s="68" t="s">
        <v>294</v>
      </c>
      <c r="N794" s="482">
        <v>20.926780699999998</v>
      </c>
      <c r="O794" s="482">
        <v>92.539916989999995</v>
      </c>
      <c r="P794" s="68" t="s">
        <v>795</v>
      </c>
      <c r="Q794" s="482" t="s">
        <v>798</v>
      </c>
      <c r="R794" s="490"/>
      <c r="S794" s="491"/>
      <c r="T794" s="506">
        <v>42926</v>
      </c>
      <c r="U794" s="488" t="s">
        <v>799</v>
      </c>
      <c r="V794" s="482"/>
      <c r="W794" s="482"/>
      <c r="X794" s="17"/>
      <c r="Z794" s="17"/>
    </row>
    <row r="795" spans="1:26" ht="14.25" customHeight="1">
      <c r="A795" s="482" t="s">
        <v>2647</v>
      </c>
      <c r="B795" s="504" t="s">
        <v>319</v>
      </c>
      <c r="C795" s="503" t="s">
        <v>644</v>
      </c>
      <c r="D795" s="431" t="s">
        <v>1656</v>
      </c>
      <c r="E795" s="482">
        <v>198302</v>
      </c>
      <c r="F795" s="482"/>
      <c r="G795" s="482"/>
      <c r="H795" s="482"/>
      <c r="I795" s="482"/>
      <c r="J795" s="68" t="s">
        <v>794</v>
      </c>
      <c r="K795" s="482" t="s">
        <v>794</v>
      </c>
      <c r="L795" s="482" t="s">
        <v>794</v>
      </c>
      <c r="M795" s="482" t="s">
        <v>791</v>
      </c>
      <c r="N795" s="482">
        <v>20.884159090000001</v>
      </c>
      <c r="O795" s="482">
        <v>92.551063540000001</v>
      </c>
      <c r="P795" s="482" t="s">
        <v>795</v>
      </c>
      <c r="Q795" s="482" t="s">
        <v>776</v>
      </c>
      <c r="R795" s="490"/>
      <c r="S795" s="491"/>
      <c r="T795" s="506"/>
      <c r="U795" s="488"/>
      <c r="V795" s="482" t="s">
        <v>644</v>
      </c>
      <c r="W795" s="482"/>
      <c r="X795" s="17"/>
      <c r="Z795" s="17"/>
    </row>
    <row r="796" spans="1:26" ht="14.25" customHeight="1">
      <c r="A796" s="482" t="s">
        <v>2647</v>
      </c>
      <c r="B796" s="504" t="s">
        <v>319</v>
      </c>
      <c r="C796" s="503" t="s">
        <v>521</v>
      </c>
      <c r="D796" s="431" t="s">
        <v>1656</v>
      </c>
      <c r="E796" s="482">
        <v>198449</v>
      </c>
      <c r="F796" s="482"/>
      <c r="G796" s="68"/>
      <c r="H796" s="68"/>
      <c r="I796" s="68"/>
      <c r="J796" s="68" t="s">
        <v>794</v>
      </c>
      <c r="K796" s="482" t="s">
        <v>794</v>
      </c>
      <c r="L796" s="482" t="s">
        <v>794</v>
      </c>
      <c r="M796" s="68" t="s">
        <v>791</v>
      </c>
      <c r="N796" s="482">
        <v>20.663370130000001</v>
      </c>
      <c r="O796" s="482">
        <v>92.613876340000004</v>
      </c>
      <c r="P796" s="482" t="s">
        <v>795</v>
      </c>
      <c r="Q796" s="68" t="s">
        <v>776</v>
      </c>
      <c r="R796" s="486"/>
      <c r="S796" s="487"/>
      <c r="T796" s="101"/>
      <c r="U796" s="488"/>
      <c r="V796" s="68" t="s">
        <v>918</v>
      </c>
      <c r="W796" s="482"/>
      <c r="X796" s="17"/>
      <c r="Z796" s="17"/>
    </row>
    <row r="797" spans="1:26" ht="14.25" customHeight="1">
      <c r="A797" s="482" t="s">
        <v>2647</v>
      </c>
      <c r="B797" s="504" t="s">
        <v>319</v>
      </c>
      <c r="C797" s="503" t="s">
        <v>2515</v>
      </c>
      <c r="D797" s="431"/>
      <c r="E797" s="482">
        <v>198351</v>
      </c>
      <c r="F797" s="482" t="s">
        <v>2514</v>
      </c>
      <c r="G797" s="482"/>
      <c r="H797" s="482"/>
      <c r="I797" s="482"/>
      <c r="J797" s="482" t="s">
        <v>794</v>
      </c>
      <c r="K797" s="482" t="s">
        <v>794</v>
      </c>
      <c r="L797" s="482" t="s">
        <v>794</v>
      </c>
      <c r="M797" s="482" t="s">
        <v>791</v>
      </c>
      <c r="N797" s="482"/>
      <c r="O797" s="482"/>
      <c r="P797" s="482" t="s">
        <v>795</v>
      </c>
      <c r="Q797" s="482" t="s">
        <v>2627</v>
      </c>
      <c r="R797" s="486"/>
      <c r="S797" s="487"/>
      <c r="T797" s="506"/>
      <c r="U797" s="488"/>
      <c r="V797" s="482"/>
      <c r="W797" s="482"/>
      <c r="X797" s="17"/>
      <c r="Z797" s="17"/>
    </row>
    <row r="798" spans="1:26" ht="14.25" customHeight="1">
      <c r="A798" s="482" t="s">
        <v>2647</v>
      </c>
      <c r="B798" s="504" t="s">
        <v>319</v>
      </c>
      <c r="C798" s="503" t="s">
        <v>574</v>
      </c>
      <c r="D798" s="431" t="s">
        <v>1656</v>
      </c>
      <c r="E798" s="482">
        <v>198400</v>
      </c>
      <c r="F798" s="482"/>
      <c r="G798" s="482"/>
      <c r="H798" s="482"/>
      <c r="I798" s="482"/>
      <c r="J798" s="482" t="s">
        <v>800</v>
      </c>
      <c r="K798" s="482" t="s">
        <v>794</v>
      </c>
      <c r="L798" s="482" t="s">
        <v>800</v>
      </c>
      <c r="M798" s="482" t="s">
        <v>791</v>
      </c>
      <c r="N798" s="482">
        <v>20.733280180000001</v>
      </c>
      <c r="O798" s="482">
        <v>92.601409910000001</v>
      </c>
      <c r="P798" s="482" t="s">
        <v>919</v>
      </c>
      <c r="Q798" s="482" t="s">
        <v>798</v>
      </c>
      <c r="R798" s="486"/>
      <c r="S798" s="487"/>
      <c r="T798" s="506">
        <v>42926</v>
      </c>
      <c r="U798" s="488" t="s">
        <v>929</v>
      </c>
      <c r="V798" s="482"/>
      <c r="W798" s="482"/>
      <c r="X798" s="17"/>
      <c r="Z798" s="17"/>
    </row>
    <row r="799" spans="1:26" ht="14.25" customHeight="1">
      <c r="A799" s="490" t="s">
        <v>2647</v>
      </c>
      <c r="B799" s="514" t="s">
        <v>319</v>
      </c>
      <c r="C799" s="515" t="s">
        <v>584</v>
      </c>
      <c r="D799" s="485" t="s">
        <v>1656</v>
      </c>
      <c r="E799" s="482">
        <v>198408</v>
      </c>
      <c r="F799" s="482"/>
      <c r="G799" s="482"/>
      <c r="H799" s="482"/>
      <c r="I799" s="482"/>
      <c r="J799" s="396" t="s">
        <v>794</v>
      </c>
      <c r="K799" s="484" t="s">
        <v>794</v>
      </c>
      <c r="L799" s="484" t="s">
        <v>794</v>
      </c>
      <c r="M799" s="396" t="s">
        <v>294</v>
      </c>
      <c r="N799" s="482">
        <v>20.76407051</v>
      </c>
      <c r="O799" s="482">
        <v>92.631126399999999</v>
      </c>
      <c r="P799" s="482" t="s">
        <v>795</v>
      </c>
      <c r="Q799" s="482" t="s">
        <v>776</v>
      </c>
      <c r="R799" s="494"/>
      <c r="S799" s="487"/>
      <c r="T799" s="506"/>
      <c r="U799" s="494"/>
      <c r="V799" s="482" t="s">
        <v>584</v>
      </c>
      <c r="W799" s="486"/>
      <c r="X799" s="17"/>
      <c r="Z799" s="17"/>
    </row>
    <row r="800" spans="1:26" ht="14.25" customHeight="1">
      <c r="A800" s="443" t="s">
        <v>2647</v>
      </c>
      <c r="B800" s="444" t="s">
        <v>319</v>
      </c>
      <c r="C800" s="451" t="s">
        <v>2721</v>
      </c>
      <c r="D800" s="485"/>
      <c r="E800" s="445">
        <v>198401</v>
      </c>
      <c r="F800" s="445"/>
      <c r="G800" s="445"/>
      <c r="H800" s="445"/>
      <c r="I800" s="445"/>
      <c r="J800" s="482" t="s">
        <v>2652</v>
      </c>
      <c r="K800" s="484" t="s">
        <v>2622</v>
      </c>
      <c r="L800" s="484" t="s">
        <v>2622</v>
      </c>
      <c r="M800" s="482"/>
      <c r="N800" s="445">
        <v>20.765670776367202</v>
      </c>
      <c r="O800" s="482">
        <v>92.577812194824205</v>
      </c>
      <c r="P800" s="68"/>
      <c r="Q800" s="445"/>
      <c r="R800" s="446"/>
      <c r="S800" s="443"/>
      <c r="T800" s="447">
        <v>43591</v>
      </c>
      <c r="U800" s="448"/>
      <c r="V800" s="482"/>
      <c r="W800" s="486"/>
      <c r="X800" s="17"/>
      <c r="Z800" s="17"/>
    </row>
    <row r="801" spans="1:26" ht="14.25" customHeight="1">
      <c r="A801" s="482" t="s">
        <v>2647</v>
      </c>
      <c r="B801" s="504" t="s">
        <v>319</v>
      </c>
      <c r="C801" s="503" t="s">
        <v>572</v>
      </c>
      <c r="D801" s="431"/>
      <c r="E801" s="482">
        <v>198418</v>
      </c>
      <c r="F801" s="482" t="s">
        <v>572</v>
      </c>
      <c r="G801" s="482"/>
      <c r="H801" s="482"/>
      <c r="I801" s="482"/>
      <c r="J801" s="482" t="s">
        <v>794</v>
      </c>
      <c r="K801" s="484" t="s">
        <v>794</v>
      </c>
      <c r="L801" s="484" t="s">
        <v>794</v>
      </c>
      <c r="M801" s="396" t="s">
        <v>294</v>
      </c>
      <c r="N801" s="396">
        <v>20.7264194488525</v>
      </c>
      <c r="O801" s="396">
        <v>92.671180730000003</v>
      </c>
      <c r="P801" s="482" t="s">
        <v>795</v>
      </c>
      <c r="Q801" s="482" t="s">
        <v>2627</v>
      </c>
      <c r="R801" s="486"/>
      <c r="S801" s="487"/>
      <c r="T801" s="506">
        <v>43580</v>
      </c>
      <c r="U801" s="488" t="s">
        <v>2672</v>
      </c>
      <c r="V801" s="396" t="s">
        <v>572</v>
      </c>
      <c r="W801" s="482"/>
      <c r="X801" s="17"/>
      <c r="Z801" s="17"/>
    </row>
    <row r="802" spans="1:26" ht="14.25" customHeight="1">
      <c r="A802" s="482" t="s">
        <v>2647</v>
      </c>
      <c r="B802" s="504" t="s">
        <v>319</v>
      </c>
      <c r="C802" s="503" t="s">
        <v>533</v>
      </c>
      <c r="D802" s="431" t="s">
        <v>1656</v>
      </c>
      <c r="E802" s="482">
        <v>217886</v>
      </c>
      <c r="F802" s="482"/>
      <c r="G802" s="482"/>
      <c r="H802" s="482"/>
      <c r="I802" s="482"/>
      <c r="J802" s="482" t="s">
        <v>794</v>
      </c>
      <c r="K802" s="484" t="s">
        <v>794</v>
      </c>
      <c r="L802" s="484" t="s">
        <v>794</v>
      </c>
      <c r="M802" s="482" t="s">
        <v>791</v>
      </c>
      <c r="N802" s="482">
        <v>20.678150179999999</v>
      </c>
      <c r="O802" s="482">
        <v>92.587867739999993</v>
      </c>
      <c r="P802" s="482" t="s">
        <v>795</v>
      </c>
      <c r="Q802" s="482" t="s">
        <v>776</v>
      </c>
      <c r="R802" s="486"/>
      <c r="S802" s="487"/>
      <c r="T802" s="506"/>
      <c r="U802" s="488"/>
      <c r="V802" s="482" t="s">
        <v>533</v>
      </c>
      <c r="W802" s="482"/>
      <c r="X802" s="17"/>
      <c r="Z802" s="17"/>
    </row>
    <row r="803" spans="1:26" ht="14.25" customHeight="1">
      <c r="A803" s="482" t="s">
        <v>2647</v>
      </c>
      <c r="B803" s="504" t="s">
        <v>319</v>
      </c>
      <c r="C803" s="503" t="s">
        <v>591</v>
      </c>
      <c r="D803" s="431" t="s">
        <v>1656</v>
      </c>
      <c r="E803" s="396">
        <v>198388</v>
      </c>
      <c r="F803" s="482"/>
      <c r="G803" s="396"/>
      <c r="H803" s="396"/>
      <c r="I803" s="396"/>
      <c r="J803" s="396" t="s">
        <v>794</v>
      </c>
      <c r="K803" s="484" t="s">
        <v>794</v>
      </c>
      <c r="L803" s="484" t="s">
        <v>794</v>
      </c>
      <c r="M803" s="396" t="s">
        <v>294</v>
      </c>
      <c r="N803" s="396">
        <v>20.782770159999998</v>
      </c>
      <c r="O803" s="396">
        <v>92.551826480000003</v>
      </c>
      <c r="P803" s="482" t="s">
        <v>795</v>
      </c>
      <c r="Q803" s="482" t="s">
        <v>798</v>
      </c>
      <c r="R803" s="486"/>
      <c r="S803" s="487"/>
      <c r="T803" s="506">
        <v>42926</v>
      </c>
      <c r="U803" s="488" t="s">
        <v>799</v>
      </c>
      <c r="V803" s="396"/>
      <c r="W803" s="482"/>
      <c r="X803" s="17"/>
      <c r="Z803" s="17"/>
    </row>
    <row r="804" spans="1:26" ht="14.25" customHeight="1">
      <c r="A804" s="396" t="s">
        <v>2647</v>
      </c>
      <c r="B804" s="504" t="s">
        <v>319</v>
      </c>
      <c r="C804" s="503" t="s">
        <v>2517</v>
      </c>
      <c r="D804" s="431"/>
      <c r="E804" s="482"/>
      <c r="F804" s="482" t="s">
        <v>2629</v>
      </c>
      <c r="G804" s="68"/>
      <c r="H804" s="68"/>
      <c r="I804" s="68"/>
      <c r="J804" s="68" t="s">
        <v>794</v>
      </c>
      <c r="K804" s="484" t="s">
        <v>794</v>
      </c>
      <c r="L804" s="484" t="s">
        <v>794</v>
      </c>
      <c r="M804" s="68" t="s">
        <v>791</v>
      </c>
      <c r="N804" s="68"/>
      <c r="O804" s="68"/>
      <c r="P804" s="68" t="s">
        <v>795</v>
      </c>
      <c r="Q804" s="482" t="s">
        <v>2627</v>
      </c>
      <c r="R804" s="486"/>
      <c r="S804" s="487"/>
      <c r="T804" s="506"/>
      <c r="U804" s="488"/>
      <c r="V804" s="68"/>
      <c r="W804" s="396"/>
      <c r="X804" s="17"/>
      <c r="Z804" s="17"/>
    </row>
    <row r="805" spans="1:26" ht="14.25" customHeight="1">
      <c r="A805" s="396" t="s">
        <v>2647</v>
      </c>
      <c r="B805" s="504" t="s">
        <v>319</v>
      </c>
      <c r="C805" s="503" t="s">
        <v>586</v>
      </c>
      <c r="D805" s="431" t="s">
        <v>1656</v>
      </c>
      <c r="E805" s="482">
        <v>198409</v>
      </c>
      <c r="F805" s="396" t="s">
        <v>2635</v>
      </c>
      <c r="G805" s="396"/>
      <c r="H805" s="396"/>
      <c r="I805" s="396"/>
      <c r="J805" s="68" t="s">
        <v>794</v>
      </c>
      <c r="K805" s="484" t="s">
        <v>794</v>
      </c>
      <c r="L805" s="484" t="s">
        <v>794</v>
      </c>
      <c r="M805" s="396" t="s">
        <v>294</v>
      </c>
      <c r="N805" s="396">
        <v>20.767719270000001</v>
      </c>
      <c r="O805" s="396">
        <v>92.631736759999995</v>
      </c>
      <c r="P805" s="68" t="s">
        <v>795</v>
      </c>
      <c r="Q805" s="396" t="s">
        <v>2627</v>
      </c>
      <c r="R805" s="486"/>
      <c r="S805" s="487"/>
      <c r="T805" s="506"/>
      <c r="U805" s="488"/>
      <c r="V805" s="396" t="s">
        <v>586</v>
      </c>
      <c r="W805" s="482"/>
      <c r="X805" s="17"/>
      <c r="Z805" s="17"/>
    </row>
    <row r="806" spans="1:26" ht="14.25" customHeight="1">
      <c r="A806" s="396" t="s">
        <v>2647</v>
      </c>
      <c r="B806" s="504" t="s">
        <v>319</v>
      </c>
      <c r="C806" s="503" t="s">
        <v>2782</v>
      </c>
      <c r="D806" s="431"/>
      <c r="E806" s="68">
        <v>198362</v>
      </c>
      <c r="F806" s="396"/>
      <c r="G806" s="68"/>
      <c r="H806" s="396"/>
      <c r="I806" s="68"/>
      <c r="J806" s="68" t="s">
        <v>2652</v>
      </c>
      <c r="K806" s="484" t="s">
        <v>2622</v>
      </c>
      <c r="L806" s="484" t="s">
        <v>2622</v>
      </c>
      <c r="M806" s="68"/>
      <c r="N806" s="68"/>
      <c r="O806" s="396"/>
      <c r="P806" s="482"/>
      <c r="Q806" s="396"/>
      <c r="R806" s="486"/>
      <c r="S806" s="487"/>
      <c r="T806" s="412"/>
      <c r="U806" s="488"/>
      <c r="V806" s="68"/>
      <c r="W806" s="482"/>
      <c r="X806" s="17"/>
      <c r="Z806" s="17"/>
    </row>
    <row r="807" spans="1:26" ht="14.25" customHeight="1">
      <c r="A807" s="482" t="s">
        <v>2647</v>
      </c>
      <c r="B807" s="504" t="s">
        <v>319</v>
      </c>
      <c r="C807" s="503" t="s">
        <v>655</v>
      </c>
      <c r="D807" s="431" t="s">
        <v>1656</v>
      </c>
      <c r="E807" s="482">
        <v>198318</v>
      </c>
      <c r="F807" s="482"/>
      <c r="G807" s="482"/>
      <c r="H807" s="482"/>
      <c r="I807" s="482"/>
      <c r="J807" s="482" t="s">
        <v>794</v>
      </c>
      <c r="K807" s="484" t="s">
        <v>794</v>
      </c>
      <c r="L807" s="484" t="s">
        <v>794</v>
      </c>
      <c r="M807" s="68" t="s">
        <v>791</v>
      </c>
      <c r="N807" s="68">
        <v>20.895900730000001</v>
      </c>
      <c r="O807" s="482">
        <v>92.497329710000002</v>
      </c>
      <c r="P807" s="68" t="s">
        <v>795</v>
      </c>
      <c r="Q807" s="482" t="s">
        <v>776</v>
      </c>
      <c r="R807" s="486"/>
      <c r="S807" s="487"/>
      <c r="T807" s="506"/>
      <c r="U807" s="488"/>
      <c r="V807" s="68" t="s">
        <v>655</v>
      </c>
      <c r="W807" s="482"/>
      <c r="X807" s="17"/>
      <c r="Z807" s="17"/>
    </row>
    <row r="808" spans="1:26" ht="14.25" customHeight="1">
      <c r="A808" s="482" t="s">
        <v>2647</v>
      </c>
      <c r="B808" s="504" t="s">
        <v>319</v>
      </c>
      <c r="C808" s="503" t="s">
        <v>2984</v>
      </c>
      <c r="D808" s="431"/>
      <c r="E808" s="482">
        <v>198168</v>
      </c>
      <c r="F808" s="482"/>
      <c r="G808" s="482"/>
      <c r="H808" s="482"/>
      <c r="I808" s="482"/>
      <c r="J808" s="396" t="s">
        <v>794</v>
      </c>
      <c r="K808" s="484" t="s">
        <v>794</v>
      </c>
      <c r="L808" s="484" t="s">
        <v>794</v>
      </c>
      <c r="M808" s="482" t="s">
        <v>2987</v>
      </c>
      <c r="N808" s="482">
        <v>20.897079467773398</v>
      </c>
      <c r="O808" s="484">
        <v>92.469520568847699</v>
      </c>
      <c r="P808" s="396" t="s">
        <v>795</v>
      </c>
      <c r="Q808" s="482" t="s">
        <v>2961</v>
      </c>
      <c r="R808" s="486"/>
      <c r="S808" s="487"/>
      <c r="T808" s="506">
        <v>43768</v>
      </c>
      <c r="U808" s="488"/>
      <c r="V808" s="482"/>
      <c r="W808" s="482"/>
      <c r="X808" s="17"/>
      <c r="Z808" s="17"/>
    </row>
    <row r="809" spans="1:26" ht="14.25" customHeight="1">
      <c r="A809" s="482" t="s">
        <v>2647</v>
      </c>
      <c r="B809" s="504" t="s">
        <v>319</v>
      </c>
      <c r="C809" s="503" t="s">
        <v>2983</v>
      </c>
      <c r="D809" s="431"/>
      <c r="E809" s="482">
        <v>198168</v>
      </c>
      <c r="F809" s="484"/>
      <c r="G809" s="482"/>
      <c r="H809" s="482"/>
      <c r="I809" s="482"/>
      <c r="J809" s="68" t="s">
        <v>794</v>
      </c>
      <c r="K809" s="484" t="s">
        <v>794</v>
      </c>
      <c r="L809" s="484" t="s">
        <v>794</v>
      </c>
      <c r="M809" s="482" t="s">
        <v>791</v>
      </c>
      <c r="N809" s="482">
        <v>20.897079467773398</v>
      </c>
      <c r="O809" s="482">
        <v>92.469520568847699</v>
      </c>
      <c r="P809" s="482" t="s">
        <v>795</v>
      </c>
      <c r="Q809" s="482" t="s">
        <v>2961</v>
      </c>
      <c r="R809" s="486"/>
      <c r="S809" s="487"/>
      <c r="T809" s="506">
        <v>43768</v>
      </c>
      <c r="U809" s="488"/>
      <c r="V809" s="482"/>
      <c r="W809" s="482"/>
      <c r="X809" s="17"/>
      <c r="Z809" s="17"/>
    </row>
    <row r="810" spans="1:26" ht="14.25" customHeight="1">
      <c r="A810" s="482" t="s">
        <v>2647</v>
      </c>
      <c r="B810" s="504" t="s">
        <v>319</v>
      </c>
      <c r="C810" s="503" t="s">
        <v>641</v>
      </c>
      <c r="D810" s="431" t="s">
        <v>1656</v>
      </c>
      <c r="E810" s="482">
        <v>198299</v>
      </c>
      <c r="F810" s="484"/>
      <c r="G810" s="482"/>
      <c r="H810" s="482"/>
      <c r="I810" s="482"/>
      <c r="J810" s="482" t="s">
        <v>794</v>
      </c>
      <c r="K810" s="484" t="s">
        <v>794</v>
      </c>
      <c r="L810" s="484" t="s">
        <v>794</v>
      </c>
      <c r="M810" s="68" t="s">
        <v>791</v>
      </c>
      <c r="N810" s="68">
        <v>20.88254929</v>
      </c>
      <c r="O810" s="68">
        <v>92.551338200000004</v>
      </c>
      <c r="P810" s="482" t="s">
        <v>795</v>
      </c>
      <c r="Q810" s="482" t="s">
        <v>776</v>
      </c>
      <c r="R810" s="486"/>
      <c r="S810" s="487"/>
      <c r="T810" s="506"/>
      <c r="U810" s="488"/>
      <c r="V810" s="68" t="s">
        <v>941</v>
      </c>
      <c r="W810" s="482"/>
      <c r="X810" s="17"/>
      <c r="Z810" s="17"/>
    </row>
    <row r="811" spans="1:26" ht="14.25" customHeight="1">
      <c r="A811" s="396" t="s">
        <v>2647</v>
      </c>
      <c r="B811" s="504" t="s">
        <v>319</v>
      </c>
      <c r="C811" s="503" t="s">
        <v>522</v>
      </c>
      <c r="D811" s="431" t="s">
        <v>1656</v>
      </c>
      <c r="E811" s="396">
        <v>198451</v>
      </c>
      <c r="F811" s="396"/>
      <c r="G811" s="396"/>
      <c r="H811" s="396"/>
      <c r="I811" s="396"/>
      <c r="J811" s="396" t="s">
        <v>794</v>
      </c>
      <c r="K811" s="484" t="s">
        <v>794</v>
      </c>
      <c r="L811" s="484" t="s">
        <v>794</v>
      </c>
      <c r="M811" s="396" t="s">
        <v>791</v>
      </c>
      <c r="N811" s="396">
        <v>20.663879390000002</v>
      </c>
      <c r="O811" s="396">
        <v>92.609306340000003</v>
      </c>
      <c r="P811" s="482" t="s">
        <v>795</v>
      </c>
      <c r="Q811" s="396" t="s">
        <v>776</v>
      </c>
      <c r="R811" s="486"/>
      <c r="S811" s="487"/>
      <c r="T811" s="412"/>
      <c r="U811" s="488"/>
      <c r="V811" s="396" t="s">
        <v>522</v>
      </c>
      <c r="W811" s="482"/>
      <c r="X811" s="17"/>
      <c r="Z811" s="17"/>
    </row>
    <row r="812" spans="1:26" ht="14.25" customHeight="1">
      <c r="A812" s="396" t="s">
        <v>2647</v>
      </c>
      <c r="B812" s="504" t="s">
        <v>319</v>
      </c>
      <c r="C812" s="503" t="s">
        <v>524</v>
      </c>
      <c r="D812" s="431" t="s">
        <v>1656</v>
      </c>
      <c r="E812" s="482">
        <v>198452</v>
      </c>
      <c r="F812" s="482"/>
      <c r="G812" s="68"/>
      <c r="H812" s="68"/>
      <c r="I812" s="68"/>
      <c r="J812" s="68" t="s">
        <v>794</v>
      </c>
      <c r="K812" s="484" t="s">
        <v>794</v>
      </c>
      <c r="L812" s="484" t="s">
        <v>794</v>
      </c>
      <c r="M812" s="68" t="s">
        <v>294</v>
      </c>
      <c r="N812" s="68">
        <v>20.667749400000002</v>
      </c>
      <c r="O812" s="68">
        <v>92.608650209999993</v>
      </c>
      <c r="P812" s="68" t="s">
        <v>795</v>
      </c>
      <c r="Q812" s="68" t="s">
        <v>776</v>
      </c>
      <c r="R812" s="486"/>
      <c r="S812" s="487"/>
      <c r="T812" s="101"/>
      <c r="U812" s="97"/>
      <c r="V812" s="68" t="s">
        <v>524</v>
      </c>
      <c r="W812" s="396"/>
      <c r="X812" s="17"/>
      <c r="Z812" s="17"/>
    </row>
    <row r="813" spans="1:26" ht="14.25" customHeight="1">
      <c r="A813" s="396" t="s">
        <v>2647</v>
      </c>
      <c r="B813" s="504" t="s">
        <v>319</v>
      </c>
      <c r="C813" s="503" t="s">
        <v>598</v>
      </c>
      <c r="D813" s="431" t="s">
        <v>1656</v>
      </c>
      <c r="E813" s="482">
        <v>198380</v>
      </c>
      <c r="F813" s="482"/>
      <c r="G813" s="68"/>
      <c r="H813" s="68"/>
      <c r="I813" s="396"/>
      <c r="J813" s="68" t="s">
        <v>794</v>
      </c>
      <c r="K813" s="484" t="s">
        <v>794</v>
      </c>
      <c r="L813" s="484" t="s">
        <v>794</v>
      </c>
      <c r="M813" s="68" t="s">
        <v>791</v>
      </c>
      <c r="N813" s="68">
        <v>20.787410739999999</v>
      </c>
      <c r="O813" s="484">
        <v>92.55155182</v>
      </c>
      <c r="P813" s="482" t="s">
        <v>795</v>
      </c>
      <c r="Q813" s="482" t="s">
        <v>776</v>
      </c>
      <c r="R813" s="486"/>
      <c r="S813" s="487"/>
      <c r="T813" s="506"/>
      <c r="U813" s="97"/>
      <c r="V813" s="68" t="s">
        <v>598</v>
      </c>
      <c r="W813" s="396"/>
      <c r="X813" s="17"/>
      <c r="Z813" s="17"/>
    </row>
    <row r="814" spans="1:26" ht="14.25" customHeight="1">
      <c r="A814" s="487" t="s">
        <v>2647</v>
      </c>
      <c r="B814" s="514" t="s">
        <v>319</v>
      </c>
      <c r="C814" s="515" t="s">
        <v>600</v>
      </c>
      <c r="D814" s="485" t="s">
        <v>1656</v>
      </c>
      <c r="E814" s="396">
        <v>198378</v>
      </c>
      <c r="F814" s="484"/>
      <c r="G814" s="396"/>
      <c r="H814" s="396"/>
      <c r="I814" s="396"/>
      <c r="J814" s="396" t="s">
        <v>794</v>
      </c>
      <c r="K814" s="484" t="s">
        <v>794</v>
      </c>
      <c r="L814" s="484" t="s">
        <v>794</v>
      </c>
      <c r="M814" s="396" t="s">
        <v>791</v>
      </c>
      <c r="N814" s="396">
        <v>20.791679380000001</v>
      </c>
      <c r="O814" s="396">
        <v>92.550903320000003</v>
      </c>
      <c r="P814" s="482" t="s">
        <v>795</v>
      </c>
      <c r="Q814" s="482" t="s">
        <v>776</v>
      </c>
      <c r="R814" s="494"/>
      <c r="S814" s="487"/>
      <c r="T814" s="506"/>
      <c r="U814" s="494"/>
      <c r="V814" s="396" t="s">
        <v>600</v>
      </c>
      <c r="W814" s="486"/>
      <c r="X814" s="17"/>
      <c r="Z814" s="17"/>
    </row>
    <row r="815" spans="1:26" ht="14.25" customHeight="1">
      <c r="A815" s="482" t="s">
        <v>2647</v>
      </c>
      <c r="B815" s="504" t="s">
        <v>319</v>
      </c>
      <c r="C815" s="503" t="s">
        <v>2808</v>
      </c>
      <c r="D815" s="431"/>
      <c r="E815" s="482">
        <v>198407</v>
      </c>
      <c r="F815" s="484"/>
      <c r="G815" s="482"/>
      <c r="H815" s="482"/>
      <c r="I815" s="482"/>
      <c r="J815" s="482" t="s">
        <v>794</v>
      </c>
      <c r="K815" s="484" t="s">
        <v>794</v>
      </c>
      <c r="L815" s="484" t="s">
        <v>794</v>
      </c>
      <c r="M815" s="482" t="s">
        <v>791</v>
      </c>
      <c r="N815" s="482">
        <v>20.775840759277301</v>
      </c>
      <c r="O815" s="482">
        <v>92.613082885742202</v>
      </c>
      <c r="P815" s="482" t="s">
        <v>795</v>
      </c>
      <c r="Q815" s="482"/>
      <c r="R815" s="486"/>
      <c r="S815" s="487"/>
      <c r="T815" s="506"/>
      <c r="U815" s="488"/>
      <c r="V815" s="482" t="s">
        <v>589</v>
      </c>
      <c r="W815" s="482"/>
      <c r="X815" s="17"/>
      <c r="Z815" s="17"/>
    </row>
    <row r="816" spans="1:26" ht="14.25" customHeight="1">
      <c r="A816" s="482" t="s">
        <v>2647</v>
      </c>
      <c r="B816" s="504" t="s">
        <v>319</v>
      </c>
      <c r="C816" s="503" t="s">
        <v>2519</v>
      </c>
      <c r="D816" s="431"/>
      <c r="E816" s="68">
        <v>198337</v>
      </c>
      <c r="F816" s="68" t="s">
        <v>609</v>
      </c>
      <c r="G816" s="68"/>
      <c r="H816" s="68"/>
      <c r="I816" s="68"/>
      <c r="J816" s="68" t="s">
        <v>794</v>
      </c>
      <c r="K816" s="482" t="s">
        <v>794</v>
      </c>
      <c r="L816" s="482" t="s">
        <v>794</v>
      </c>
      <c r="M816" s="68" t="s">
        <v>294</v>
      </c>
      <c r="N816" s="482"/>
      <c r="O816" s="484"/>
      <c r="P816" s="482" t="s">
        <v>795</v>
      </c>
      <c r="Q816" s="68" t="s">
        <v>2627</v>
      </c>
      <c r="R816" s="486"/>
      <c r="S816" s="487"/>
      <c r="T816" s="101"/>
      <c r="U816" s="488"/>
      <c r="V816" s="68"/>
      <c r="W816" s="482"/>
      <c r="X816" s="17"/>
      <c r="Z816" s="17"/>
    </row>
    <row r="817" spans="1:26" ht="14.25" customHeight="1">
      <c r="A817" s="396" t="s">
        <v>2647</v>
      </c>
      <c r="B817" s="504" t="s">
        <v>319</v>
      </c>
      <c r="C817" s="503" t="s">
        <v>2986</v>
      </c>
      <c r="D817" s="431"/>
      <c r="E817" s="68">
        <v>198377</v>
      </c>
      <c r="F817" s="484"/>
      <c r="G817" s="68"/>
      <c r="H817" s="68"/>
      <c r="I817" s="68"/>
      <c r="J817" s="68" t="s">
        <v>794</v>
      </c>
      <c r="K817" s="482" t="s">
        <v>794</v>
      </c>
      <c r="L817" s="482" t="s">
        <v>794</v>
      </c>
      <c r="M817" s="68" t="s">
        <v>294</v>
      </c>
      <c r="N817" s="482">
        <v>20.7940998077393</v>
      </c>
      <c r="O817" s="482">
        <v>92.5543212890625</v>
      </c>
      <c r="P817" s="482" t="s">
        <v>795</v>
      </c>
      <c r="Q817" s="68" t="s">
        <v>2961</v>
      </c>
      <c r="R817" s="490"/>
      <c r="S817" s="491"/>
      <c r="T817" s="101">
        <v>43768</v>
      </c>
      <c r="U817" s="97"/>
      <c r="V817" s="68"/>
      <c r="W817" s="396"/>
      <c r="X817" s="17"/>
      <c r="Z817" s="17"/>
    </row>
    <row r="818" spans="1:26" ht="14.25" customHeight="1">
      <c r="A818" s="482" t="s">
        <v>2647</v>
      </c>
      <c r="B818" s="504" t="s">
        <v>319</v>
      </c>
      <c r="C818" s="503" t="s">
        <v>553</v>
      </c>
      <c r="D818" s="431" t="s">
        <v>1656</v>
      </c>
      <c r="E818" s="482">
        <v>198423</v>
      </c>
      <c r="F818" s="484"/>
      <c r="G818" s="482"/>
      <c r="H818" s="482"/>
      <c r="I818" s="482"/>
      <c r="J818" s="68" t="s">
        <v>794</v>
      </c>
      <c r="K818" s="482" t="s">
        <v>794</v>
      </c>
      <c r="L818" s="482" t="s">
        <v>794</v>
      </c>
      <c r="M818" s="482" t="s">
        <v>294</v>
      </c>
      <c r="N818" s="482">
        <v>20.707460399999999</v>
      </c>
      <c r="O818" s="482">
        <v>92.680862430000005</v>
      </c>
      <c r="P818" s="68" t="s">
        <v>795</v>
      </c>
      <c r="Q818" s="482" t="s">
        <v>776</v>
      </c>
      <c r="R818" s="486"/>
      <c r="S818" s="487"/>
      <c r="T818" s="506"/>
      <c r="U818" s="488"/>
      <c r="V818" s="482" t="s">
        <v>553</v>
      </c>
      <c r="W818" s="482"/>
      <c r="X818" s="17"/>
      <c r="Z818" s="17"/>
    </row>
    <row r="819" spans="1:26" ht="14.25" customHeight="1">
      <c r="A819" s="482" t="s">
        <v>2647</v>
      </c>
      <c r="B819" s="504" t="s">
        <v>319</v>
      </c>
      <c r="C819" s="503" t="s">
        <v>2518</v>
      </c>
      <c r="D819" s="431"/>
      <c r="E819" s="482">
        <v>198363</v>
      </c>
      <c r="F819" s="482" t="s">
        <v>2629</v>
      </c>
      <c r="G819" s="482"/>
      <c r="H819" s="482"/>
      <c r="I819" s="482"/>
      <c r="J819" s="68" t="s">
        <v>794</v>
      </c>
      <c r="K819" s="482" t="s">
        <v>794</v>
      </c>
      <c r="L819" s="482" t="s">
        <v>794</v>
      </c>
      <c r="M819" s="68" t="s">
        <v>294</v>
      </c>
      <c r="N819" s="482"/>
      <c r="O819" s="482"/>
      <c r="P819" s="68" t="s">
        <v>795</v>
      </c>
      <c r="Q819" s="482" t="s">
        <v>2627</v>
      </c>
      <c r="R819" s="486"/>
      <c r="S819" s="487"/>
      <c r="T819" s="506"/>
      <c r="U819" s="488"/>
      <c r="V819" s="482"/>
      <c r="W819" s="482"/>
      <c r="X819" s="17"/>
      <c r="Z819" s="17"/>
    </row>
    <row r="820" spans="1:26" ht="14.25" customHeight="1">
      <c r="A820" s="482" t="s">
        <v>2647</v>
      </c>
      <c r="B820" s="504" t="s">
        <v>319</v>
      </c>
      <c r="C820" s="503" t="s">
        <v>583</v>
      </c>
      <c r="D820" s="431" t="s">
        <v>1656</v>
      </c>
      <c r="E820" s="482">
        <v>198391</v>
      </c>
      <c r="F820" s="482"/>
      <c r="G820" s="482"/>
      <c r="H820" s="482"/>
      <c r="I820" s="482"/>
      <c r="J820" s="68" t="s">
        <v>794</v>
      </c>
      <c r="K820" s="482" t="s">
        <v>794</v>
      </c>
      <c r="L820" s="482" t="s">
        <v>794</v>
      </c>
      <c r="M820" s="482" t="s">
        <v>791</v>
      </c>
      <c r="N820" s="482">
        <v>20.761529920000001</v>
      </c>
      <c r="O820" s="484">
        <v>92.544082639999999</v>
      </c>
      <c r="P820" s="482" t="s">
        <v>795</v>
      </c>
      <c r="Q820" s="482" t="s">
        <v>776</v>
      </c>
      <c r="R820" s="486"/>
      <c r="S820" s="487"/>
      <c r="T820" s="506"/>
      <c r="U820" s="488"/>
      <c r="V820" s="482" t="s">
        <v>583</v>
      </c>
      <c r="W820" s="482"/>
      <c r="X820" s="17"/>
      <c r="Z820" s="17"/>
    </row>
    <row r="821" spans="1:26" ht="14.25" customHeight="1">
      <c r="A821" s="482" t="s">
        <v>2647</v>
      </c>
      <c r="B821" s="504" t="s">
        <v>319</v>
      </c>
      <c r="C821" s="503" t="s">
        <v>542</v>
      </c>
      <c r="D821" s="431" t="s">
        <v>1656</v>
      </c>
      <c r="E821" s="68">
        <v>198421</v>
      </c>
      <c r="F821" s="484"/>
      <c r="G821" s="68"/>
      <c r="H821" s="68"/>
      <c r="I821" s="68"/>
      <c r="J821" s="68" t="s">
        <v>794</v>
      </c>
      <c r="K821" s="482" t="s">
        <v>794</v>
      </c>
      <c r="L821" s="482" t="s">
        <v>794</v>
      </c>
      <c r="M821" s="68" t="s">
        <v>294</v>
      </c>
      <c r="N821" s="68">
        <v>20.688310619999999</v>
      </c>
      <c r="O821" s="484">
        <v>92.696960450000006</v>
      </c>
      <c r="P821" s="68" t="s">
        <v>795</v>
      </c>
      <c r="Q821" s="68" t="s">
        <v>776</v>
      </c>
      <c r="R821" s="486"/>
      <c r="S821" s="487"/>
      <c r="T821" s="101"/>
      <c r="U821" s="488"/>
      <c r="V821" s="68" t="s">
        <v>542</v>
      </c>
      <c r="W821" s="482"/>
      <c r="X821" s="17"/>
      <c r="Z821" s="17"/>
    </row>
    <row r="822" spans="1:26" ht="14.25" customHeight="1">
      <c r="A822" s="482" t="s">
        <v>2647</v>
      </c>
      <c r="B822" s="504" t="s">
        <v>319</v>
      </c>
      <c r="C822" s="503" t="s">
        <v>2528</v>
      </c>
      <c r="D822" s="431" t="s">
        <v>1656</v>
      </c>
      <c r="E822" s="482">
        <v>198300</v>
      </c>
      <c r="F822" s="484" t="s">
        <v>2634</v>
      </c>
      <c r="G822" s="68"/>
      <c r="H822" s="68"/>
      <c r="I822" s="68"/>
      <c r="J822" s="68" t="s">
        <v>794</v>
      </c>
      <c r="K822" s="482" t="s">
        <v>794</v>
      </c>
      <c r="L822" s="482" t="s">
        <v>794</v>
      </c>
      <c r="M822" s="68" t="s">
        <v>294</v>
      </c>
      <c r="N822" s="482">
        <v>20.887420649999999</v>
      </c>
      <c r="O822" s="482">
        <v>92.545410160000003</v>
      </c>
      <c r="P822" s="68" t="s">
        <v>795</v>
      </c>
      <c r="Q822" s="68" t="s">
        <v>776</v>
      </c>
      <c r="R822" s="486"/>
      <c r="S822" s="487"/>
      <c r="T822" s="101"/>
      <c r="U822" s="488"/>
      <c r="V822" s="68" t="s">
        <v>943</v>
      </c>
      <c r="W822" s="482"/>
      <c r="X822" s="17"/>
      <c r="Z822" s="17"/>
    </row>
    <row r="823" spans="1:26" ht="14.25" customHeight="1">
      <c r="A823" s="482" t="s">
        <v>2647</v>
      </c>
      <c r="B823" s="635" t="s">
        <v>319</v>
      </c>
      <c r="C823" s="637" t="s">
        <v>2524</v>
      </c>
      <c r="D823" s="485"/>
      <c r="E823" s="171">
        <v>198434</v>
      </c>
      <c r="F823" s="639" t="s">
        <v>2632</v>
      </c>
      <c r="G823" s="171"/>
      <c r="H823" s="171"/>
      <c r="I823" s="171"/>
      <c r="J823" s="171" t="s">
        <v>794</v>
      </c>
      <c r="K823" s="171" t="s">
        <v>794</v>
      </c>
      <c r="L823" s="171" t="s">
        <v>794</v>
      </c>
      <c r="M823" s="171" t="s">
        <v>791</v>
      </c>
      <c r="N823" s="171"/>
      <c r="O823" s="171"/>
      <c r="P823" s="68" t="s">
        <v>795</v>
      </c>
      <c r="Q823" s="171" t="s">
        <v>2627</v>
      </c>
      <c r="R823" s="172"/>
      <c r="S823" s="170"/>
      <c r="T823" s="173"/>
      <c r="U823" s="174"/>
      <c r="V823" s="171"/>
      <c r="W823" s="486"/>
      <c r="X823" s="17"/>
      <c r="Z823" s="17"/>
    </row>
    <row r="824" spans="1:26" ht="14.25" customHeight="1">
      <c r="A824" s="490" t="s">
        <v>2647</v>
      </c>
      <c r="B824" s="514" t="s">
        <v>319</v>
      </c>
      <c r="C824" s="515" t="s">
        <v>2525</v>
      </c>
      <c r="D824" s="485"/>
      <c r="E824" s="489">
        <v>198433</v>
      </c>
      <c r="F824" s="482" t="s">
        <v>2632</v>
      </c>
      <c r="G824" s="396"/>
      <c r="H824" s="396"/>
      <c r="I824" s="396"/>
      <c r="J824" s="396" t="s">
        <v>794</v>
      </c>
      <c r="K824" s="482" t="s">
        <v>794</v>
      </c>
      <c r="L824" s="482" t="s">
        <v>794</v>
      </c>
      <c r="M824" s="396" t="s">
        <v>294</v>
      </c>
      <c r="N824" s="482"/>
      <c r="O824" s="482"/>
      <c r="P824" s="396" t="s">
        <v>795</v>
      </c>
      <c r="Q824" s="396" t="s">
        <v>2627</v>
      </c>
      <c r="R824" s="494"/>
      <c r="S824" s="487"/>
      <c r="T824" s="412"/>
      <c r="U824" s="494"/>
      <c r="V824" s="396"/>
      <c r="W824" s="486"/>
      <c r="X824" s="17"/>
      <c r="Z824" s="17"/>
    </row>
    <row r="825" spans="1:26" ht="14.25" customHeight="1">
      <c r="A825" s="396" t="s">
        <v>2647</v>
      </c>
      <c r="B825" s="504" t="s">
        <v>319</v>
      </c>
      <c r="C825" s="451" t="s">
        <v>2722</v>
      </c>
      <c r="D825" s="431"/>
      <c r="E825" s="482"/>
      <c r="F825" s="445"/>
      <c r="G825" s="68"/>
      <c r="H825" s="68"/>
      <c r="I825" s="68"/>
      <c r="J825" s="68" t="s">
        <v>2652</v>
      </c>
      <c r="K825" s="482" t="s">
        <v>2622</v>
      </c>
      <c r="L825" s="482" t="s">
        <v>2622</v>
      </c>
      <c r="M825" s="68"/>
      <c r="N825" s="482"/>
      <c r="O825" s="482"/>
      <c r="P825" s="68"/>
      <c r="Q825" s="68"/>
      <c r="R825" s="486"/>
      <c r="S825" s="487"/>
      <c r="T825" s="447">
        <v>43591</v>
      </c>
      <c r="U825" s="448"/>
      <c r="V825" s="68"/>
      <c r="W825" s="396"/>
      <c r="X825" s="17"/>
      <c r="Z825" s="17"/>
    </row>
    <row r="826" spans="1:26" ht="14.25" customHeight="1">
      <c r="A826" s="396" t="s">
        <v>2647</v>
      </c>
      <c r="B826" s="504" t="s">
        <v>319</v>
      </c>
      <c r="C826" s="515" t="s">
        <v>2673</v>
      </c>
      <c r="D826" s="485" t="s">
        <v>1656</v>
      </c>
      <c r="E826" s="482">
        <v>198398</v>
      </c>
      <c r="F826" s="482" t="s">
        <v>2674</v>
      </c>
      <c r="G826" s="396"/>
      <c r="H826" s="396"/>
      <c r="I826" s="396"/>
      <c r="J826" s="396" t="s">
        <v>875</v>
      </c>
      <c r="K826" s="482" t="s">
        <v>875</v>
      </c>
      <c r="L826" s="482" t="s">
        <v>875</v>
      </c>
      <c r="M826" s="396" t="s">
        <v>791</v>
      </c>
      <c r="N826" s="396">
        <v>20.741249079999999</v>
      </c>
      <c r="O826" s="396">
        <v>92.610519409999995</v>
      </c>
      <c r="P826" s="68" t="s">
        <v>795</v>
      </c>
      <c r="Q826" s="396" t="s">
        <v>776</v>
      </c>
      <c r="R826" s="494"/>
      <c r="S826" s="487"/>
      <c r="T826" s="506">
        <v>43580</v>
      </c>
      <c r="U826" s="525" t="s">
        <v>2672</v>
      </c>
      <c r="V826" s="396" t="s">
        <v>577</v>
      </c>
      <c r="W826" s="486"/>
      <c r="X826" s="17"/>
      <c r="Z826" s="17"/>
    </row>
    <row r="827" spans="1:26" ht="14.25" customHeight="1">
      <c r="A827" s="396" t="s">
        <v>2647</v>
      </c>
      <c r="B827" s="504" t="s">
        <v>319</v>
      </c>
      <c r="C827" s="503" t="s">
        <v>576</v>
      </c>
      <c r="D827" s="431" t="s">
        <v>1656</v>
      </c>
      <c r="E827" s="482">
        <v>198399</v>
      </c>
      <c r="F827" s="482"/>
      <c r="G827" s="68"/>
      <c r="H827" s="396"/>
      <c r="I827" s="396"/>
      <c r="J827" s="396" t="s">
        <v>794</v>
      </c>
      <c r="K827" s="482" t="s">
        <v>794</v>
      </c>
      <c r="L827" s="482" t="s">
        <v>794</v>
      </c>
      <c r="M827" s="396" t="s">
        <v>294</v>
      </c>
      <c r="N827" s="482">
        <v>20.739839549999999</v>
      </c>
      <c r="O827" s="482">
        <v>92.613456729999996</v>
      </c>
      <c r="P827" s="68" t="s">
        <v>795</v>
      </c>
      <c r="Q827" s="396" t="s">
        <v>776</v>
      </c>
      <c r="R827" s="486"/>
      <c r="S827" s="487"/>
      <c r="T827" s="506"/>
      <c r="U827" s="401"/>
      <c r="V827" s="68" t="s">
        <v>576</v>
      </c>
      <c r="W827" s="396"/>
      <c r="X827" s="17"/>
      <c r="Z827" s="17"/>
    </row>
    <row r="828" spans="1:26" ht="14.25" customHeight="1">
      <c r="A828" s="396" t="s">
        <v>2647</v>
      </c>
      <c r="B828" s="504" t="s">
        <v>319</v>
      </c>
      <c r="C828" s="503" t="s">
        <v>525</v>
      </c>
      <c r="D828" s="431" t="s">
        <v>1656</v>
      </c>
      <c r="E828" s="68">
        <v>198448</v>
      </c>
      <c r="F828" s="482"/>
      <c r="G828" s="68"/>
      <c r="H828" s="68"/>
      <c r="I828" s="68"/>
      <c r="J828" s="68" t="s">
        <v>794</v>
      </c>
      <c r="K828" s="482" t="s">
        <v>794</v>
      </c>
      <c r="L828" s="482" t="s">
        <v>794</v>
      </c>
      <c r="M828" s="68" t="s">
        <v>294</v>
      </c>
      <c r="N828" s="68">
        <v>20.669130330000002</v>
      </c>
      <c r="O828" s="68">
        <v>92.595497129999998</v>
      </c>
      <c r="P828" s="68" t="s">
        <v>795</v>
      </c>
      <c r="Q828" s="68" t="s">
        <v>776</v>
      </c>
      <c r="R828" s="486"/>
      <c r="S828" s="487"/>
      <c r="T828" s="101"/>
      <c r="U828" s="97"/>
      <c r="V828" s="68" t="s">
        <v>525</v>
      </c>
      <c r="W828" s="396"/>
      <c r="X828" s="17"/>
      <c r="Z828" s="17"/>
    </row>
    <row r="829" spans="1:26" ht="14.25" customHeight="1">
      <c r="A829" s="396" t="s">
        <v>2647</v>
      </c>
      <c r="B829" s="504" t="s">
        <v>319</v>
      </c>
      <c r="C829" s="503" t="s">
        <v>530</v>
      </c>
      <c r="D829" s="431" t="s">
        <v>1656</v>
      </c>
      <c r="E829" s="482">
        <v>198447</v>
      </c>
      <c r="F829" s="482"/>
      <c r="G829" s="68"/>
      <c r="H829" s="68"/>
      <c r="I829" s="68"/>
      <c r="J829" s="68" t="s">
        <v>794</v>
      </c>
      <c r="K829" s="482" t="s">
        <v>794</v>
      </c>
      <c r="L829" s="482" t="s">
        <v>794</v>
      </c>
      <c r="M829" s="68" t="s">
        <v>791</v>
      </c>
      <c r="N829" s="68">
        <v>20.674699780000001</v>
      </c>
      <c r="O829" s="68">
        <v>92.590393070000005</v>
      </c>
      <c r="P829" s="482" t="s">
        <v>795</v>
      </c>
      <c r="Q829" s="68" t="s">
        <v>776</v>
      </c>
      <c r="R829" s="486"/>
      <c r="S829" s="487"/>
      <c r="T829" s="101"/>
      <c r="U829" s="97"/>
      <c r="V829" s="68" t="s">
        <v>530</v>
      </c>
      <c r="W829" s="396"/>
      <c r="X829" s="17"/>
      <c r="Z829" s="17"/>
    </row>
    <row r="830" spans="1:26" ht="14.25" customHeight="1">
      <c r="A830" s="396" t="s">
        <v>2647</v>
      </c>
      <c r="B830" s="504" t="s">
        <v>319</v>
      </c>
      <c r="C830" s="503" t="s">
        <v>588</v>
      </c>
      <c r="D830" s="431" t="s">
        <v>1656</v>
      </c>
      <c r="E830" s="482">
        <v>198410</v>
      </c>
      <c r="F830" s="68"/>
      <c r="G830" s="68"/>
      <c r="H830" s="396"/>
      <c r="I830" s="396"/>
      <c r="J830" s="396" t="s">
        <v>794</v>
      </c>
      <c r="K830" s="482" t="s">
        <v>794</v>
      </c>
      <c r="L830" s="482" t="s">
        <v>794</v>
      </c>
      <c r="M830" s="396" t="s">
        <v>294</v>
      </c>
      <c r="N830" s="482">
        <v>20.772550580000001</v>
      </c>
      <c r="O830" s="482">
        <v>92.638290409999996</v>
      </c>
      <c r="P830" s="482" t="s">
        <v>795</v>
      </c>
      <c r="Q830" s="396" t="s">
        <v>776</v>
      </c>
      <c r="R830" s="486"/>
      <c r="S830" s="487"/>
      <c r="T830" s="412"/>
      <c r="U830" s="401"/>
      <c r="V830" s="68" t="s">
        <v>588</v>
      </c>
      <c r="W830" s="396"/>
      <c r="X830" s="17"/>
      <c r="Z830" s="17"/>
    </row>
    <row r="831" spans="1:26" ht="14.25" customHeight="1">
      <c r="A831" s="396" t="s">
        <v>2647</v>
      </c>
      <c r="B831" s="504" t="s">
        <v>319</v>
      </c>
      <c r="C831" s="503" t="s">
        <v>350</v>
      </c>
      <c r="D831" s="431" t="s">
        <v>1656</v>
      </c>
      <c r="E831" s="482"/>
      <c r="F831" s="68"/>
      <c r="G831" s="68"/>
      <c r="H831" s="68"/>
      <c r="I831" s="68"/>
      <c r="J831" s="68" t="s">
        <v>794</v>
      </c>
      <c r="K831" s="482" t="s">
        <v>794</v>
      </c>
      <c r="L831" s="482" t="s">
        <v>794</v>
      </c>
      <c r="M831" s="68" t="s">
        <v>1145</v>
      </c>
      <c r="N831" s="68"/>
      <c r="O831" s="68"/>
      <c r="P831" s="482" t="s">
        <v>795</v>
      </c>
      <c r="Q831" s="68" t="s">
        <v>776</v>
      </c>
      <c r="R831" s="486"/>
      <c r="S831" s="487"/>
      <c r="T831" s="101"/>
      <c r="U831" s="488"/>
      <c r="V831" s="68" t="s">
        <v>350</v>
      </c>
      <c r="W831" s="482"/>
      <c r="X831" s="17"/>
      <c r="Z831" s="17"/>
    </row>
    <row r="832" spans="1:26" ht="14.25" customHeight="1">
      <c r="A832" s="396" t="s">
        <v>2647</v>
      </c>
      <c r="B832" s="504" t="s">
        <v>319</v>
      </c>
      <c r="C832" s="503" t="s">
        <v>2546</v>
      </c>
      <c r="D832" s="431"/>
      <c r="E832" s="482"/>
      <c r="F832" s="482"/>
      <c r="G832" s="68"/>
      <c r="H832" s="68"/>
      <c r="I832" s="68"/>
      <c r="J832" s="68" t="s">
        <v>2652</v>
      </c>
      <c r="K832" s="482" t="s">
        <v>2622</v>
      </c>
      <c r="L832" s="482" t="s">
        <v>2622</v>
      </c>
      <c r="M832" s="68"/>
      <c r="N832" s="482"/>
      <c r="O832" s="482"/>
      <c r="P832" s="68"/>
      <c r="Q832" s="68"/>
      <c r="R832" s="486"/>
      <c r="S832" s="487"/>
      <c r="T832" s="101"/>
      <c r="U832" s="97"/>
      <c r="V832" s="68"/>
      <c r="W832" s="396"/>
      <c r="X832" s="17"/>
      <c r="Z832" s="17"/>
    </row>
    <row r="833" spans="1:26" ht="14.25" customHeight="1">
      <c r="A833" s="396" t="s">
        <v>2647</v>
      </c>
      <c r="B833" s="504" t="s">
        <v>319</v>
      </c>
      <c r="C833" s="503" t="s">
        <v>2516</v>
      </c>
      <c r="D833" s="431"/>
      <c r="E833" s="482">
        <v>198370</v>
      </c>
      <c r="F833" s="482" t="s">
        <v>2628</v>
      </c>
      <c r="G833" s="68"/>
      <c r="H833" s="68"/>
      <c r="I833" s="68"/>
      <c r="J833" s="68" t="s">
        <v>794</v>
      </c>
      <c r="K833" s="484" t="s">
        <v>794</v>
      </c>
      <c r="L833" s="484" t="s">
        <v>794</v>
      </c>
      <c r="M833" s="68" t="s">
        <v>791</v>
      </c>
      <c r="N833" s="68"/>
      <c r="O833" s="482"/>
      <c r="P833" s="68" t="s">
        <v>795</v>
      </c>
      <c r="Q833" s="68" t="s">
        <v>2627</v>
      </c>
      <c r="R833" s="486"/>
      <c r="S833" s="400"/>
      <c r="T833" s="101"/>
      <c r="U833" s="97"/>
      <c r="V833" s="68"/>
      <c r="W833" s="396"/>
      <c r="X833" s="17"/>
      <c r="Z833" s="17"/>
    </row>
    <row r="834" spans="1:26" ht="14.25" customHeight="1">
      <c r="A834" s="396" t="s">
        <v>2647</v>
      </c>
      <c r="B834" s="504" t="s">
        <v>319</v>
      </c>
      <c r="C834" s="503" t="s">
        <v>570</v>
      </c>
      <c r="D834" s="431" t="s">
        <v>1656</v>
      </c>
      <c r="E834" s="482">
        <v>198430</v>
      </c>
      <c r="F834" s="482"/>
      <c r="G834" s="68"/>
      <c r="H834" s="68"/>
      <c r="I834" s="68"/>
      <c r="J834" s="68" t="s">
        <v>794</v>
      </c>
      <c r="K834" s="484" t="s">
        <v>794</v>
      </c>
      <c r="L834" s="484" t="s">
        <v>794</v>
      </c>
      <c r="M834" s="68" t="s">
        <v>791</v>
      </c>
      <c r="N834" s="68">
        <v>20.724700930000001</v>
      </c>
      <c r="O834" s="68">
        <v>92.628196720000005</v>
      </c>
      <c r="P834" s="482" t="s">
        <v>795</v>
      </c>
      <c r="Q834" s="68" t="s">
        <v>776</v>
      </c>
      <c r="R834" s="486"/>
      <c r="S834" s="487"/>
      <c r="T834" s="506"/>
      <c r="U834" s="97"/>
      <c r="V834" s="68" t="s">
        <v>570</v>
      </c>
      <c r="W834" s="396"/>
      <c r="X834" s="17"/>
      <c r="Z834" s="17"/>
    </row>
    <row r="835" spans="1:26" ht="14.25" customHeight="1">
      <c r="A835" s="482" t="s">
        <v>2647</v>
      </c>
      <c r="B835" s="504" t="s">
        <v>319</v>
      </c>
      <c r="C835" s="503" t="s">
        <v>639</v>
      </c>
      <c r="D835" s="431" t="s">
        <v>1656</v>
      </c>
      <c r="E835" s="482">
        <v>198291</v>
      </c>
      <c r="F835" s="482"/>
      <c r="G835" s="482"/>
      <c r="H835" s="482"/>
      <c r="I835" s="482"/>
      <c r="J835" s="482" t="s">
        <v>794</v>
      </c>
      <c r="K835" s="484" t="s">
        <v>794</v>
      </c>
      <c r="L835" s="484" t="s">
        <v>794</v>
      </c>
      <c r="M835" s="68" t="s">
        <v>791</v>
      </c>
      <c r="N835" s="68">
        <v>20.871829989999998</v>
      </c>
      <c r="O835" s="68">
        <v>92.566909789999997</v>
      </c>
      <c r="P835" s="482" t="s">
        <v>795</v>
      </c>
      <c r="Q835" s="482" t="s">
        <v>776</v>
      </c>
      <c r="R835" s="486"/>
      <c r="S835" s="487"/>
      <c r="T835" s="506"/>
      <c r="U835" s="488"/>
      <c r="V835" s="68" t="s">
        <v>639</v>
      </c>
      <c r="W835" s="482"/>
      <c r="X835" s="17"/>
      <c r="Z835" s="17"/>
    </row>
    <row r="836" spans="1:26" ht="14.25" customHeight="1">
      <c r="A836" s="487" t="s">
        <v>2647</v>
      </c>
      <c r="B836" s="514" t="s">
        <v>319</v>
      </c>
      <c r="C836" s="515" t="s">
        <v>938</v>
      </c>
      <c r="D836" s="485"/>
      <c r="E836" s="396"/>
      <c r="F836" s="396"/>
      <c r="G836" s="396"/>
      <c r="H836" s="396"/>
      <c r="I836" s="396"/>
      <c r="J836" s="396" t="s">
        <v>794</v>
      </c>
      <c r="K836" s="484" t="s">
        <v>794</v>
      </c>
      <c r="L836" s="484" t="s">
        <v>794</v>
      </c>
      <c r="M836" s="396"/>
      <c r="N836" s="396"/>
      <c r="O836" s="396"/>
      <c r="P836" s="482" t="s">
        <v>795</v>
      </c>
      <c r="Q836" s="482"/>
      <c r="R836" s="494"/>
      <c r="S836" s="487"/>
      <c r="T836" s="506"/>
      <c r="U836" s="494"/>
      <c r="V836" s="396"/>
      <c r="W836" s="486"/>
      <c r="X836" s="17"/>
      <c r="Z836" s="17"/>
    </row>
    <row r="837" spans="1:26" ht="14.25" customHeight="1">
      <c r="A837" s="487" t="s">
        <v>2647</v>
      </c>
      <c r="B837" s="514" t="s">
        <v>319</v>
      </c>
      <c r="C837" s="515" t="s">
        <v>2807</v>
      </c>
      <c r="D837" s="485"/>
      <c r="E837" s="482"/>
      <c r="F837" s="482"/>
      <c r="G837" s="68"/>
      <c r="H837" s="68"/>
      <c r="I837" s="68"/>
      <c r="J837" s="68" t="s">
        <v>794</v>
      </c>
      <c r="K837" s="484" t="s">
        <v>794</v>
      </c>
      <c r="L837" s="484" t="s">
        <v>794</v>
      </c>
      <c r="M837" s="68"/>
      <c r="N837" s="68"/>
      <c r="O837" s="482"/>
      <c r="P837" s="68" t="s">
        <v>795</v>
      </c>
      <c r="Q837" s="68"/>
      <c r="R837" s="494"/>
      <c r="S837" s="487"/>
      <c r="T837" s="506"/>
      <c r="U837" s="494"/>
      <c r="V837" s="68"/>
      <c r="W837" s="486"/>
      <c r="X837" s="17"/>
      <c r="Z837" s="17"/>
    </row>
    <row r="838" spans="1:26" ht="14.25" customHeight="1">
      <c r="A838" s="396" t="s">
        <v>2647</v>
      </c>
      <c r="B838" s="504" t="s">
        <v>319</v>
      </c>
      <c r="C838" s="503" t="s">
        <v>669</v>
      </c>
      <c r="D838" s="431" t="s">
        <v>1656</v>
      </c>
      <c r="E838" s="482">
        <v>198163</v>
      </c>
      <c r="F838" s="396"/>
      <c r="G838" s="68"/>
      <c r="H838" s="68"/>
      <c r="I838" s="68"/>
      <c r="J838" s="68" t="s">
        <v>800</v>
      </c>
      <c r="K838" s="484" t="s">
        <v>794</v>
      </c>
      <c r="L838" s="484" t="s">
        <v>800</v>
      </c>
      <c r="M838" s="68" t="s">
        <v>949</v>
      </c>
      <c r="N838" s="68">
        <v>20.99898911</v>
      </c>
      <c r="O838" s="68">
        <v>92.46325684</v>
      </c>
      <c r="P838" s="482" t="s">
        <v>919</v>
      </c>
      <c r="Q838" s="482" t="s">
        <v>798</v>
      </c>
      <c r="R838" s="486"/>
      <c r="S838" s="487"/>
      <c r="T838" s="506">
        <v>42926</v>
      </c>
      <c r="U838" s="97" t="s">
        <v>929</v>
      </c>
      <c r="V838" s="68"/>
      <c r="W838" s="396"/>
      <c r="X838" s="17"/>
      <c r="Z838" s="17"/>
    </row>
    <row r="839" spans="1:26" ht="14.25" customHeight="1">
      <c r="A839" s="396" t="s">
        <v>2647</v>
      </c>
      <c r="B839" s="504" t="s">
        <v>319</v>
      </c>
      <c r="C839" s="515" t="s">
        <v>2061</v>
      </c>
      <c r="D839" s="485"/>
      <c r="E839" s="482">
        <v>198348</v>
      </c>
      <c r="F839" s="482"/>
      <c r="G839" s="396"/>
      <c r="H839" s="396"/>
      <c r="I839" s="396"/>
      <c r="J839" s="396" t="s">
        <v>794</v>
      </c>
      <c r="K839" s="396" t="s">
        <v>794</v>
      </c>
      <c r="L839" s="396" t="s">
        <v>794</v>
      </c>
      <c r="M839" s="396"/>
      <c r="N839" s="396">
        <v>20.847490310668899</v>
      </c>
      <c r="O839" s="396">
        <v>92.556472778320298</v>
      </c>
      <c r="P839" s="68" t="s">
        <v>795</v>
      </c>
      <c r="Q839" s="396" t="s">
        <v>2961</v>
      </c>
      <c r="R839" s="494"/>
      <c r="S839" s="487"/>
      <c r="T839" s="412">
        <v>43769</v>
      </c>
      <c r="U839" s="494"/>
      <c r="V839" s="396"/>
      <c r="W839" s="486"/>
      <c r="X839" s="17"/>
      <c r="Z839" s="17"/>
    </row>
    <row r="840" spans="1:26" ht="14.25" customHeight="1">
      <c r="A840" s="443" t="s">
        <v>2647</v>
      </c>
      <c r="B840" s="444" t="s">
        <v>319</v>
      </c>
      <c r="C840" s="503" t="s">
        <v>1903</v>
      </c>
      <c r="D840" s="485"/>
      <c r="E840" s="445">
        <v>198348</v>
      </c>
      <c r="F840" s="445" t="s">
        <v>2061</v>
      </c>
      <c r="G840" s="445"/>
      <c r="H840" s="445"/>
      <c r="I840" s="445"/>
      <c r="J840" s="396" t="s">
        <v>875</v>
      </c>
      <c r="K840" s="484" t="s">
        <v>875</v>
      </c>
      <c r="L840" s="484" t="s">
        <v>875</v>
      </c>
      <c r="M840" s="396" t="s">
        <v>294</v>
      </c>
      <c r="N840" s="445">
        <v>20.847490310668899</v>
      </c>
      <c r="O840" s="445">
        <v>92.556472778320298</v>
      </c>
      <c r="P840" s="482" t="s">
        <v>795</v>
      </c>
      <c r="Q840" s="445" t="s">
        <v>2627</v>
      </c>
      <c r="R840" s="446"/>
      <c r="S840" s="443"/>
      <c r="T840" s="447">
        <v>43580</v>
      </c>
      <c r="U840" s="448" t="s">
        <v>2672</v>
      </c>
      <c r="V840" s="449"/>
      <c r="W840" s="486"/>
      <c r="X840" s="17"/>
      <c r="Z840" s="17"/>
    </row>
    <row r="841" spans="1:26" ht="14.25" customHeight="1">
      <c r="A841" s="443" t="s">
        <v>2647</v>
      </c>
      <c r="B841" s="444" t="s">
        <v>319</v>
      </c>
      <c r="C841" s="451" t="s">
        <v>2676</v>
      </c>
      <c r="D841" s="485"/>
      <c r="E841" s="445">
        <v>198326</v>
      </c>
      <c r="F841" s="445" t="s">
        <v>2677</v>
      </c>
      <c r="G841" s="445"/>
      <c r="H841" s="445"/>
      <c r="I841" s="445"/>
      <c r="J841" s="68" t="s">
        <v>794</v>
      </c>
      <c r="K841" s="484" t="s">
        <v>794</v>
      </c>
      <c r="L841" s="484" t="s">
        <v>794</v>
      </c>
      <c r="M841" s="445"/>
      <c r="N841" s="445">
        <v>20.8608493804932</v>
      </c>
      <c r="O841" s="445">
        <v>92.539390563964801</v>
      </c>
      <c r="P841" s="68" t="s">
        <v>795</v>
      </c>
      <c r="Q841" s="445" t="s">
        <v>2627</v>
      </c>
      <c r="R841" s="446"/>
      <c r="S841" s="443"/>
      <c r="T841" s="447">
        <v>43580</v>
      </c>
      <c r="U841" s="448" t="s">
        <v>2672</v>
      </c>
      <c r="V841" s="449"/>
      <c r="W841" s="486"/>
      <c r="X841" s="17"/>
      <c r="Z841" s="17"/>
    </row>
    <row r="842" spans="1:26" ht="14.25" customHeight="1">
      <c r="A842" s="490" t="s">
        <v>2647</v>
      </c>
      <c r="B842" s="514" t="s">
        <v>319</v>
      </c>
      <c r="C842" s="515" t="s">
        <v>2723</v>
      </c>
      <c r="D842" s="485"/>
      <c r="E842" s="482">
        <v>198326</v>
      </c>
      <c r="F842" s="68"/>
      <c r="G842" s="68"/>
      <c r="H842" s="68"/>
      <c r="I842" s="68"/>
      <c r="J842" s="68" t="s">
        <v>2652</v>
      </c>
      <c r="K842" s="484" t="s">
        <v>2622</v>
      </c>
      <c r="L842" s="484" t="s">
        <v>2622</v>
      </c>
      <c r="M842" s="68"/>
      <c r="N842" s="68">
        <v>20.8608493804932</v>
      </c>
      <c r="O842" s="68">
        <v>92.539390563964801</v>
      </c>
      <c r="P842" s="68"/>
      <c r="Q842" s="482"/>
      <c r="R842" s="494"/>
      <c r="S842" s="487"/>
      <c r="T842" s="506">
        <v>43591</v>
      </c>
      <c r="U842" s="494"/>
      <c r="V842" s="68"/>
      <c r="W842" s="486"/>
      <c r="X842" s="17"/>
      <c r="Z842" s="17"/>
    </row>
    <row r="843" spans="1:26" ht="14.25" customHeight="1">
      <c r="A843" s="487" t="s">
        <v>2647</v>
      </c>
      <c r="B843" s="514" t="s">
        <v>319</v>
      </c>
      <c r="C843" s="515" t="s">
        <v>2813</v>
      </c>
      <c r="D843" s="485"/>
      <c r="E843" s="482">
        <v>198424</v>
      </c>
      <c r="F843" s="482"/>
      <c r="G843" s="482"/>
      <c r="H843" s="482"/>
      <c r="I843" s="482"/>
      <c r="J843" s="68" t="s">
        <v>794</v>
      </c>
      <c r="K843" s="68" t="s">
        <v>794</v>
      </c>
      <c r="L843" s="68" t="s">
        <v>794</v>
      </c>
      <c r="M843" s="482"/>
      <c r="N843" s="482">
        <v>20.735639572143601</v>
      </c>
      <c r="O843" s="484">
        <v>92.638076782226605</v>
      </c>
      <c r="P843" s="68" t="s">
        <v>795</v>
      </c>
      <c r="Q843" s="482"/>
      <c r="R843" s="494"/>
      <c r="S843" s="487"/>
      <c r="T843" s="506"/>
      <c r="U843" s="494"/>
      <c r="V843" s="482"/>
      <c r="W843" s="486"/>
      <c r="X843" s="17"/>
      <c r="Z843" s="17"/>
    </row>
    <row r="844" spans="1:26" ht="14.25" customHeight="1">
      <c r="A844" s="482" t="s">
        <v>2647</v>
      </c>
      <c r="B844" s="504" t="s">
        <v>319</v>
      </c>
      <c r="C844" s="503" t="s">
        <v>667</v>
      </c>
      <c r="D844" s="431" t="s">
        <v>1656</v>
      </c>
      <c r="E844" s="482">
        <v>198184</v>
      </c>
      <c r="F844" s="484"/>
      <c r="G844" s="482"/>
      <c r="H844" s="482"/>
      <c r="I844" s="482"/>
      <c r="J844" s="482" t="s">
        <v>794</v>
      </c>
      <c r="K844" s="482" t="s">
        <v>794</v>
      </c>
      <c r="L844" s="482" t="s">
        <v>794</v>
      </c>
      <c r="M844" s="482" t="s">
        <v>791</v>
      </c>
      <c r="N844" s="482">
        <v>20.99110031</v>
      </c>
      <c r="O844" s="482">
        <v>92.493858340000003</v>
      </c>
      <c r="P844" s="482" t="s">
        <v>795</v>
      </c>
      <c r="Q844" s="482" t="s">
        <v>776</v>
      </c>
      <c r="R844" s="486"/>
      <c r="S844" s="487"/>
      <c r="T844" s="506"/>
      <c r="U844" s="488"/>
      <c r="V844" s="482" t="s">
        <v>667</v>
      </c>
      <c r="W844" s="482"/>
      <c r="X844" s="17"/>
      <c r="Z844" s="17"/>
    </row>
    <row r="845" spans="1:26" ht="14.25" customHeight="1">
      <c r="A845" s="482" t="s">
        <v>2647</v>
      </c>
      <c r="B845" s="504" t="s">
        <v>319</v>
      </c>
      <c r="C845" s="503" t="s">
        <v>575</v>
      </c>
      <c r="D845" s="431" t="s">
        <v>1656</v>
      </c>
      <c r="E845" s="484">
        <v>198425</v>
      </c>
      <c r="F845" s="484"/>
      <c r="G845" s="482"/>
      <c r="H845" s="482"/>
      <c r="I845" s="482"/>
      <c r="J845" s="482" t="s">
        <v>794</v>
      </c>
      <c r="K845" s="482" t="s">
        <v>794</v>
      </c>
      <c r="L845" s="482" t="s">
        <v>794</v>
      </c>
      <c r="M845" s="482" t="s">
        <v>791</v>
      </c>
      <c r="N845" s="482">
        <v>20.737430570000001</v>
      </c>
      <c r="O845" s="482">
        <v>92.634773249999995</v>
      </c>
      <c r="P845" s="482" t="s">
        <v>795</v>
      </c>
      <c r="Q845" s="482" t="s">
        <v>776</v>
      </c>
      <c r="R845" s="486"/>
      <c r="S845" s="487"/>
      <c r="T845" s="506"/>
      <c r="U845" s="488"/>
      <c r="V845" s="482" t="s">
        <v>575</v>
      </c>
      <c r="W845" s="482"/>
      <c r="X845" s="17"/>
      <c r="Z845" s="17"/>
    </row>
    <row r="846" spans="1:26" ht="14.25" customHeight="1">
      <c r="A846" s="482" t="s">
        <v>2647</v>
      </c>
      <c r="B846" s="504" t="s">
        <v>319</v>
      </c>
      <c r="C846" s="503" t="s">
        <v>519</v>
      </c>
      <c r="D846" s="431" t="s">
        <v>1656</v>
      </c>
      <c r="E846" s="482">
        <v>198450</v>
      </c>
      <c r="F846" s="482"/>
      <c r="G846" s="482"/>
      <c r="H846" s="482"/>
      <c r="I846" s="482"/>
      <c r="J846" s="482" t="s">
        <v>794</v>
      </c>
      <c r="K846" s="482" t="s">
        <v>794</v>
      </c>
      <c r="L846" s="482" t="s">
        <v>794</v>
      </c>
      <c r="M846" s="482" t="s">
        <v>791</v>
      </c>
      <c r="N846" s="482">
        <v>20.654249190000002</v>
      </c>
      <c r="O846" s="482">
        <v>92.619102479999995</v>
      </c>
      <c r="P846" s="482" t="s">
        <v>795</v>
      </c>
      <c r="Q846" s="482" t="s">
        <v>776</v>
      </c>
      <c r="R846" s="486"/>
      <c r="S846" s="487"/>
      <c r="T846" s="506"/>
      <c r="U846" s="488"/>
      <c r="V846" s="482" t="s">
        <v>917</v>
      </c>
      <c r="W846" s="482"/>
      <c r="X846" s="17"/>
      <c r="Z846" s="17"/>
    </row>
    <row r="847" spans="1:26" ht="14.25" customHeight="1">
      <c r="A847" s="482" t="s">
        <v>2647</v>
      </c>
      <c r="B847" s="504" t="s">
        <v>305</v>
      </c>
      <c r="C847" s="503" t="s">
        <v>2032</v>
      </c>
      <c r="D847" s="431"/>
      <c r="E847" s="482">
        <v>197857</v>
      </c>
      <c r="F847" s="482"/>
      <c r="G847" s="68"/>
      <c r="H847" s="68"/>
      <c r="I847" s="68"/>
      <c r="J847" s="68" t="s">
        <v>794</v>
      </c>
      <c r="K847" s="482" t="s">
        <v>794</v>
      </c>
      <c r="L847" s="482" t="s">
        <v>794</v>
      </c>
      <c r="M847" s="68" t="s">
        <v>679</v>
      </c>
      <c r="N847" s="68">
        <v>21.08677673</v>
      </c>
      <c r="O847" s="68">
        <v>92.337112430000005</v>
      </c>
      <c r="P847" s="68" t="s">
        <v>795</v>
      </c>
      <c r="Q847" s="482"/>
      <c r="R847" s="486"/>
      <c r="S847" s="487"/>
      <c r="T847" s="101">
        <v>43300</v>
      </c>
      <c r="U847" s="488"/>
      <c r="V847" s="68"/>
      <c r="W847" s="482"/>
      <c r="X847" s="17"/>
      <c r="Z847" s="17"/>
    </row>
    <row r="848" spans="1:26" ht="14.25" customHeight="1">
      <c r="A848" s="396" t="s">
        <v>2647</v>
      </c>
      <c r="B848" s="514" t="s">
        <v>305</v>
      </c>
      <c r="C848" s="515" t="s">
        <v>2699</v>
      </c>
      <c r="D848" s="485"/>
      <c r="E848" s="482">
        <v>197857</v>
      </c>
      <c r="F848" s="482"/>
      <c r="G848" s="68"/>
      <c r="H848" s="68"/>
      <c r="I848" s="68"/>
      <c r="J848" s="68" t="s">
        <v>794</v>
      </c>
      <c r="K848" s="482" t="s">
        <v>794</v>
      </c>
      <c r="L848" s="482" t="s">
        <v>794</v>
      </c>
      <c r="M848" s="68" t="s">
        <v>2069</v>
      </c>
      <c r="N848" s="68">
        <v>21.08677673</v>
      </c>
      <c r="O848" s="484">
        <v>92.337112430000005</v>
      </c>
      <c r="P848" s="482" t="s">
        <v>795</v>
      </c>
      <c r="Q848" s="482"/>
      <c r="R848" s="494"/>
      <c r="S848" s="96"/>
      <c r="T848" s="506">
        <v>43300</v>
      </c>
      <c r="U848" s="97"/>
      <c r="V848" s="68"/>
      <c r="W848" s="396"/>
      <c r="X848" s="17"/>
      <c r="Z848" s="17"/>
    </row>
    <row r="849" spans="1:26" ht="14.25" customHeight="1">
      <c r="A849" s="396" t="s">
        <v>2647</v>
      </c>
      <c r="B849" s="504" t="s">
        <v>305</v>
      </c>
      <c r="C849" s="503" t="s">
        <v>2698</v>
      </c>
      <c r="D849" s="431"/>
      <c r="E849" s="482">
        <v>197857</v>
      </c>
      <c r="F849" s="484"/>
      <c r="G849" s="68"/>
      <c r="H849" s="68"/>
      <c r="I849" s="68"/>
      <c r="J849" s="68" t="s">
        <v>794</v>
      </c>
      <c r="K849" s="482" t="s">
        <v>794</v>
      </c>
      <c r="L849" s="482" t="s">
        <v>794</v>
      </c>
      <c r="M849" s="68" t="s">
        <v>294</v>
      </c>
      <c r="N849" s="68">
        <v>21.08677673</v>
      </c>
      <c r="O849" s="68">
        <v>92.337112430000005</v>
      </c>
      <c r="P849" s="482" t="s">
        <v>795</v>
      </c>
      <c r="Q849" s="68"/>
      <c r="R849" s="486"/>
      <c r="S849" s="487"/>
      <c r="T849" s="101">
        <v>43300</v>
      </c>
      <c r="U849" s="97"/>
      <c r="V849" s="482"/>
      <c r="W849" s="396"/>
      <c r="X849" s="17"/>
      <c r="Z849" s="17"/>
    </row>
    <row r="850" spans="1:26" ht="14.25" customHeight="1">
      <c r="A850" s="396" t="s">
        <v>2647</v>
      </c>
      <c r="B850" s="504" t="s">
        <v>305</v>
      </c>
      <c r="C850" s="503" t="s">
        <v>2062</v>
      </c>
      <c r="D850" s="431"/>
      <c r="E850" s="484">
        <v>197920</v>
      </c>
      <c r="F850" s="484"/>
      <c r="G850" s="68"/>
      <c r="H850" s="68"/>
      <c r="I850" s="68"/>
      <c r="J850" s="68" t="s">
        <v>794</v>
      </c>
      <c r="K850" s="482" t="s">
        <v>794</v>
      </c>
      <c r="L850" s="482" t="s">
        <v>794</v>
      </c>
      <c r="M850" s="68" t="s">
        <v>791</v>
      </c>
      <c r="N850" s="482">
        <v>20.92394066</v>
      </c>
      <c r="O850" s="482">
        <v>92.322669980000001</v>
      </c>
      <c r="P850" s="482" t="s">
        <v>795</v>
      </c>
      <c r="Q850" s="68"/>
      <c r="R850" s="486"/>
      <c r="S850" s="487"/>
      <c r="T850" s="101">
        <v>43300</v>
      </c>
      <c r="U850" s="97"/>
      <c r="V850" s="482"/>
      <c r="W850" s="396"/>
      <c r="X850" s="17"/>
      <c r="Z850" s="17"/>
    </row>
    <row r="851" spans="1:26" ht="14.25" customHeight="1">
      <c r="A851" s="482" t="s">
        <v>2647</v>
      </c>
      <c r="B851" s="504" t="s">
        <v>305</v>
      </c>
      <c r="C851" s="503" t="s">
        <v>2033</v>
      </c>
      <c r="D851" s="431"/>
      <c r="E851" s="482">
        <v>197968</v>
      </c>
      <c r="F851" s="482"/>
      <c r="G851" s="482"/>
      <c r="H851" s="482"/>
      <c r="I851" s="482"/>
      <c r="J851" s="482" t="s">
        <v>794</v>
      </c>
      <c r="K851" s="482" t="s">
        <v>794</v>
      </c>
      <c r="L851" s="482" t="s">
        <v>794</v>
      </c>
      <c r="M851" s="482" t="s">
        <v>791</v>
      </c>
      <c r="N851" s="482">
        <v>20.878229139999998</v>
      </c>
      <c r="O851" s="482">
        <v>92.347267149999993</v>
      </c>
      <c r="P851" s="482" t="s">
        <v>795</v>
      </c>
      <c r="Q851" s="482"/>
      <c r="R851" s="486"/>
      <c r="S851" s="487"/>
      <c r="T851" s="506">
        <v>43300</v>
      </c>
      <c r="U851" s="488"/>
      <c r="V851" s="482"/>
      <c r="W851" s="482"/>
      <c r="X851" s="17"/>
      <c r="Z851" s="17"/>
    </row>
    <row r="852" spans="1:26" ht="14.25" customHeight="1">
      <c r="A852" s="482" t="s">
        <v>2647</v>
      </c>
      <c r="B852" s="514" t="s">
        <v>305</v>
      </c>
      <c r="C852" s="515" t="s">
        <v>2684</v>
      </c>
      <c r="D852" s="485"/>
      <c r="E852" s="482"/>
      <c r="F852" s="482"/>
      <c r="G852" s="68"/>
      <c r="H852" s="68"/>
      <c r="I852" s="68"/>
      <c r="J852" s="68" t="s">
        <v>794</v>
      </c>
      <c r="K852" s="482" t="s">
        <v>794</v>
      </c>
      <c r="L852" s="482" t="s">
        <v>794</v>
      </c>
      <c r="M852" s="68"/>
      <c r="N852" s="482"/>
      <c r="O852" s="482"/>
      <c r="P852" s="68" t="s">
        <v>795</v>
      </c>
      <c r="Q852" s="68" t="s">
        <v>2961</v>
      </c>
      <c r="R852" s="494"/>
      <c r="S852" s="487"/>
      <c r="T852" s="101">
        <v>43769</v>
      </c>
      <c r="U852" s="494"/>
      <c r="V852" s="68"/>
      <c r="W852" s="486"/>
      <c r="X852" s="17"/>
      <c r="Z852" s="17"/>
    </row>
    <row r="853" spans="1:26" ht="14.25" customHeight="1">
      <c r="A853" s="482" t="s">
        <v>2647</v>
      </c>
      <c r="B853" s="504" t="s">
        <v>305</v>
      </c>
      <c r="C853" s="503" t="s">
        <v>608</v>
      </c>
      <c r="D853" s="431" t="s">
        <v>1656</v>
      </c>
      <c r="E853" s="68">
        <v>197997</v>
      </c>
      <c r="F853" s="482"/>
      <c r="G853" s="68"/>
      <c r="H853" s="68"/>
      <c r="I853" s="68"/>
      <c r="J853" s="68" t="s">
        <v>794</v>
      </c>
      <c r="K853" s="482" t="s">
        <v>794</v>
      </c>
      <c r="L853" s="482" t="s">
        <v>794</v>
      </c>
      <c r="M853" s="68" t="s">
        <v>791</v>
      </c>
      <c r="N853" s="396">
        <v>20.803909300000001</v>
      </c>
      <c r="O853" s="396">
        <v>92.376831050000007</v>
      </c>
      <c r="P853" s="482" t="s">
        <v>795</v>
      </c>
      <c r="Q853" s="68" t="s">
        <v>776</v>
      </c>
      <c r="R853" s="486"/>
      <c r="S853" s="96"/>
      <c r="T853" s="101"/>
      <c r="U853" s="488"/>
      <c r="V853" s="68" t="s">
        <v>932</v>
      </c>
      <c r="W853" s="482"/>
      <c r="X853" s="17"/>
      <c r="Z853" s="17"/>
    </row>
    <row r="854" spans="1:26" ht="14.25" customHeight="1">
      <c r="A854" s="482" t="s">
        <v>2647</v>
      </c>
      <c r="B854" s="514" t="s">
        <v>305</v>
      </c>
      <c r="C854" s="515" t="s">
        <v>688</v>
      </c>
      <c r="D854" s="485" t="s">
        <v>1656</v>
      </c>
      <c r="E854" s="68">
        <v>197820</v>
      </c>
      <c r="F854" s="482"/>
      <c r="G854" s="68"/>
      <c r="H854" s="68"/>
      <c r="I854" s="68"/>
      <c r="J854" s="68" t="s">
        <v>794</v>
      </c>
      <c r="K854" s="482" t="s">
        <v>794</v>
      </c>
      <c r="L854" s="482" t="s">
        <v>794</v>
      </c>
      <c r="M854" s="68" t="s">
        <v>791</v>
      </c>
      <c r="N854" s="396">
        <v>21.26553917</v>
      </c>
      <c r="O854" s="396">
        <v>92.27140808</v>
      </c>
      <c r="P854" s="482" t="s">
        <v>795</v>
      </c>
      <c r="Q854" s="68" t="s">
        <v>776</v>
      </c>
      <c r="R854" s="494"/>
      <c r="S854" s="487"/>
      <c r="T854" s="101"/>
      <c r="U854" s="488"/>
      <c r="V854" s="482" t="s">
        <v>956</v>
      </c>
      <c r="W854" s="482"/>
      <c r="X854" s="17"/>
      <c r="Z854" s="17"/>
    </row>
    <row r="855" spans="1:26" ht="14.25" customHeight="1">
      <c r="A855" s="482" t="s">
        <v>2647</v>
      </c>
      <c r="B855" s="504" t="s">
        <v>305</v>
      </c>
      <c r="C855" s="503" t="s">
        <v>2969</v>
      </c>
      <c r="D855" s="431"/>
      <c r="E855" s="482"/>
      <c r="F855" s="482"/>
      <c r="G855" s="68"/>
      <c r="H855" s="68"/>
      <c r="I855" s="68"/>
      <c r="J855" s="68" t="s">
        <v>794</v>
      </c>
      <c r="K855" s="68" t="s">
        <v>794</v>
      </c>
      <c r="L855" s="68" t="s">
        <v>794</v>
      </c>
      <c r="M855" s="68"/>
      <c r="N855" s="396"/>
      <c r="O855" s="482"/>
      <c r="P855" s="482" t="s">
        <v>795</v>
      </c>
      <c r="Q855" s="68" t="s">
        <v>2961</v>
      </c>
      <c r="R855" s="486"/>
      <c r="S855" s="487"/>
      <c r="T855" s="101">
        <v>43768</v>
      </c>
      <c r="U855" s="488"/>
      <c r="V855" s="68"/>
      <c r="W855" s="482"/>
      <c r="X855" s="17"/>
      <c r="Z855" s="17"/>
    </row>
    <row r="856" spans="1:26" ht="14.25" customHeight="1">
      <c r="A856" s="443" t="s">
        <v>2647</v>
      </c>
      <c r="B856" s="444" t="s">
        <v>305</v>
      </c>
      <c r="C856" s="451" t="s">
        <v>957</v>
      </c>
      <c r="D856" s="485" t="s">
        <v>1656</v>
      </c>
      <c r="E856" s="445">
        <v>197817</v>
      </c>
      <c r="F856" s="454" t="s">
        <v>2682</v>
      </c>
      <c r="G856" s="445"/>
      <c r="H856" s="445"/>
      <c r="I856" s="445"/>
      <c r="J856" s="445" t="s">
        <v>2652</v>
      </c>
      <c r="K856" s="445" t="s">
        <v>2622</v>
      </c>
      <c r="L856" s="445" t="s">
        <v>2622</v>
      </c>
      <c r="M856" s="396" t="s">
        <v>791</v>
      </c>
      <c r="N856" s="396">
        <v>21.2688694</v>
      </c>
      <c r="O856" s="482">
        <v>92.274917599999995</v>
      </c>
      <c r="P856" s="396" t="s">
        <v>795</v>
      </c>
      <c r="Q856" s="445" t="s">
        <v>2627</v>
      </c>
      <c r="R856" s="455"/>
      <c r="S856" s="453"/>
      <c r="T856" s="447">
        <v>43580</v>
      </c>
      <c r="U856" s="448" t="s">
        <v>2672</v>
      </c>
      <c r="V856" s="482" t="s">
        <v>956</v>
      </c>
      <c r="W856" s="486"/>
      <c r="X856" s="17"/>
      <c r="Z856" s="17"/>
    </row>
    <row r="857" spans="1:26" ht="14.25" customHeight="1">
      <c r="A857" s="396" t="s">
        <v>2647</v>
      </c>
      <c r="B857" s="514" t="s">
        <v>305</v>
      </c>
      <c r="C857" s="515" t="s">
        <v>306</v>
      </c>
      <c r="D857" s="485" t="s">
        <v>1656</v>
      </c>
      <c r="E857" s="396"/>
      <c r="F857" s="482"/>
      <c r="G857" s="68"/>
      <c r="H857" s="68"/>
      <c r="I857" s="68"/>
      <c r="J857" s="68" t="s">
        <v>794</v>
      </c>
      <c r="K857" s="482" t="s">
        <v>794</v>
      </c>
      <c r="L857" s="482" t="s">
        <v>794</v>
      </c>
      <c r="M857" s="68" t="s">
        <v>791</v>
      </c>
      <c r="N857" s="396"/>
      <c r="O857" s="396"/>
      <c r="P857" s="68" t="s">
        <v>795</v>
      </c>
      <c r="Q857" s="68" t="s">
        <v>776</v>
      </c>
      <c r="R857" s="495"/>
      <c r="S857" s="491"/>
      <c r="T857" s="101"/>
      <c r="U857" s="97"/>
      <c r="V857" s="482" t="s">
        <v>306</v>
      </c>
      <c r="W857" s="396"/>
      <c r="X857" s="17"/>
      <c r="Z857" s="17"/>
    </row>
    <row r="858" spans="1:26" ht="14.25" customHeight="1">
      <c r="A858" s="396" t="s">
        <v>2647</v>
      </c>
      <c r="B858" s="504" t="s">
        <v>305</v>
      </c>
      <c r="C858" s="503" t="s">
        <v>2532</v>
      </c>
      <c r="D858" s="431"/>
      <c r="E858" s="482">
        <v>197968</v>
      </c>
      <c r="F858" s="484" t="s">
        <v>2534</v>
      </c>
      <c r="G858" s="68"/>
      <c r="H858" s="68"/>
      <c r="I858" s="68"/>
      <c r="J858" s="68" t="s">
        <v>794</v>
      </c>
      <c r="K858" s="482" t="s">
        <v>794</v>
      </c>
      <c r="L858" s="482" t="s">
        <v>794</v>
      </c>
      <c r="M858" s="68" t="s">
        <v>791</v>
      </c>
      <c r="N858" s="68"/>
      <c r="O858" s="482"/>
      <c r="P858" s="482" t="s">
        <v>795</v>
      </c>
      <c r="Q858" s="68"/>
      <c r="R858" s="490"/>
      <c r="S858" s="491"/>
      <c r="T858" s="101"/>
      <c r="U858" s="488"/>
      <c r="V858" s="68"/>
      <c r="W858" s="482"/>
      <c r="X858" s="17"/>
      <c r="Z858" s="17"/>
    </row>
    <row r="859" spans="1:26" ht="14.25" customHeight="1">
      <c r="A859" s="482" t="s">
        <v>2647</v>
      </c>
      <c r="B859" s="514" t="s">
        <v>305</v>
      </c>
      <c r="C859" s="503" t="s">
        <v>605</v>
      </c>
      <c r="D859" s="485" t="s">
        <v>1656</v>
      </c>
      <c r="E859" s="482">
        <v>197995</v>
      </c>
      <c r="F859" s="482"/>
      <c r="G859" s="68"/>
      <c r="H859" s="68"/>
      <c r="I859" s="68"/>
      <c r="J859" s="68" t="s">
        <v>794</v>
      </c>
      <c r="K859" s="482" t="s">
        <v>794</v>
      </c>
      <c r="L859" s="482" t="s">
        <v>794</v>
      </c>
      <c r="M859" s="68" t="s">
        <v>791</v>
      </c>
      <c r="N859" s="68">
        <v>20.802850719999999</v>
      </c>
      <c r="O859" s="482">
        <v>92.392669679999997</v>
      </c>
      <c r="P859" s="482" t="s">
        <v>795</v>
      </c>
      <c r="Q859" s="484" t="s">
        <v>776</v>
      </c>
      <c r="R859" s="495"/>
      <c r="S859" s="491"/>
      <c r="T859" s="507"/>
      <c r="U859" s="488"/>
      <c r="V859" s="68" t="s">
        <v>931</v>
      </c>
      <c r="W859" s="482"/>
      <c r="X859" s="17"/>
      <c r="Z859" s="17"/>
    </row>
    <row r="860" spans="1:26" ht="14.25" customHeight="1">
      <c r="A860" s="482" t="s">
        <v>2647</v>
      </c>
      <c r="B860" s="514" t="s">
        <v>305</v>
      </c>
      <c r="C860" s="515" t="s">
        <v>606</v>
      </c>
      <c r="D860" s="485" t="s">
        <v>1656</v>
      </c>
      <c r="E860" s="68">
        <v>197995</v>
      </c>
      <c r="F860" s="482"/>
      <c r="G860" s="68"/>
      <c r="H860" s="68"/>
      <c r="I860" s="68"/>
      <c r="J860" s="68" t="s">
        <v>794</v>
      </c>
      <c r="K860" s="482" t="s">
        <v>794</v>
      </c>
      <c r="L860" s="482" t="s">
        <v>794</v>
      </c>
      <c r="M860" s="68" t="s">
        <v>791</v>
      </c>
      <c r="N860" s="68">
        <v>20.802850719999999</v>
      </c>
      <c r="O860" s="68">
        <v>92.392669679999997</v>
      </c>
      <c r="P860" s="68" t="s">
        <v>795</v>
      </c>
      <c r="Q860" s="68" t="s">
        <v>776</v>
      </c>
      <c r="R860" s="495"/>
      <c r="S860" s="491"/>
      <c r="T860" s="101"/>
      <c r="U860" s="488"/>
      <c r="V860" s="482" t="s">
        <v>931</v>
      </c>
      <c r="W860" s="482"/>
      <c r="X860" s="17"/>
      <c r="Z860" s="17"/>
    </row>
    <row r="861" spans="1:26" ht="14.25" customHeight="1">
      <c r="A861" s="482" t="s">
        <v>2647</v>
      </c>
      <c r="B861" s="514" t="s">
        <v>305</v>
      </c>
      <c r="C861" s="515" t="s">
        <v>2024</v>
      </c>
      <c r="D861" s="485"/>
      <c r="E861" s="68">
        <v>197939</v>
      </c>
      <c r="F861" s="482"/>
      <c r="G861" s="68"/>
      <c r="H861" s="68"/>
      <c r="I861" s="68"/>
      <c r="J861" s="68" t="s">
        <v>794</v>
      </c>
      <c r="K861" s="482" t="s">
        <v>794</v>
      </c>
      <c r="L861" s="482" t="s">
        <v>794</v>
      </c>
      <c r="M861" s="68" t="s">
        <v>294</v>
      </c>
      <c r="N861" s="68">
        <v>20.832990649999999</v>
      </c>
      <c r="O861" s="68">
        <v>92.353683469999993</v>
      </c>
      <c r="P861" s="482" t="s">
        <v>795</v>
      </c>
      <c r="Q861" s="68"/>
      <c r="R861" s="495"/>
      <c r="S861" s="491"/>
      <c r="T861" s="101">
        <v>43300</v>
      </c>
      <c r="U861" s="488"/>
      <c r="V861" s="68"/>
      <c r="W861" s="482"/>
      <c r="X861" s="17"/>
      <c r="Z861" s="17"/>
    </row>
    <row r="862" spans="1:26" ht="14.25" customHeight="1">
      <c r="A862" s="396" t="s">
        <v>2647</v>
      </c>
      <c r="B862" s="514" t="s">
        <v>305</v>
      </c>
      <c r="C862" s="515" t="s">
        <v>2078</v>
      </c>
      <c r="D862" s="485"/>
      <c r="E862" s="482">
        <v>220733</v>
      </c>
      <c r="F862" s="68"/>
      <c r="G862" s="68"/>
      <c r="H862" s="68"/>
      <c r="I862" s="68"/>
      <c r="J862" s="68" t="s">
        <v>794</v>
      </c>
      <c r="K862" s="482" t="s">
        <v>794</v>
      </c>
      <c r="L862" s="482" t="s">
        <v>794</v>
      </c>
      <c r="M862" s="68" t="s">
        <v>294</v>
      </c>
      <c r="N862" s="396">
        <v>20.931335449999999</v>
      </c>
      <c r="O862" s="396">
        <v>92.381462099999993</v>
      </c>
      <c r="P862" s="482" t="s">
        <v>795</v>
      </c>
      <c r="Q862" s="68"/>
      <c r="R862" s="495"/>
      <c r="S862" s="491"/>
      <c r="T862" s="506">
        <v>43300</v>
      </c>
      <c r="U862" s="97"/>
      <c r="V862" s="68"/>
      <c r="W862" s="396"/>
      <c r="X862" s="17"/>
      <c r="Z862" s="17"/>
    </row>
    <row r="863" spans="1:26" ht="14.25" customHeight="1">
      <c r="A863" s="396" t="s">
        <v>2647</v>
      </c>
      <c r="B863" s="514" t="s">
        <v>305</v>
      </c>
      <c r="C863" s="515" t="s">
        <v>2031</v>
      </c>
      <c r="D863" s="485"/>
      <c r="E863" s="482">
        <v>197862</v>
      </c>
      <c r="F863" s="482"/>
      <c r="G863" s="482"/>
      <c r="H863" s="482"/>
      <c r="I863" s="482"/>
      <c r="J863" s="482" t="s">
        <v>794</v>
      </c>
      <c r="K863" s="482" t="s">
        <v>794</v>
      </c>
      <c r="L863" s="482" t="s">
        <v>794</v>
      </c>
      <c r="M863" s="482" t="s">
        <v>294</v>
      </c>
      <c r="N863" s="482">
        <v>21.094310759999999</v>
      </c>
      <c r="O863" s="482">
        <v>92.335670469999997</v>
      </c>
      <c r="P863" s="482" t="s">
        <v>795</v>
      </c>
      <c r="Q863" s="482"/>
      <c r="R863" s="495"/>
      <c r="S863" s="491"/>
      <c r="T863" s="506">
        <v>43300</v>
      </c>
      <c r="U863" s="488"/>
      <c r="V863" s="482"/>
      <c r="W863" s="482"/>
      <c r="X863" s="17"/>
      <c r="Z863" s="17"/>
    </row>
    <row r="864" spans="1:26" ht="14.25" customHeight="1">
      <c r="A864" s="443" t="s">
        <v>2647</v>
      </c>
      <c r="B864" s="444" t="s">
        <v>305</v>
      </c>
      <c r="C864" s="451" t="s">
        <v>2679</v>
      </c>
      <c r="D864" s="485"/>
      <c r="E864" s="445">
        <v>197800</v>
      </c>
      <c r="F864" s="445" t="s">
        <v>2680</v>
      </c>
      <c r="G864" s="445"/>
      <c r="H864" s="445"/>
      <c r="I864" s="445"/>
      <c r="J864" s="396" t="s">
        <v>794</v>
      </c>
      <c r="K864" s="482" t="s">
        <v>794</v>
      </c>
      <c r="L864" s="482" t="s">
        <v>794</v>
      </c>
      <c r="M864" s="445"/>
      <c r="N864" s="445">
        <v>21.363349914550799</v>
      </c>
      <c r="O864" s="445">
        <v>92.280487060546903</v>
      </c>
      <c r="P864" s="396" t="s">
        <v>795</v>
      </c>
      <c r="Q864" s="445" t="s">
        <v>2627</v>
      </c>
      <c r="R864" s="455"/>
      <c r="S864" s="453"/>
      <c r="T864" s="447">
        <v>43580</v>
      </c>
      <c r="U864" s="448" t="s">
        <v>2672</v>
      </c>
      <c r="V864" s="449"/>
      <c r="W864" s="486"/>
      <c r="X864" s="17"/>
      <c r="Z864" s="17"/>
    </row>
    <row r="865" spans="1:26" ht="14.25" customHeight="1">
      <c r="A865" s="396" t="s">
        <v>2647</v>
      </c>
      <c r="B865" s="504" t="s">
        <v>305</v>
      </c>
      <c r="C865" s="503" t="s">
        <v>657</v>
      </c>
      <c r="D865" s="431" t="s">
        <v>1656</v>
      </c>
      <c r="E865" s="484">
        <v>220734</v>
      </c>
      <c r="F865" s="482" t="s">
        <v>2636</v>
      </c>
      <c r="G865" s="396"/>
      <c r="H865" s="396"/>
      <c r="I865" s="396"/>
      <c r="J865" s="396" t="s">
        <v>794</v>
      </c>
      <c r="K865" s="482" t="s">
        <v>794</v>
      </c>
      <c r="L865" s="482" t="s">
        <v>794</v>
      </c>
      <c r="M865" s="396" t="s">
        <v>294</v>
      </c>
      <c r="N865" s="396">
        <v>20.910375599999998</v>
      </c>
      <c r="O865" s="396">
        <v>92.400138850000005</v>
      </c>
      <c r="P865" s="482" t="s">
        <v>795</v>
      </c>
      <c r="Q865" s="396" t="s">
        <v>798</v>
      </c>
      <c r="R865" s="490"/>
      <c r="S865" s="491"/>
      <c r="T865" s="412">
        <v>42926</v>
      </c>
      <c r="U865" s="401" t="s">
        <v>799</v>
      </c>
      <c r="V865" s="396"/>
      <c r="W865" s="396"/>
      <c r="X865" s="17"/>
      <c r="Z865" s="17"/>
    </row>
    <row r="866" spans="1:26" ht="14.25" customHeight="1">
      <c r="A866" s="396" t="s">
        <v>2647</v>
      </c>
      <c r="B866" s="514" t="s">
        <v>305</v>
      </c>
      <c r="C866" s="515" t="s">
        <v>309</v>
      </c>
      <c r="D866" s="485" t="s">
        <v>1656</v>
      </c>
      <c r="E866" s="482"/>
      <c r="F866" s="482"/>
      <c r="G866" s="396"/>
      <c r="H866" s="396"/>
      <c r="I866" s="396"/>
      <c r="J866" s="396" t="s">
        <v>794</v>
      </c>
      <c r="K866" s="482" t="s">
        <v>794</v>
      </c>
      <c r="L866" s="482" t="s">
        <v>794</v>
      </c>
      <c r="M866" s="396" t="s">
        <v>294</v>
      </c>
      <c r="N866" s="396"/>
      <c r="O866" s="482"/>
      <c r="P866" s="396" t="s">
        <v>795</v>
      </c>
      <c r="Q866" s="396" t="s">
        <v>776</v>
      </c>
      <c r="R866" s="495"/>
      <c r="S866" s="491"/>
      <c r="T866" s="412"/>
      <c r="U866" s="401"/>
      <c r="V866" s="396" t="s">
        <v>309</v>
      </c>
      <c r="W866" s="396"/>
      <c r="X866" s="17"/>
      <c r="Z866" s="17"/>
    </row>
    <row r="867" spans="1:26" ht="14.25" customHeight="1">
      <c r="A867" s="396" t="s">
        <v>2647</v>
      </c>
      <c r="B867" s="504" t="s">
        <v>305</v>
      </c>
      <c r="C867" s="484" t="s">
        <v>311</v>
      </c>
      <c r="D867" s="431" t="s">
        <v>1656</v>
      </c>
      <c r="E867" s="396"/>
      <c r="F867" s="482"/>
      <c r="G867" s="68"/>
      <c r="H867" s="68"/>
      <c r="I867" s="68"/>
      <c r="J867" s="68" t="s">
        <v>794</v>
      </c>
      <c r="K867" s="482" t="s">
        <v>794</v>
      </c>
      <c r="L867" s="482" t="s">
        <v>794</v>
      </c>
      <c r="M867" s="68" t="s">
        <v>791</v>
      </c>
      <c r="N867" s="68"/>
      <c r="O867" s="396"/>
      <c r="P867" s="482" t="s">
        <v>795</v>
      </c>
      <c r="Q867" s="482" t="s">
        <v>776</v>
      </c>
      <c r="R867" s="486"/>
      <c r="S867" s="96"/>
      <c r="T867" s="506"/>
      <c r="U867" s="97"/>
      <c r="V867" s="68" t="s">
        <v>1087</v>
      </c>
      <c r="W867" s="396"/>
      <c r="X867" s="17"/>
      <c r="Z867" s="17"/>
    </row>
    <row r="868" spans="1:26" s="68" customFormat="1" ht="14.25" customHeight="1">
      <c r="A868" s="396" t="s">
        <v>2647</v>
      </c>
      <c r="B868" s="504" t="s">
        <v>305</v>
      </c>
      <c r="C868" s="503" t="s">
        <v>2276</v>
      </c>
      <c r="D868" s="431"/>
      <c r="E868" s="523">
        <v>196937</v>
      </c>
      <c r="F868" s="484" t="s">
        <v>2636</v>
      </c>
      <c r="J868" s="68" t="s">
        <v>794</v>
      </c>
      <c r="K868" s="482" t="s">
        <v>794</v>
      </c>
      <c r="L868" s="482" t="s">
        <v>794</v>
      </c>
      <c r="M868" s="68" t="s">
        <v>294</v>
      </c>
      <c r="N868" s="68">
        <v>20.646560668945298</v>
      </c>
      <c r="O868" s="482">
        <v>92.976043701171903</v>
      </c>
      <c r="P868" s="482" t="s">
        <v>795</v>
      </c>
      <c r="Q868" s="482"/>
      <c r="R868" s="490"/>
      <c r="S868" s="491"/>
      <c r="T868" s="506"/>
      <c r="U868" s="97"/>
      <c r="W868" s="396"/>
    </row>
    <row r="869" spans="1:26" ht="14.25" customHeight="1">
      <c r="A869" s="396" t="s">
        <v>2647</v>
      </c>
      <c r="B869" s="504" t="s">
        <v>305</v>
      </c>
      <c r="C869" s="503" t="s">
        <v>2029</v>
      </c>
      <c r="D869" s="431"/>
      <c r="E869" s="489">
        <v>197947</v>
      </c>
      <c r="F869" s="482" t="s">
        <v>2636</v>
      </c>
      <c r="G869" s="482"/>
      <c r="H869" s="482"/>
      <c r="I869" s="482"/>
      <c r="J869" s="482" t="s">
        <v>794</v>
      </c>
      <c r="K869" s="482" t="s">
        <v>794</v>
      </c>
      <c r="L869" s="482" t="s">
        <v>794</v>
      </c>
      <c r="M869" s="482" t="s">
        <v>294</v>
      </c>
      <c r="N869" s="482">
        <v>20.899179459999999</v>
      </c>
      <c r="O869" s="482">
        <v>92.404052730000004</v>
      </c>
      <c r="P869" s="482" t="s">
        <v>795</v>
      </c>
      <c r="Q869" s="482"/>
      <c r="R869" s="486"/>
      <c r="S869" s="487"/>
      <c r="T869" s="506">
        <v>43300</v>
      </c>
      <c r="U869" s="488"/>
      <c r="V869" s="482"/>
      <c r="W869" s="396"/>
      <c r="X869" s="17"/>
      <c r="Z869" s="17"/>
    </row>
    <row r="870" spans="1:26" ht="14.25" customHeight="1">
      <c r="A870" s="396" t="s">
        <v>2647</v>
      </c>
      <c r="B870" s="514" t="s">
        <v>305</v>
      </c>
      <c r="C870" s="515" t="s">
        <v>619</v>
      </c>
      <c r="D870" s="485" t="s">
        <v>1656</v>
      </c>
      <c r="E870" s="484" t="s">
        <v>1404</v>
      </c>
      <c r="F870" s="482"/>
      <c r="G870" s="68"/>
      <c r="H870" s="482" t="s">
        <v>40</v>
      </c>
      <c r="I870" s="68"/>
      <c r="J870" s="68" t="s">
        <v>794</v>
      </c>
      <c r="K870" s="482" t="s">
        <v>794</v>
      </c>
      <c r="L870" s="482" t="s">
        <v>1656</v>
      </c>
      <c r="M870" s="68" t="s">
        <v>791</v>
      </c>
      <c r="N870" s="396">
        <v>20.819958</v>
      </c>
      <c r="O870" s="396">
        <v>92.365793999999994</v>
      </c>
      <c r="P870" s="482" t="s">
        <v>795</v>
      </c>
      <c r="Q870" s="482" t="s">
        <v>776</v>
      </c>
      <c r="R870" s="495"/>
      <c r="S870" s="491"/>
      <c r="T870" s="506">
        <v>43248</v>
      </c>
      <c r="U870" s="97" t="s">
        <v>1897</v>
      </c>
      <c r="V870" s="68"/>
      <c r="W870" s="396"/>
      <c r="X870" s="17"/>
      <c r="Z870" s="17"/>
    </row>
    <row r="871" spans="1:26" ht="14.25" customHeight="1">
      <c r="A871" s="396" t="s">
        <v>2647</v>
      </c>
      <c r="B871" s="504" t="s">
        <v>305</v>
      </c>
      <c r="C871" s="503" t="s">
        <v>2058</v>
      </c>
      <c r="D871" s="431" t="s">
        <v>1656</v>
      </c>
      <c r="E871" s="482">
        <v>197896</v>
      </c>
      <c r="F871" s="482"/>
      <c r="G871" s="68"/>
      <c r="H871" s="68"/>
      <c r="I871" s="68"/>
      <c r="J871" s="68" t="s">
        <v>794</v>
      </c>
      <c r="K871" s="482" t="s">
        <v>794</v>
      </c>
      <c r="L871" s="482" t="s">
        <v>794</v>
      </c>
      <c r="M871" s="68" t="s">
        <v>294</v>
      </c>
      <c r="N871" s="498">
        <v>20.991559980000002</v>
      </c>
      <c r="O871" s="498">
        <v>92.290878300000003</v>
      </c>
      <c r="P871" s="68" t="s">
        <v>795</v>
      </c>
      <c r="Q871" s="68" t="s">
        <v>776</v>
      </c>
      <c r="R871" s="490"/>
      <c r="S871" s="491"/>
      <c r="T871" s="101"/>
      <c r="U871" s="97"/>
      <c r="V871" s="68" t="s">
        <v>668</v>
      </c>
      <c r="W871" s="396"/>
      <c r="X871" s="17"/>
      <c r="Z871" s="17"/>
    </row>
    <row r="872" spans="1:26" ht="14.25" customHeight="1">
      <c r="A872" s="396" t="s">
        <v>2647</v>
      </c>
      <c r="B872" s="504" t="s">
        <v>305</v>
      </c>
      <c r="C872" s="503" t="s">
        <v>2063</v>
      </c>
      <c r="D872" s="431"/>
      <c r="E872" s="482">
        <v>197921</v>
      </c>
      <c r="F872" s="482"/>
      <c r="G872" s="482"/>
      <c r="H872" s="482"/>
      <c r="I872" s="482"/>
      <c r="J872" s="482" t="s">
        <v>794</v>
      </c>
      <c r="K872" s="482" t="s">
        <v>794</v>
      </c>
      <c r="L872" s="482" t="s">
        <v>794</v>
      </c>
      <c r="M872" s="482" t="s">
        <v>791</v>
      </c>
      <c r="N872" s="482">
        <v>20.9467392</v>
      </c>
      <c r="O872" s="482">
        <v>92.330482480000001</v>
      </c>
      <c r="P872" s="482" t="s">
        <v>795</v>
      </c>
      <c r="Q872" s="482"/>
      <c r="R872" s="490"/>
      <c r="S872" s="491"/>
      <c r="T872" s="506">
        <v>43300</v>
      </c>
      <c r="U872" s="488"/>
      <c r="V872" s="482"/>
      <c r="W872" s="396"/>
      <c r="X872" s="17"/>
      <c r="Z872" s="17"/>
    </row>
    <row r="873" spans="1:26" ht="14.25" customHeight="1">
      <c r="A873" s="396" t="s">
        <v>2647</v>
      </c>
      <c r="B873" s="504" t="s">
        <v>305</v>
      </c>
      <c r="C873" s="503" t="s">
        <v>2035</v>
      </c>
      <c r="D873" s="431"/>
      <c r="E873" s="484">
        <v>197970</v>
      </c>
      <c r="F873" s="482"/>
      <c r="G873" s="68"/>
      <c r="H873" s="68"/>
      <c r="I873" s="68"/>
      <c r="J873" s="68" t="s">
        <v>794</v>
      </c>
      <c r="K873" s="482" t="s">
        <v>794</v>
      </c>
      <c r="L873" s="482" t="s">
        <v>794</v>
      </c>
      <c r="M873" s="68" t="s">
        <v>791</v>
      </c>
      <c r="N873" s="498">
        <v>20.86484909</v>
      </c>
      <c r="O873" s="498">
        <v>92.347358700000001</v>
      </c>
      <c r="P873" s="482" t="s">
        <v>795</v>
      </c>
      <c r="Q873" s="68"/>
      <c r="R873" s="490"/>
      <c r="S873" s="491"/>
      <c r="T873" s="101">
        <v>43300</v>
      </c>
      <c r="U873" s="97"/>
      <c r="V873" s="68"/>
      <c r="W873" s="396"/>
      <c r="X873" s="17"/>
      <c r="Z873" s="17"/>
    </row>
    <row r="874" spans="1:26" ht="14.25" customHeight="1">
      <c r="A874" s="482" t="s">
        <v>2647</v>
      </c>
      <c r="B874" s="504" t="s">
        <v>305</v>
      </c>
      <c r="C874" s="503" t="s">
        <v>565</v>
      </c>
      <c r="D874" s="431" t="s">
        <v>1656</v>
      </c>
      <c r="E874" s="482">
        <v>198046</v>
      </c>
      <c r="F874" s="482"/>
      <c r="G874" s="482"/>
      <c r="H874" s="482"/>
      <c r="I874" s="482"/>
      <c r="J874" s="482" t="s">
        <v>794</v>
      </c>
      <c r="K874" s="482" t="s">
        <v>794</v>
      </c>
      <c r="L874" s="482" t="s">
        <v>794</v>
      </c>
      <c r="M874" s="482" t="s">
        <v>791</v>
      </c>
      <c r="N874" s="482">
        <v>20.720169070000001</v>
      </c>
      <c r="O874" s="482">
        <v>92.432983399999998</v>
      </c>
      <c r="P874" s="482" t="s">
        <v>795</v>
      </c>
      <c r="Q874" s="482" t="s">
        <v>776</v>
      </c>
      <c r="R874" s="486"/>
      <c r="S874" s="487"/>
      <c r="T874" s="506"/>
      <c r="U874" s="488"/>
      <c r="V874" s="482" t="s">
        <v>565</v>
      </c>
      <c r="W874" s="482"/>
      <c r="X874" s="17"/>
      <c r="Z874" s="17"/>
    </row>
    <row r="875" spans="1:26" ht="14.25" customHeight="1">
      <c r="A875" s="396" t="s">
        <v>2647</v>
      </c>
      <c r="B875" s="504" t="s">
        <v>305</v>
      </c>
      <c r="C875" s="503" t="s">
        <v>315</v>
      </c>
      <c r="D875" s="431" t="s">
        <v>1656</v>
      </c>
      <c r="E875" s="68"/>
      <c r="F875" s="489"/>
      <c r="G875" s="68"/>
      <c r="H875" s="68"/>
      <c r="I875" s="68"/>
      <c r="J875" s="68" t="s">
        <v>794</v>
      </c>
      <c r="K875" s="482" t="s">
        <v>794</v>
      </c>
      <c r="L875" s="482" t="s">
        <v>794</v>
      </c>
      <c r="M875" s="68" t="s">
        <v>294</v>
      </c>
      <c r="N875" s="396"/>
      <c r="O875" s="396"/>
      <c r="P875" s="68" t="s">
        <v>795</v>
      </c>
      <c r="Q875" s="482" t="s">
        <v>776</v>
      </c>
      <c r="R875" s="490"/>
      <c r="S875" s="491"/>
      <c r="T875" s="506"/>
      <c r="U875" s="97"/>
      <c r="V875" s="68" t="s">
        <v>315</v>
      </c>
      <c r="W875" s="396"/>
      <c r="X875" s="17"/>
      <c r="Z875" s="17"/>
    </row>
    <row r="876" spans="1:26" ht="14.25" customHeight="1">
      <c r="A876" s="482" t="s">
        <v>2647</v>
      </c>
      <c r="B876" s="514" t="s">
        <v>305</v>
      </c>
      <c r="C876" s="515" t="s">
        <v>559</v>
      </c>
      <c r="D876" s="485" t="s">
        <v>1656</v>
      </c>
      <c r="E876" s="482" t="s">
        <v>1399</v>
      </c>
      <c r="F876" s="482"/>
      <c r="G876" s="482"/>
      <c r="H876" s="482" t="s">
        <v>40</v>
      </c>
      <c r="I876" s="482"/>
      <c r="J876" s="482" t="s">
        <v>794</v>
      </c>
      <c r="K876" s="482" t="s">
        <v>794</v>
      </c>
      <c r="L876" s="482" t="s">
        <v>1656</v>
      </c>
      <c r="M876" s="482" t="s">
        <v>791</v>
      </c>
      <c r="N876" s="482">
        <v>20.714846999999999</v>
      </c>
      <c r="O876" s="482">
        <v>92.443427999999997</v>
      </c>
      <c r="P876" s="482" t="s">
        <v>795</v>
      </c>
      <c r="Q876" s="482" t="s">
        <v>776</v>
      </c>
      <c r="R876" s="495"/>
      <c r="S876" s="491"/>
      <c r="T876" s="506">
        <v>43248</v>
      </c>
      <c r="U876" s="488" t="s">
        <v>1897</v>
      </c>
      <c r="V876" s="482"/>
      <c r="W876" s="482"/>
      <c r="X876" s="17"/>
      <c r="Z876" s="17"/>
    </row>
    <row r="877" spans="1:26" ht="14.25" customHeight="1">
      <c r="A877" s="482" t="s">
        <v>2647</v>
      </c>
      <c r="B877" s="514" t="s">
        <v>305</v>
      </c>
      <c r="C877" s="515" t="s">
        <v>317</v>
      </c>
      <c r="D877" s="485" t="s">
        <v>1656</v>
      </c>
      <c r="E877" s="482"/>
      <c r="F877" s="482"/>
      <c r="G877" s="482"/>
      <c r="H877" s="482"/>
      <c r="I877" s="482"/>
      <c r="J877" s="482" t="s">
        <v>794</v>
      </c>
      <c r="K877" s="482" t="s">
        <v>794</v>
      </c>
      <c r="L877" s="482" t="s">
        <v>794</v>
      </c>
      <c r="M877" s="482" t="s">
        <v>791</v>
      </c>
      <c r="N877" s="482"/>
      <c r="O877" s="482"/>
      <c r="P877" s="482" t="s">
        <v>795</v>
      </c>
      <c r="Q877" s="482" t="s">
        <v>776</v>
      </c>
      <c r="R877" s="495"/>
      <c r="S877" s="491"/>
      <c r="T877" s="506"/>
      <c r="U877" s="488"/>
      <c r="V877" s="482" t="s">
        <v>317</v>
      </c>
      <c r="W877" s="482"/>
      <c r="X877" s="17"/>
      <c r="Z877" s="17"/>
    </row>
    <row r="878" spans="1:26" ht="14.25" customHeight="1">
      <c r="A878" s="396" t="s">
        <v>2647</v>
      </c>
      <c r="B878" s="514" t="s">
        <v>305</v>
      </c>
      <c r="C878" s="515" t="s">
        <v>2075</v>
      </c>
      <c r="D878" s="485"/>
      <c r="E878" s="482">
        <v>197934</v>
      </c>
      <c r="F878" s="482"/>
      <c r="G878" s="68"/>
      <c r="H878" s="68"/>
      <c r="I878" s="68"/>
      <c r="J878" s="68" t="s">
        <v>794</v>
      </c>
      <c r="K878" s="482" t="s">
        <v>794</v>
      </c>
      <c r="L878" s="482" t="s">
        <v>794</v>
      </c>
      <c r="M878" s="68" t="s">
        <v>791</v>
      </c>
      <c r="N878" s="482">
        <v>20.857500080000001</v>
      </c>
      <c r="O878" s="482">
        <v>92.357841489999998</v>
      </c>
      <c r="P878" s="482" t="s">
        <v>795</v>
      </c>
      <c r="Q878" s="482"/>
      <c r="R878" s="494"/>
      <c r="S878" s="400"/>
      <c r="T878" s="506">
        <v>43300</v>
      </c>
      <c r="U878" s="97"/>
      <c r="V878" s="68"/>
      <c r="W878" s="396"/>
      <c r="X878" s="17"/>
      <c r="Z878" s="17"/>
    </row>
    <row r="879" spans="1:26" ht="14.25" customHeight="1">
      <c r="A879" s="482" t="s">
        <v>2647</v>
      </c>
      <c r="B879" s="504" t="s">
        <v>305</v>
      </c>
      <c r="C879" s="503" t="s">
        <v>647</v>
      </c>
      <c r="D879" s="431"/>
      <c r="E879" s="484">
        <v>197941</v>
      </c>
      <c r="F879" s="482"/>
      <c r="G879" s="396"/>
      <c r="H879" s="482"/>
      <c r="I879" s="396"/>
      <c r="J879" s="396" t="s">
        <v>794</v>
      </c>
      <c r="K879" s="482" t="s">
        <v>794</v>
      </c>
      <c r="L879" s="482" t="s">
        <v>794</v>
      </c>
      <c r="M879" s="386" t="s">
        <v>791</v>
      </c>
      <c r="N879" s="386">
        <v>20.83185005</v>
      </c>
      <c r="O879" s="482">
        <v>92.359428410000007</v>
      </c>
      <c r="P879" s="482" t="s">
        <v>795</v>
      </c>
      <c r="Q879" s="482"/>
      <c r="R879" s="486"/>
      <c r="S879" s="400"/>
      <c r="T879" s="506">
        <v>43300</v>
      </c>
      <c r="U879" s="488"/>
      <c r="V879" s="386"/>
      <c r="W879" s="482"/>
      <c r="X879" s="17"/>
      <c r="Z879" s="17"/>
    </row>
    <row r="880" spans="1:26" ht="14.25" customHeight="1">
      <c r="A880" s="482" t="s">
        <v>2647</v>
      </c>
      <c r="B880" s="504" t="s">
        <v>305</v>
      </c>
      <c r="C880" s="503" t="s">
        <v>2052</v>
      </c>
      <c r="D880" s="431"/>
      <c r="E880" s="484">
        <v>197872</v>
      </c>
      <c r="F880" s="482"/>
      <c r="G880" s="396"/>
      <c r="H880" s="396"/>
      <c r="I880" s="396"/>
      <c r="J880" s="396" t="s">
        <v>794</v>
      </c>
      <c r="K880" s="396" t="s">
        <v>794</v>
      </c>
      <c r="L880" s="396" t="s">
        <v>794</v>
      </c>
      <c r="M880" s="386" t="s">
        <v>2071</v>
      </c>
      <c r="N880" s="386">
        <v>21.07212067</v>
      </c>
      <c r="O880" s="396">
        <v>92.314163210000004</v>
      </c>
      <c r="P880" s="386" t="s">
        <v>795</v>
      </c>
      <c r="Q880" s="396"/>
      <c r="R880" s="486"/>
      <c r="S880" s="400"/>
      <c r="T880" s="412">
        <v>43300</v>
      </c>
      <c r="U880" s="488"/>
      <c r="V880" s="482"/>
      <c r="W880" s="482"/>
      <c r="X880" s="17"/>
      <c r="Z880" s="17"/>
    </row>
    <row r="881" spans="1:26" ht="14.25" customHeight="1">
      <c r="A881" s="482" t="s">
        <v>2647</v>
      </c>
      <c r="B881" s="504" t="s">
        <v>305</v>
      </c>
      <c r="C881" s="503" t="s">
        <v>2981</v>
      </c>
      <c r="D881" s="431"/>
      <c r="E881" s="482">
        <v>197975</v>
      </c>
      <c r="F881" s="484"/>
      <c r="G881" s="482"/>
      <c r="H881" s="482"/>
      <c r="I881" s="482"/>
      <c r="J881" s="482" t="s">
        <v>794</v>
      </c>
      <c r="K881" s="482" t="s">
        <v>794</v>
      </c>
      <c r="L881" s="482" t="s">
        <v>794</v>
      </c>
      <c r="M881" s="482"/>
      <c r="N881" s="482">
        <v>20.860589981079102</v>
      </c>
      <c r="O881" s="482">
        <v>92.367843627929702</v>
      </c>
      <c r="P881" s="482" t="s">
        <v>795</v>
      </c>
      <c r="Q881" s="482"/>
      <c r="R881" s="486"/>
      <c r="S881" s="487"/>
      <c r="T881" s="506">
        <v>43768</v>
      </c>
      <c r="U881" s="488"/>
      <c r="V881" s="482"/>
      <c r="W881" s="482"/>
      <c r="X881" s="17"/>
      <c r="Z881" s="17"/>
    </row>
    <row r="882" spans="1:26" ht="14.25" customHeight="1">
      <c r="A882" s="396" t="s">
        <v>2647</v>
      </c>
      <c r="B882" s="514" t="s">
        <v>305</v>
      </c>
      <c r="C882" s="515" t="s">
        <v>558</v>
      </c>
      <c r="D882" s="485" t="s">
        <v>1656</v>
      </c>
      <c r="E882" s="396">
        <v>198049</v>
      </c>
      <c r="F882" s="482"/>
      <c r="G882" s="396"/>
      <c r="H882" s="396"/>
      <c r="I882" s="396"/>
      <c r="J882" s="386" t="s">
        <v>794</v>
      </c>
      <c r="K882" s="482" t="s">
        <v>794</v>
      </c>
      <c r="L882" s="482" t="s">
        <v>794</v>
      </c>
      <c r="M882" s="396" t="s">
        <v>791</v>
      </c>
      <c r="N882" s="396">
        <v>20.714559560000001</v>
      </c>
      <c r="O882" s="396">
        <v>92.435226439999994</v>
      </c>
      <c r="P882" s="386" t="s">
        <v>795</v>
      </c>
      <c r="Q882" s="396" t="s">
        <v>776</v>
      </c>
      <c r="R882" s="494"/>
      <c r="S882" s="400"/>
      <c r="T882" s="412"/>
      <c r="U882" s="401"/>
      <c r="V882" s="482" t="s">
        <v>558</v>
      </c>
      <c r="W882" s="396"/>
      <c r="X882" s="17"/>
      <c r="Z882" s="17"/>
    </row>
    <row r="883" spans="1:26" ht="14.25" customHeight="1">
      <c r="A883" s="396" t="s">
        <v>2647</v>
      </c>
      <c r="B883" s="514" t="s">
        <v>305</v>
      </c>
      <c r="C883" s="515" t="s">
        <v>679</v>
      </c>
      <c r="D883" s="485" t="s">
        <v>1656</v>
      </c>
      <c r="E883" s="150">
        <v>220731</v>
      </c>
      <c r="F883" s="482"/>
      <c r="G883" s="386"/>
      <c r="H883" s="386"/>
      <c r="I883" s="386"/>
      <c r="J883" s="386" t="s">
        <v>794</v>
      </c>
      <c r="K883" s="396" t="s">
        <v>794</v>
      </c>
      <c r="L883" s="396" t="s">
        <v>794</v>
      </c>
      <c r="M883" s="386" t="s">
        <v>679</v>
      </c>
      <c r="N883" s="386">
        <v>21.027990339999999</v>
      </c>
      <c r="O883" s="396">
        <v>92.298881530000003</v>
      </c>
      <c r="P883" s="482" t="s">
        <v>795</v>
      </c>
      <c r="Q883" s="482" t="s">
        <v>776</v>
      </c>
      <c r="R883" s="494"/>
      <c r="S883" s="487"/>
      <c r="T883" s="152">
        <v>43300</v>
      </c>
      <c r="U883" s="488"/>
      <c r="V883" s="386" t="s">
        <v>679</v>
      </c>
      <c r="W883" s="482"/>
      <c r="X883" s="17"/>
      <c r="Z883" s="17"/>
    </row>
    <row r="884" spans="1:26" ht="14.25" customHeight="1">
      <c r="A884" s="396" t="s">
        <v>2647</v>
      </c>
      <c r="B884" s="514" t="s">
        <v>305</v>
      </c>
      <c r="C884" s="515" t="s">
        <v>557</v>
      </c>
      <c r="D884" s="485" t="s">
        <v>1656</v>
      </c>
      <c r="E884" s="482" t="s">
        <v>1398</v>
      </c>
      <c r="F884" s="482"/>
      <c r="G884" s="482"/>
      <c r="H884" s="482" t="s">
        <v>40</v>
      </c>
      <c r="I884" s="482"/>
      <c r="J884" s="482" t="s">
        <v>794</v>
      </c>
      <c r="K884" s="482" t="s">
        <v>794</v>
      </c>
      <c r="L884" s="482" t="s">
        <v>1656</v>
      </c>
      <c r="M884" s="482" t="s">
        <v>791</v>
      </c>
      <c r="N884" s="482">
        <v>20.713882999999999</v>
      </c>
      <c r="O884" s="482">
        <v>92.435378</v>
      </c>
      <c r="P884" s="482" t="s">
        <v>795</v>
      </c>
      <c r="Q884" s="482" t="s">
        <v>776</v>
      </c>
      <c r="R884" s="494"/>
      <c r="S884" s="487"/>
      <c r="T884" s="506">
        <v>43248</v>
      </c>
      <c r="U884" s="488" t="s">
        <v>1897</v>
      </c>
      <c r="V884" s="482"/>
      <c r="W884" s="396"/>
      <c r="X884" s="17"/>
      <c r="Z884" s="17"/>
    </row>
    <row r="885" spans="1:26" ht="14.25" customHeight="1">
      <c r="A885" s="396" t="s">
        <v>2647</v>
      </c>
      <c r="B885" s="504" t="s">
        <v>305</v>
      </c>
      <c r="C885" s="503" t="s">
        <v>665</v>
      </c>
      <c r="D885" s="431" t="s">
        <v>1656</v>
      </c>
      <c r="E885" s="482">
        <v>197913</v>
      </c>
      <c r="F885" s="482"/>
      <c r="G885" s="386"/>
      <c r="H885" s="386"/>
      <c r="I885" s="386"/>
      <c r="J885" s="386" t="s">
        <v>794</v>
      </c>
      <c r="K885" s="482" t="s">
        <v>794</v>
      </c>
      <c r="L885" s="482" t="s">
        <v>794</v>
      </c>
      <c r="M885" s="386" t="s">
        <v>294</v>
      </c>
      <c r="N885" s="386">
        <v>20.987419129999999</v>
      </c>
      <c r="O885" s="386">
        <v>92.362136840000005</v>
      </c>
      <c r="P885" s="386" t="s">
        <v>795</v>
      </c>
      <c r="Q885" s="386" t="s">
        <v>798</v>
      </c>
      <c r="R885" s="486"/>
      <c r="S885" s="400"/>
      <c r="T885" s="389">
        <v>42926</v>
      </c>
      <c r="U885" s="388" t="s">
        <v>799</v>
      </c>
      <c r="V885" s="482"/>
      <c r="W885" s="396"/>
      <c r="X885" s="17"/>
      <c r="Z885" s="17"/>
    </row>
    <row r="886" spans="1:26" ht="14.25" customHeight="1">
      <c r="A886" s="396" t="s">
        <v>2647</v>
      </c>
      <c r="B886" s="514" t="s">
        <v>305</v>
      </c>
      <c r="C886" s="515" t="s">
        <v>666</v>
      </c>
      <c r="D886" s="485" t="s">
        <v>1656</v>
      </c>
      <c r="E886" s="386">
        <v>197913</v>
      </c>
      <c r="F886" s="482"/>
      <c r="G886" s="386"/>
      <c r="H886" s="386"/>
      <c r="I886" s="386"/>
      <c r="J886" s="386" t="s">
        <v>794</v>
      </c>
      <c r="K886" s="482" t="s">
        <v>794</v>
      </c>
      <c r="L886" s="482" t="s">
        <v>794</v>
      </c>
      <c r="M886" s="386" t="s">
        <v>791</v>
      </c>
      <c r="N886" s="386">
        <v>20.987419129999999</v>
      </c>
      <c r="O886" s="386">
        <v>92.362136840000005</v>
      </c>
      <c r="P886" s="386" t="s">
        <v>795</v>
      </c>
      <c r="Q886" s="386" t="s">
        <v>776</v>
      </c>
      <c r="R886" s="494"/>
      <c r="S886" s="400"/>
      <c r="T886" s="389">
        <v>42745</v>
      </c>
      <c r="U886" s="388"/>
      <c r="V886" s="482" t="s">
        <v>948</v>
      </c>
      <c r="W886" s="396"/>
      <c r="X886" s="17"/>
      <c r="Z886" s="17"/>
    </row>
    <row r="887" spans="1:26" ht="14.25" customHeight="1">
      <c r="A887" s="396" t="s">
        <v>2647</v>
      </c>
      <c r="B887" s="504" t="s">
        <v>305</v>
      </c>
      <c r="C887" s="503" t="s">
        <v>2079</v>
      </c>
      <c r="D887" s="431"/>
      <c r="E887" s="386">
        <v>197913</v>
      </c>
      <c r="F887" s="482"/>
      <c r="G887" s="386"/>
      <c r="H887" s="386"/>
      <c r="I887" s="386"/>
      <c r="J887" s="386" t="s">
        <v>794</v>
      </c>
      <c r="K887" s="482" t="s">
        <v>794</v>
      </c>
      <c r="L887" s="482" t="s">
        <v>794</v>
      </c>
      <c r="M887" s="386" t="s">
        <v>294</v>
      </c>
      <c r="N887" s="386">
        <v>20.987419129999999</v>
      </c>
      <c r="O887" s="386">
        <v>92.362136840000005</v>
      </c>
      <c r="P887" s="386" t="s">
        <v>795</v>
      </c>
      <c r="Q887" s="386"/>
      <c r="R887" s="486"/>
      <c r="S887" s="400"/>
      <c r="T887" s="389">
        <v>43300</v>
      </c>
      <c r="U887" s="388"/>
      <c r="V887" s="482"/>
      <c r="W887" s="396"/>
      <c r="X887" s="17"/>
      <c r="Z887" s="17"/>
    </row>
    <row r="888" spans="1:26" ht="14.25" customHeight="1">
      <c r="A888" s="396" t="s">
        <v>2647</v>
      </c>
      <c r="B888" s="514" t="s">
        <v>305</v>
      </c>
      <c r="C888" s="515" t="s">
        <v>2066</v>
      </c>
      <c r="D888" s="485"/>
      <c r="E888" s="386">
        <v>198084</v>
      </c>
      <c r="F888" s="396"/>
      <c r="G888" s="386"/>
      <c r="H888" s="386"/>
      <c r="I888" s="386"/>
      <c r="J888" s="386" t="s">
        <v>794</v>
      </c>
      <c r="K888" s="482" t="s">
        <v>794</v>
      </c>
      <c r="L888" s="482" t="s">
        <v>794</v>
      </c>
      <c r="M888" s="386" t="s">
        <v>294</v>
      </c>
      <c r="N888" s="386">
        <v>20.51251984</v>
      </c>
      <c r="O888" s="386">
        <v>92.582893369999994</v>
      </c>
      <c r="P888" s="386" t="s">
        <v>795</v>
      </c>
      <c r="Q888" s="386"/>
      <c r="R888" s="494"/>
      <c r="S888" s="400"/>
      <c r="T888" s="389">
        <v>43300</v>
      </c>
      <c r="U888" s="388"/>
      <c r="V888" s="386"/>
      <c r="W888" s="396"/>
      <c r="X888" s="17"/>
      <c r="Z888" s="17"/>
    </row>
    <row r="889" spans="1:26" ht="14.25" customHeight="1">
      <c r="A889" s="396" t="s">
        <v>2647</v>
      </c>
      <c r="B889" s="504" t="s">
        <v>305</v>
      </c>
      <c r="C889" s="503" t="s">
        <v>2094</v>
      </c>
      <c r="D889" s="431"/>
      <c r="E889" s="482"/>
      <c r="F889" s="482"/>
      <c r="G889" s="396"/>
      <c r="H889" s="396"/>
      <c r="I889" s="396"/>
      <c r="J889" s="396" t="s">
        <v>794</v>
      </c>
      <c r="K889" s="482" t="s">
        <v>794</v>
      </c>
      <c r="L889" s="482" t="s">
        <v>794</v>
      </c>
      <c r="M889" s="396" t="s">
        <v>294</v>
      </c>
      <c r="N889" s="396"/>
      <c r="O889" s="396"/>
      <c r="P889" s="482" t="s">
        <v>795</v>
      </c>
      <c r="Q889" s="396"/>
      <c r="R889" s="486"/>
      <c r="S889" s="487"/>
      <c r="T889" s="412">
        <v>43300</v>
      </c>
      <c r="U889" s="401"/>
      <c r="V889" s="482"/>
      <c r="W889" s="396"/>
      <c r="X889" s="17"/>
      <c r="Z889" s="17"/>
    </row>
    <row r="890" spans="1:26" ht="14.25" customHeight="1">
      <c r="A890" s="396" t="s">
        <v>2647</v>
      </c>
      <c r="B890" s="504" t="s">
        <v>305</v>
      </c>
      <c r="C890" s="503" t="s">
        <v>1900</v>
      </c>
      <c r="D890" s="431"/>
      <c r="E890" s="484">
        <v>197969</v>
      </c>
      <c r="F890" s="482" t="s">
        <v>2534</v>
      </c>
      <c r="G890" s="482"/>
      <c r="H890" s="482"/>
      <c r="I890" s="482"/>
      <c r="J890" s="482" t="s">
        <v>794</v>
      </c>
      <c r="K890" s="482" t="s">
        <v>794</v>
      </c>
      <c r="L890" s="482" t="s">
        <v>794</v>
      </c>
      <c r="M890" s="482" t="s">
        <v>791</v>
      </c>
      <c r="N890" s="482">
        <v>20.866529459999999</v>
      </c>
      <c r="O890" s="482">
        <v>92.364883419999998</v>
      </c>
      <c r="P890" s="482" t="s">
        <v>795</v>
      </c>
      <c r="Q890" s="482" t="s">
        <v>1904</v>
      </c>
      <c r="R890" s="486"/>
      <c r="S890" s="487"/>
      <c r="T890" s="506">
        <v>43245</v>
      </c>
      <c r="U890" s="488"/>
      <c r="V890" s="482"/>
      <c r="W890" s="396"/>
      <c r="X890" s="17"/>
      <c r="Z890" s="17"/>
    </row>
    <row r="891" spans="1:26" ht="14.25" customHeight="1">
      <c r="A891" s="396" t="s">
        <v>2647</v>
      </c>
      <c r="B891" s="504" t="s">
        <v>305</v>
      </c>
      <c r="C891" s="503" t="s">
        <v>2077</v>
      </c>
      <c r="D891" s="431"/>
      <c r="E891" s="482">
        <v>197936</v>
      </c>
      <c r="F891" s="482"/>
      <c r="G891" s="386"/>
      <c r="H891" s="386"/>
      <c r="I891" s="396"/>
      <c r="J891" s="386" t="s">
        <v>794</v>
      </c>
      <c r="K891" s="396" t="s">
        <v>794</v>
      </c>
      <c r="L891" s="396" t="s">
        <v>794</v>
      </c>
      <c r="M891" s="386" t="s">
        <v>294</v>
      </c>
      <c r="N891" s="386">
        <v>20.84993935</v>
      </c>
      <c r="O891" s="482">
        <v>92.348213200000004</v>
      </c>
      <c r="P891" s="386" t="s">
        <v>795</v>
      </c>
      <c r="Q891" s="386"/>
      <c r="R891" s="486"/>
      <c r="S891" s="400"/>
      <c r="T891" s="389">
        <v>43300</v>
      </c>
      <c r="U891" s="388"/>
      <c r="V891" s="386"/>
      <c r="W891" s="396"/>
      <c r="X891" s="17"/>
      <c r="Z891" s="17"/>
    </row>
    <row r="892" spans="1:26" ht="14.25" customHeight="1">
      <c r="A892" s="396" t="s">
        <v>2647</v>
      </c>
      <c r="B892" s="504" t="s">
        <v>305</v>
      </c>
      <c r="C892" s="503" t="s">
        <v>2041</v>
      </c>
      <c r="D892" s="431"/>
      <c r="E892" s="482">
        <v>197986</v>
      </c>
      <c r="F892" s="396"/>
      <c r="G892" s="396"/>
      <c r="H892" s="396"/>
      <c r="I892" s="396"/>
      <c r="J892" s="396" t="s">
        <v>794</v>
      </c>
      <c r="K892" s="396" t="s">
        <v>794</v>
      </c>
      <c r="L892" s="396" t="s">
        <v>794</v>
      </c>
      <c r="M892" s="396" t="s">
        <v>791</v>
      </c>
      <c r="N892" s="396">
        <v>20.819730759999999</v>
      </c>
      <c r="O892" s="396">
        <v>92.376846310000005</v>
      </c>
      <c r="P892" s="482" t="s">
        <v>795</v>
      </c>
      <c r="Q892" s="396"/>
      <c r="R892" s="486"/>
      <c r="S892" s="400"/>
      <c r="T892" s="412">
        <v>43300</v>
      </c>
      <c r="U892" s="401"/>
      <c r="V892" s="396"/>
      <c r="W892" s="396"/>
      <c r="X892" s="17"/>
      <c r="Z892" s="17"/>
    </row>
    <row r="893" spans="1:26" ht="14.25" customHeight="1">
      <c r="A893" s="396" t="s">
        <v>2647</v>
      </c>
      <c r="B893" s="514" t="s">
        <v>305</v>
      </c>
      <c r="C893" s="515" t="s">
        <v>367</v>
      </c>
      <c r="D893" s="485"/>
      <c r="E893" s="482">
        <v>197967</v>
      </c>
      <c r="F893" s="482"/>
      <c r="G893" s="482"/>
      <c r="H893" s="482"/>
      <c r="I893" s="482"/>
      <c r="J893" s="482" t="s">
        <v>794</v>
      </c>
      <c r="K893" s="482" t="s">
        <v>794</v>
      </c>
      <c r="L893" s="482" t="s">
        <v>794</v>
      </c>
      <c r="M893" s="482" t="s">
        <v>791</v>
      </c>
      <c r="N893" s="482">
        <v>20.872419359999999</v>
      </c>
      <c r="O893" s="482">
        <v>92.352493289999998</v>
      </c>
      <c r="P893" s="482" t="s">
        <v>795</v>
      </c>
      <c r="Q893" s="482"/>
      <c r="R893" s="494"/>
      <c r="S893" s="487"/>
      <c r="T893" s="506">
        <v>43300</v>
      </c>
      <c r="U893" s="488"/>
      <c r="V893" s="482"/>
      <c r="W893" s="396"/>
      <c r="X893" s="17"/>
      <c r="Z893" s="17"/>
    </row>
    <row r="894" spans="1:26" ht="14.25" customHeight="1">
      <c r="A894" s="396" t="s">
        <v>2647</v>
      </c>
      <c r="B894" s="504" t="s">
        <v>305</v>
      </c>
      <c r="C894" s="503" t="s">
        <v>2533</v>
      </c>
      <c r="D894" s="431"/>
      <c r="E894" s="482"/>
      <c r="F894" s="482"/>
      <c r="G894" s="482"/>
      <c r="H894" s="482"/>
      <c r="I894" s="482"/>
      <c r="J894" s="482" t="s">
        <v>794</v>
      </c>
      <c r="K894" s="482" t="s">
        <v>794</v>
      </c>
      <c r="L894" s="482" t="s">
        <v>794</v>
      </c>
      <c r="M894" s="482" t="s">
        <v>791</v>
      </c>
      <c r="N894" s="482"/>
      <c r="O894" s="482"/>
      <c r="P894" s="482" t="s">
        <v>795</v>
      </c>
      <c r="Q894" s="482"/>
      <c r="R894" s="486"/>
      <c r="S894" s="487"/>
      <c r="T894" s="506"/>
      <c r="U894" s="488"/>
      <c r="V894" s="482"/>
      <c r="W894" s="396"/>
      <c r="X894" s="17"/>
      <c r="Z894" s="17"/>
    </row>
    <row r="895" spans="1:26" ht="14.25" customHeight="1">
      <c r="A895" s="482" t="s">
        <v>2647</v>
      </c>
      <c r="B895" s="514" t="s">
        <v>305</v>
      </c>
      <c r="C895" s="515" t="s">
        <v>2076</v>
      </c>
      <c r="D895" s="485"/>
      <c r="E895" s="386">
        <v>197935</v>
      </c>
      <c r="F895" s="482"/>
      <c r="G895" s="386"/>
      <c r="H895" s="386"/>
      <c r="I895" s="386"/>
      <c r="J895" s="386" t="s">
        <v>794</v>
      </c>
      <c r="K895" s="482" t="s">
        <v>794</v>
      </c>
      <c r="L895" s="482" t="s">
        <v>794</v>
      </c>
      <c r="M895" s="386" t="s">
        <v>791</v>
      </c>
      <c r="N895" s="386">
        <v>20.85008049</v>
      </c>
      <c r="O895" s="386">
        <v>92.353576660000002</v>
      </c>
      <c r="P895" s="482" t="s">
        <v>795</v>
      </c>
      <c r="Q895" s="386"/>
      <c r="R895" s="494"/>
      <c r="S895" s="400"/>
      <c r="T895" s="389">
        <v>43300</v>
      </c>
      <c r="U895" s="488"/>
      <c r="V895" s="482"/>
      <c r="W895" s="482"/>
      <c r="X895" s="17"/>
      <c r="Z895" s="17"/>
    </row>
    <row r="896" spans="1:26" ht="14.25" customHeight="1">
      <c r="A896" s="396" t="s">
        <v>2647</v>
      </c>
      <c r="B896" s="514" t="s">
        <v>305</v>
      </c>
      <c r="C896" s="515" t="s">
        <v>629</v>
      </c>
      <c r="D896" s="485" t="s">
        <v>1656</v>
      </c>
      <c r="E896" s="386">
        <v>197992</v>
      </c>
      <c r="F896" s="484"/>
      <c r="G896" s="386"/>
      <c r="H896" s="386"/>
      <c r="I896" s="386"/>
      <c r="J896" s="386" t="s">
        <v>794</v>
      </c>
      <c r="K896" s="386" t="s">
        <v>794</v>
      </c>
      <c r="L896" s="386" t="s">
        <v>794</v>
      </c>
      <c r="M896" s="386" t="s">
        <v>791</v>
      </c>
      <c r="N896" s="386">
        <v>20.83049011</v>
      </c>
      <c r="O896" s="386">
        <v>92.393707280000001</v>
      </c>
      <c r="P896" s="482" t="s">
        <v>795</v>
      </c>
      <c r="Q896" s="386" t="s">
        <v>776</v>
      </c>
      <c r="R896" s="494"/>
      <c r="S896" s="400"/>
      <c r="T896" s="389"/>
      <c r="U896" s="388"/>
      <c r="V896" s="386" t="s">
        <v>629</v>
      </c>
      <c r="W896" s="396"/>
      <c r="X896" s="17"/>
      <c r="Z896" s="17"/>
    </row>
    <row r="897" spans="1:26" ht="14.25" customHeight="1">
      <c r="A897" s="396" t="s">
        <v>2647</v>
      </c>
      <c r="B897" s="514" t="s">
        <v>305</v>
      </c>
      <c r="C897" s="503" t="s">
        <v>625</v>
      </c>
      <c r="D897" s="485" t="s">
        <v>1656</v>
      </c>
      <c r="E897" s="482">
        <v>197989</v>
      </c>
      <c r="F897" s="386"/>
      <c r="G897" s="386"/>
      <c r="H897" s="386"/>
      <c r="I897" s="386"/>
      <c r="J897" s="386" t="s">
        <v>794</v>
      </c>
      <c r="K897" s="482" t="s">
        <v>794</v>
      </c>
      <c r="L897" s="482" t="s">
        <v>794</v>
      </c>
      <c r="M897" s="386" t="s">
        <v>791</v>
      </c>
      <c r="N897" s="386">
        <v>20.82498932</v>
      </c>
      <c r="O897" s="386">
        <v>92.390571589999993</v>
      </c>
      <c r="P897" s="482" t="s">
        <v>795</v>
      </c>
      <c r="Q897" s="484" t="s">
        <v>776</v>
      </c>
      <c r="R897" s="494"/>
      <c r="S897" s="400"/>
      <c r="T897" s="507"/>
      <c r="U897" s="388"/>
      <c r="V897" s="386" t="s">
        <v>625</v>
      </c>
      <c r="W897" s="396"/>
      <c r="X897" s="17"/>
      <c r="Z897" s="17"/>
    </row>
    <row r="898" spans="1:26" ht="14.25" customHeight="1">
      <c r="A898" s="396" t="s">
        <v>2647</v>
      </c>
      <c r="B898" s="514" t="s">
        <v>305</v>
      </c>
      <c r="C898" s="515" t="s">
        <v>2026</v>
      </c>
      <c r="D898" s="485"/>
      <c r="E898" s="386">
        <v>197937</v>
      </c>
      <c r="F898" s="482"/>
      <c r="G898" s="386"/>
      <c r="H898" s="386"/>
      <c r="I898" s="386"/>
      <c r="J898" s="386" t="s">
        <v>794</v>
      </c>
      <c r="K898" s="482" t="s">
        <v>794</v>
      </c>
      <c r="L898" s="482" t="s">
        <v>794</v>
      </c>
      <c r="M898" s="386" t="s">
        <v>791</v>
      </c>
      <c r="N898" s="386">
        <v>20.845720289999999</v>
      </c>
      <c r="O898" s="386">
        <v>92.353950499999996</v>
      </c>
      <c r="P898" s="482" t="s">
        <v>795</v>
      </c>
      <c r="Q898" s="386"/>
      <c r="R898" s="494"/>
      <c r="S898" s="400"/>
      <c r="T898" s="389">
        <v>43300</v>
      </c>
      <c r="U898" s="388"/>
      <c r="V898" s="482"/>
      <c r="W898" s="396"/>
      <c r="X898" s="17"/>
      <c r="Z898" s="17"/>
    </row>
    <row r="899" spans="1:26" ht="14.25" customHeight="1">
      <c r="A899" s="396" t="s">
        <v>2647</v>
      </c>
      <c r="B899" s="514" t="s">
        <v>305</v>
      </c>
      <c r="C899" s="515" t="s">
        <v>621</v>
      </c>
      <c r="D899" s="485" t="s">
        <v>1656</v>
      </c>
      <c r="E899" s="482">
        <v>217894</v>
      </c>
      <c r="F899" s="482"/>
      <c r="G899" s="482"/>
      <c r="H899" s="482"/>
      <c r="I899" s="482"/>
      <c r="J899" s="482" t="s">
        <v>794</v>
      </c>
      <c r="K899" s="482" t="s">
        <v>794</v>
      </c>
      <c r="L899" s="482" t="s">
        <v>794</v>
      </c>
      <c r="M899" s="482" t="s">
        <v>294</v>
      </c>
      <c r="N899" s="482">
        <v>20.822059629999998</v>
      </c>
      <c r="O899" s="482">
        <v>92.41690826</v>
      </c>
      <c r="P899" s="482" t="s">
        <v>795</v>
      </c>
      <c r="Q899" s="482" t="s">
        <v>776</v>
      </c>
      <c r="R899" s="494"/>
      <c r="S899" s="487"/>
      <c r="T899" s="506"/>
      <c r="U899" s="488"/>
      <c r="V899" s="482" t="s">
        <v>621</v>
      </c>
      <c r="W899" s="396"/>
      <c r="X899" s="17"/>
      <c r="Z899" s="17"/>
    </row>
    <row r="900" spans="1:26" ht="14.25" customHeight="1">
      <c r="A900" s="487" t="s">
        <v>2647</v>
      </c>
      <c r="B900" s="514" t="s">
        <v>305</v>
      </c>
      <c r="C900" s="515" t="s">
        <v>2809</v>
      </c>
      <c r="D900" s="485"/>
      <c r="E900" s="482">
        <v>217895</v>
      </c>
      <c r="F900" s="512" t="s">
        <v>2815</v>
      </c>
      <c r="G900" s="396"/>
      <c r="H900" s="482"/>
      <c r="I900" s="396"/>
      <c r="J900" s="386" t="s">
        <v>794</v>
      </c>
      <c r="K900" s="396" t="s">
        <v>794</v>
      </c>
      <c r="L900" s="396" t="s">
        <v>794</v>
      </c>
      <c r="M900" s="396" t="s">
        <v>294</v>
      </c>
      <c r="N900" s="396">
        <v>20.8013000488281</v>
      </c>
      <c r="O900" s="396">
        <v>92.423202514648395</v>
      </c>
      <c r="P900" s="482" t="s">
        <v>795</v>
      </c>
      <c r="Q900" s="482" t="s">
        <v>2961</v>
      </c>
      <c r="R900" s="494"/>
      <c r="S900" s="400"/>
      <c r="T900" s="506"/>
      <c r="U900" s="494"/>
      <c r="V900" s="396" t="s">
        <v>603</v>
      </c>
      <c r="W900" s="486"/>
      <c r="X900" s="17"/>
      <c r="Z900" s="17"/>
    </row>
    <row r="901" spans="1:26" ht="14.25" customHeight="1">
      <c r="A901" s="487" t="s">
        <v>2647</v>
      </c>
      <c r="B901" s="514" t="s">
        <v>305</v>
      </c>
      <c r="C901" s="515" t="s">
        <v>2972</v>
      </c>
      <c r="D901" s="485"/>
      <c r="E901" s="386"/>
      <c r="F901" s="512" t="s">
        <v>2815</v>
      </c>
      <c r="G901" s="386"/>
      <c r="H901" s="482"/>
      <c r="I901" s="386"/>
      <c r="J901" s="386" t="s">
        <v>794</v>
      </c>
      <c r="K901" s="386" t="s">
        <v>794</v>
      </c>
      <c r="L901" s="386" t="s">
        <v>794</v>
      </c>
      <c r="M901" s="386" t="s">
        <v>294</v>
      </c>
      <c r="N901" s="386"/>
      <c r="O901" s="396"/>
      <c r="P901" s="482" t="s">
        <v>795</v>
      </c>
      <c r="Q901" s="482" t="s">
        <v>2961</v>
      </c>
      <c r="R901" s="494"/>
      <c r="S901" s="400"/>
      <c r="T901" s="506"/>
      <c r="U901" s="494"/>
      <c r="V901" s="386" t="s">
        <v>603</v>
      </c>
      <c r="W901" s="486"/>
      <c r="X901" s="17"/>
      <c r="Z901" s="17"/>
    </row>
    <row r="902" spans="1:26" ht="14.25" customHeight="1">
      <c r="A902" s="487" t="s">
        <v>2647</v>
      </c>
      <c r="B902" s="514" t="s">
        <v>305</v>
      </c>
      <c r="C902" s="515" t="s">
        <v>2971</v>
      </c>
      <c r="D902" s="485"/>
      <c r="E902" s="482"/>
      <c r="F902" s="512" t="s">
        <v>2815</v>
      </c>
      <c r="G902" s="482"/>
      <c r="H902" s="482"/>
      <c r="I902" s="482"/>
      <c r="J902" s="482" t="s">
        <v>794</v>
      </c>
      <c r="K902" s="482" t="s">
        <v>794</v>
      </c>
      <c r="L902" s="482" t="s">
        <v>794</v>
      </c>
      <c r="M902" s="482" t="s">
        <v>294</v>
      </c>
      <c r="N902" s="482"/>
      <c r="O902" s="482"/>
      <c r="P902" s="482" t="s">
        <v>795</v>
      </c>
      <c r="Q902" s="482" t="s">
        <v>2961</v>
      </c>
      <c r="R902" s="494"/>
      <c r="S902" s="487"/>
      <c r="T902" s="506"/>
      <c r="U902" s="494"/>
      <c r="V902" s="482" t="s">
        <v>603</v>
      </c>
      <c r="W902" s="486"/>
      <c r="X902" s="17"/>
      <c r="Z902" s="17"/>
    </row>
    <row r="903" spans="1:26" ht="14.25" customHeight="1">
      <c r="A903" s="482" t="s">
        <v>2647</v>
      </c>
      <c r="B903" s="504" t="s">
        <v>305</v>
      </c>
      <c r="C903" s="503" t="s">
        <v>2060</v>
      </c>
      <c r="D903" s="485" t="s">
        <v>1656</v>
      </c>
      <c r="E903" s="482">
        <v>197890</v>
      </c>
      <c r="F903" s="482"/>
      <c r="G903" s="482"/>
      <c r="H903" s="482"/>
      <c r="I903" s="482"/>
      <c r="J903" s="482" t="s">
        <v>794</v>
      </c>
      <c r="K903" s="484" t="s">
        <v>794</v>
      </c>
      <c r="L903" s="484" t="s">
        <v>794</v>
      </c>
      <c r="M903" s="482" t="s">
        <v>294</v>
      </c>
      <c r="N903" s="482">
        <v>21.016569140000001</v>
      </c>
      <c r="O903" s="482">
        <v>92.307716369999994</v>
      </c>
      <c r="P903" s="482" t="s">
        <v>795</v>
      </c>
      <c r="Q903" s="482" t="s">
        <v>776</v>
      </c>
      <c r="R903" s="486"/>
      <c r="S903" s="487"/>
      <c r="T903" s="506">
        <v>43300</v>
      </c>
      <c r="U903" s="488"/>
      <c r="V903" s="482" t="s">
        <v>674</v>
      </c>
      <c r="W903" s="482"/>
      <c r="X903" s="17"/>
      <c r="Z903" s="17"/>
    </row>
    <row r="904" spans="1:26" ht="14.25" customHeight="1">
      <c r="A904" s="396" t="s">
        <v>2647</v>
      </c>
      <c r="B904" s="514" t="s">
        <v>305</v>
      </c>
      <c r="C904" s="515" t="s">
        <v>2682</v>
      </c>
      <c r="D904" s="485"/>
      <c r="E904" s="482">
        <v>197817</v>
      </c>
      <c r="F904" s="482"/>
      <c r="G904" s="386"/>
      <c r="H904" s="386"/>
      <c r="I904" s="386"/>
      <c r="J904" s="386" t="s">
        <v>794</v>
      </c>
      <c r="K904" s="386" t="s">
        <v>794</v>
      </c>
      <c r="L904" s="386" t="s">
        <v>794</v>
      </c>
      <c r="M904" s="386"/>
      <c r="N904" s="386">
        <v>21.270368576049801</v>
      </c>
      <c r="O904" s="482">
        <v>92.2763671875</v>
      </c>
      <c r="P904" s="482" t="s">
        <v>795</v>
      </c>
      <c r="Q904" s="386" t="s">
        <v>2961</v>
      </c>
      <c r="R904" s="494"/>
      <c r="S904" s="400"/>
      <c r="T904" s="389">
        <v>43769</v>
      </c>
      <c r="U904" s="494"/>
      <c r="V904" s="386"/>
      <c r="W904" s="486"/>
      <c r="X904" s="17"/>
      <c r="Z904" s="17"/>
    </row>
    <row r="905" spans="1:26" ht="14.25" customHeight="1">
      <c r="A905" s="482" t="s">
        <v>2647</v>
      </c>
      <c r="B905" s="504" t="s">
        <v>305</v>
      </c>
      <c r="C905" s="503" t="s">
        <v>322</v>
      </c>
      <c r="D905" s="431" t="s">
        <v>1656</v>
      </c>
      <c r="E905" s="484"/>
      <c r="F905" s="482"/>
      <c r="G905" s="386"/>
      <c r="H905" s="386"/>
      <c r="I905" s="386"/>
      <c r="J905" s="386" t="s">
        <v>794</v>
      </c>
      <c r="K905" s="484" t="s">
        <v>794</v>
      </c>
      <c r="L905" s="484" t="s">
        <v>794</v>
      </c>
      <c r="M905" s="386" t="s">
        <v>791</v>
      </c>
      <c r="N905" s="482"/>
      <c r="O905" s="482"/>
      <c r="P905" s="386" t="s">
        <v>795</v>
      </c>
      <c r="Q905" s="386" t="s">
        <v>776</v>
      </c>
      <c r="R905" s="486"/>
      <c r="S905" s="400"/>
      <c r="T905" s="389"/>
      <c r="U905" s="488"/>
      <c r="V905" s="482"/>
      <c r="W905" s="482"/>
      <c r="X905" s="17"/>
      <c r="Z905" s="17"/>
    </row>
    <row r="906" spans="1:26" ht="14.25" customHeight="1">
      <c r="A906" s="482" t="s">
        <v>2647</v>
      </c>
      <c r="B906" s="514" t="s">
        <v>305</v>
      </c>
      <c r="C906" s="515" t="s">
        <v>585</v>
      </c>
      <c r="D906" s="485" t="s">
        <v>1656</v>
      </c>
      <c r="E906" s="482">
        <v>220739</v>
      </c>
      <c r="F906" s="482"/>
      <c r="G906" s="386"/>
      <c r="H906" s="386"/>
      <c r="I906" s="386"/>
      <c r="J906" s="386" t="s">
        <v>794</v>
      </c>
      <c r="K906" s="484" t="s">
        <v>794</v>
      </c>
      <c r="L906" s="484" t="s">
        <v>794</v>
      </c>
      <c r="M906" s="386" t="s">
        <v>294</v>
      </c>
      <c r="N906" s="482">
        <v>20.76523972</v>
      </c>
      <c r="O906" s="482">
        <v>92.422332760000003</v>
      </c>
      <c r="P906" s="482" t="s">
        <v>795</v>
      </c>
      <c r="Q906" s="386" t="s">
        <v>776</v>
      </c>
      <c r="R906" s="494"/>
      <c r="S906" s="400"/>
      <c r="T906" s="389"/>
      <c r="U906" s="488"/>
      <c r="V906" s="386" t="s">
        <v>930</v>
      </c>
      <c r="W906" s="482"/>
      <c r="X906" s="17"/>
      <c r="Z906" s="17"/>
    </row>
    <row r="907" spans="1:26" ht="14.25" customHeight="1">
      <c r="A907" s="396" t="s">
        <v>2647</v>
      </c>
      <c r="B907" s="504" t="s">
        <v>305</v>
      </c>
      <c r="C907" s="503" t="s">
        <v>2973</v>
      </c>
      <c r="D907" s="431" t="s">
        <v>1656</v>
      </c>
      <c r="E907" s="482"/>
      <c r="F907" s="482"/>
      <c r="G907" s="482"/>
      <c r="H907" s="482"/>
      <c r="I907" s="482"/>
      <c r="J907" s="482" t="s">
        <v>794</v>
      </c>
      <c r="K907" s="484" t="s">
        <v>794</v>
      </c>
      <c r="L907" s="484" t="s">
        <v>794</v>
      </c>
      <c r="M907" s="482" t="s">
        <v>294</v>
      </c>
      <c r="N907" s="482"/>
      <c r="O907" s="482"/>
      <c r="P907" s="482" t="s">
        <v>795</v>
      </c>
      <c r="Q907" s="482" t="s">
        <v>922</v>
      </c>
      <c r="R907" s="486"/>
      <c r="S907" s="487"/>
      <c r="T907" s="506"/>
      <c r="U907" s="488"/>
      <c r="V907" s="482" t="s">
        <v>926</v>
      </c>
      <c r="W907" s="396"/>
      <c r="X907" s="17"/>
      <c r="Z907" s="17"/>
    </row>
    <row r="908" spans="1:26" ht="14.25" customHeight="1">
      <c r="A908" s="396" t="s">
        <v>2647</v>
      </c>
      <c r="B908" s="504" t="s">
        <v>305</v>
      </c>
      <c r="C908" s="503" t="s">
        <v>560</v>
      </c>
      <c r="D908" s="431" t="s">
        <v>1656</v>
      </c>
      <c r="E908" s="482">
        <v>220744</v>
      </c>
      <c r="F908" s="396"/>
      <c r="G908" s="386"/>
      <c r="H908" s="386"/>
      <c r="I908" s="396"/>
      <c r="J908" s="386" t="s">
        <v>794</v>
      </c>
      <c r="K908" s="484" t="s">
        <v>794</v>
      </c>
      <c r="L908" s="484" t="s">
        <v>794</v>
      </c>
      <c r="M908" s="386" t="s">
        <v>294</v>
      </c>
      <c r="N908" s="386">
        <v>20.71612167</v>
      </c>
      <c r="O908" s="386">
        <v>92.442459110000001</v>
      </c>
      <c r="P908" s="482" t="s">
        <v>795</v>
      </c>
      <c r="Q908" s="386" t="s">
        <v>776</v>
      </c>
      <c r="R908" s="486"/>
      <c r="S908" s="400"/>
      <c r="T908" s="389"/>
      <c r="U908" s="388"/>
      <c r="V908" s="386" t="s">
        <v>926</v>
      </c>
      <c r="W908" s="396"/>
      <c r="X908" s="17"/>
      <c r="Z908" s="17"/>
    </row>
    <row r="909" spans="1:26" ht="14.25" customHeight="1">
      <c r="A909" s="482" t="s">
        <v>2647</v>
      </c>
      <c r="B909" s="514" t="s">
        <v>305</v>
      </c>
      <c r="C909" s="515" t="s">
        <v>526</v>
      </c>
      <c r="D909" s="485" t="s">
        <v>1656</v>
      </c>
      <c r="E909" s="482">
        <v>198024</v>
      </c>
      <c r="F909" s="482"/>
      <c r="G909" s="482"/>
      <c r="H909" s="482"/>
      <c r="I909" s="482"/>
      <c r="J909" s="482" t="s">
        <v>794</v>
      </c>
      <c r="K909" s="484" t="s">
        <v>794</v>
      </c>
      <c r="L909" s="484" t="s">
        <v>794</v>
      </c>
      <c r="M909" s="482" t="s">
        <v>791</v>
      </c>
      <c r="N909" s="482">
        <v>20.669300079999999</v>
      </c>
      <c r="O909" s="482">
        <v>92.46575928</v>
      </c>
      <c r="P909" s="482" t="s">
        <v>795</v>
      </c>
      <c r="Q909" s="482" t="s">
        <v>776</v>
      </c>
      <c r="R909" s="494"/>
      <c r="S909" s="487"/>
      <c r="T909" s="506">
        <v>42745</v>
      </c>
      <c r="U909" s="488"/>
      <c r="V909" s="482" t="s">
        <v>920</v>
      </c>
      <c r="W909" s="482"/>
      <c r="X909" s="17"/>
      <c r="Z909" s="17"/>
    </row>
    <row r="910" spans="1:26" ht="14.25" customHeight="1">
      <c r="A910" s="396" t="s">
        <v>2647</v>
      </c>
      <c r="B910" s="504" t="s">
        <v>305</v>
      </c>
      <c r="C910" s="503" t="s">
        <v>680</v>
      </c>
      <c r="D910" s="431" t="s">
        <v>1656</v>
      </c>
      <c r="E910" s="484">
        <v>197887</v>
      </c>
      <c r="F910" s="482"/>
      <c r="G910" s="396"/>
      <c r="H910" s="482"/>
      <c r="I910" s="396"/>
      <c r="J910" s="396" t="s">
        <v>794</v>
      </c>
      <c r="K910" s="484" t="s">
        <v>794</v>
      </c>
      <c r="L910" s="484" t="s">
        <v>794</v>
      </c>
      <c r="M910" s="396" t="s">
        <v>791</v>
      </c>
      <c r="N910" s="396">
        <v>21.04866028</v>
      </c>
      <c r="O910" s="396">
        <v>92.293350219999994</v>
      </c>
      <c r="P910" s="396" t="s">
        <v>795</v>
      </c>
      <c r="Q910" s="482" t="s">
        <v>776</v>
      </c>
      <c r="R910" s="486"/>
      <c r="S910" s="487"/>
      <c r="T910" s="506"/>
      <c r="U910" s="401"/>
      <c r="V910" s="396" t="s">
        <v>680</v>
      </c>
      <c r="W910" s="396"/>
      <c r="X910" s="17"/>
      <c r="Z910" s="17"/>
    </row>
    <row r="911" spans="1:26" ht="14.25" customHeight="1">
      <c r="A911" s="482" t="s">
        <v>2647</v>
      </c>
      <c r="B911" s="504" t="s">
        <v>305</v>
      </c>
      <c r="C911" s="503" t="s">
        <v>2051</v>
      </c>
      <c r="D911" s="431"/>
      <c r="E911" s="482">
        <v>198094</v>
      </c>
      <c r="F911" s="482"/>
      <c r="G911" s="482"/>
      <c r="H911" s="482"/>
      <c r="I911" s="482"/>
      <c r="J911" s="482" t="s">
        <v>794</v>
      </c>
      <c r="K911" s="482" t="s">
        <v>794</v>
      </c>
      <c r="L911" s="482" t="s">
        <v>794</v>
      </c>
      <c r="M911" s="482" t="s">
        <v>294</v>
      </c>
      <c r="N911" s="482">
        <v>21.157270430000001</v>
      </c>
      <c r="O911" s="482">
        <v>92.209739690000006</v>
      </c>
      <c r="P911" s="482" t="s">
        <v>795</v>
      </c>
      <c r="Q911" s="482"/>
      <c r="R911" s="486"/>
      <c r="S911" s="487"/>
      <c r="T911" s="506">
        <v>43300</v>
      </c>
      <c r="U911" s="488"/>
      <c r="V911" s="482"/>
      <c r="W911" s="482"/>
      <c r="X911" s="17"/>
      <c r="Z911" s="17"/>
    </row>
    <row r="912" spans="1:26" ht="14.25" customHeight="1">
      <c r="A912" s="396" t="s">
        <v>2647</v>
      </c>
      <c r="B912" s="504" t="s">
        <v>305</v>
      </c>
      <c r="C912" s="503" t="s">
        <v>2038</v>
      </c>
      <c r="D912" s="431"/>
      <c r="E912" s="484">
        <v>197950</v>
      </c>
      <c r="F912" s="482"/>
      <c r="G912" s="482"/>
      <c r="H912" s="482"/>
      <c r="I912" s="482"/>
      <c r="J912" s="482" t="s">
        <v>794</v>
      </c>
      <c r="K912" s="482" t="s">
        <v>794</v>
      </c>
      <c r="L912" s="482" t="s">
        <v>794</v>
      </c>
      <c r="M912" s="482" t="s">
        <v>791</v>
      </c>
      <c r="N912" s="482">
        <v>20.914119719999999</v>
      </c>
      <c r="O912" s="484">
        <v>92.3506012</v>
      </c>
      <c r="P912" s="482" t="s">
        <v>795</v>
      </c>
      <c r="Q912" s="482"/>
      <c r="R912" s="486"/>
      <c r="S912" s="487"/>
      <c r="T912" s="506">
        <v>43300</v>
      </c>
      <c r="U912" s="488"/>
      <c r="V912" s="482"/>
      <c r="W912" s="396"/>
      <c r="X912" s="17"/>
      <c r="Z912" s="17"/>
    </row>
    <row r="913" spans="1:26" ht="14.25" customHeight="1">
      <c r="A913" s="396" t="s">
        <v>2647</v>
      </c>
      <c r="B913" s="514" t="s">
        <v>305</v>
      </c>
      <c r="C913" s="515" t="s">
        <v>2067</v>
      </c>
      <c r="D913" s="485"/>
      <c r="E913" s="482">
        <v>198075</v>
      </c>
      <c r="F913" s="396"/>
      <c r="G913" s="386"/>
      <c r="H913" s="386"/>
      <c r="I913" s="386"/>
      <c r="J913" s="386" t="s">
        <v>794</v>
      </c>
      <c r="K913" s="386" t="s">
        <v>794</v>
      </c>
      <c r="L913" s="386" t="s">
        <v>794</v>
      </c>
      <c r="M913" s="386" t="s">
        <v>294</v>
      </c>
      <c r="N913" s="386">
        <v>20.543220519999998</v>
      </c>
      <c r="O913" s="386">
        <v>92.544296259999996</v>
      </c>
      <c r="P913" s="386" t="s">
        <v>795</v>
      </c>
      <c r="Q913" s="386"/>
      <c r="R913" s="494"/>
      <c r="S913" s="400"/>
      <c r="T913" s="389">
        <v>43300</v>
      </c>
      <c r="U913" s="388"/>
      <c r="V913" s="386"/>
      <c r="W913" s="396"/>
      <c r="X913" s="17"/>
      <c r="Z913" s="17"/>
    </row>
    <row r="914" spans="1:26" ht="14.25" customHeight="1">
      <c r="A914" s="482" t="s">
        <v>2647</v>
      </c>
      <c r="B914" s="504" t="s">
        <v>305</v>
      </c>
      <c r="C914" s="503" t="s">
        <v>492</v>
      </c>
      <c r="D914" s="431" t="s">
        <v>1656</v>
      </c>
      <c r="E914" s="482">
        <v>198075</v>
      </c>
      <c r="F914" s="484"/>
      <c r="G914" s="386"/>
      <c r="H914" s="386"/>
      <c r="I914" s="386"/>
      <c r="J914" s="386" t="s">
        <v>794</v>
      </c>
      <c r="K914" s="396" t="s">
        <v>794</v>
      </c>
      <c r="L914" s="396" t="s">
        <v>794</v>
      </c>
      <c r="M914" s="386" t="s">
        <v>294</v>
      </c>
      <c r="N914" s="386">
        <v>20.543220519999998</v>
      </c>
      <c r="O914" s="386">
        <v>92.544296259999996</v>
      </c>
      <c r="P914" s="386" t="s">
        <v>795</v>
      </c>
      <c r="Q914" s="386" t="s">
        <v>776</v>
      </c>
      <c r="R914" s="486"/>
      <c r="S914" s="487"/>
      <c r="T914" s="389"/>
      <c r="U914" s="488"/>
      <c r="V914" s="482" t="s">
        <v>492</v>
      </c>
      <c r="W914" s="482"/>
      <c r="X914" s="17"/>
      <c r="Z914" s="17"/>
    </row>
    <row r="915" spans="1:26" ht="14.25" customHeight="1">
      <c r="A915" s="396" t="s">
        <v>2647</v>
      </c>
      <c r="B915" s="514" t="s">
        <v>305</v>
      </c>
      <c r="C915" s="515" t="s">
        <v>516</v>
      </c>
      <c r="D915" s="485" t="s">
        <v>1656</v>
      </c>
      <c r="E915" s="484">
        <v>198058</v>
      </c>
      <c r="F915" s="484"/>
      <c r="G915" s="482"/>
      <c r="H915" s="482"/>
      <c r="I915" s="482"/>
      <c r="J915" s="482" t="s">
        <v>794</v>
      </c>
      <c r="K915" s="482" t="s">
        <v>794</v>
      </c>
      <c r="L915" s="482" t="s">
        <v>794</v>
      </c>
      <c r="M915" s="482" t="s">
        <v>791</v>
      </c>
      <c r="N915" s="482">
        <v>20.64685059</v>
      </c>
      <c r="O915" s="484">
        <v>92.493553160000005</v>
      </c>
      <c r="P915" s="482" t="s">
        <v>795</v>
      </c>
      <c r="Q915" s="482" t="s">
        <v>776</v>
      </c>
      <c r="R915" s="494"/>
      <c r="S915" s="487"/>
      <c r="T915" s="506"/>
      <c r="U915" s="488"/>
      <c r="V915" s="482" t="s">
        <v>516</v>
      </c>
      <c r="W915" s="396"/>
      <c r="X915" s="17"/>
      <c r="Z915" s="17"/>
    </row>
    <row r="916" spans="1:26" ht="14.25" customHeight="1">
      <c r="A916" s="482" t="s">
        <v>2647</v>
      </c>
      <c r="B916" s="504" t="s">
        <v>305</v>
      </c>
      <c r="C916" s="503" t="s">
        <v>2030</v>
      </c>
      <c r="D916" s="431"/>
      <c r="E916" s="396">
        <v>197943</v>
      </c>
      <c r="F916" s="484"/>
      <c r="G916" s="386"/>
      <c r="H916" s="386"/>
      <c r="I916" s="386"/>
      <c r="J916" s="386" t="s">
        <v>794</v>
      </c>
      <c r="K916" s="484" t="s">
        <v>794</v>
      </c>
      <c r="L916" s="484" t="s">
        <v>794</v>
      </c>
      <c r="M916" s="386" t="s">
        <v>791</v>
      </c>
      <c r="N916" s="386">
        <v>20.895000459999999</v>
      </c>
      <c r="O916" s="386">
        <v>92.398574830000001</v>
      </c>
      <c r="P916" s="386" t="s">
        <v>795</v>
      </c>
      <c r="Q916" s="386"/>
      <c r="R916" s="486"/>
      <c r="S916" s="400"/>
      <c r="T916" s="389">
        <v>43300</v>
      </c>
      <c r="U916" s="488"/>
      <c r="V916" s="386"/>
      <c r="W916" s="482"/>
      <c r="X916" s="17"/>
      <c r="Z916" s="17"/>
    </row>
    <row r="917" spans="1:26" ht="14.25" customHeight="1">
      <c r="A917" s="482" t="s">
        <v>2647</v>
      </c>
      <c r="B917" s="514" t="s">
        <v>305</v>
      </c>
      <c r="C917" s="515" t="s">
        <v>2970</v>
      </c>
      <c r="D917" s="485"/>
      <c r="E917" s="482">
        <v>197943</v>
      </c>
      <c r="F917" s="484"/>
      <c r="G917" s="482"/>
      <c r="H917" s="482"/>
      <c r="I917" s="482"/>
      <c r="J917" s="482" t="s">
        <v>794</v>
      </c>
      <c r="K917" s="482" t="s">
        <v>794</v>
      </c>
      <c r="L917" s="482" t="s">
        <v>794</v>
      </c>
      <c r="M917" s="482" t="s">
        <v>791</v>
      </c>
      <c r="N917" s="482">
        <v>20.895000459999999</v>
      </c>
      <c r="O917" s="482">
        <v>92.398574830000001</v>
      </c>
      <c r="P917" s="482" t="s">
        <v>795</v>
      </c>
      <c r="Q917" s="482"/>
      <c r="R917" s="494"/>
      <c r="S917" s="487"/>
      <c r="T917" s="506">
        <v>43300</v>
      </c>
      <c r="U917" s="488"/>
      <c r="V917" s="482"/>
      <c r="W917" s="482"/>
      <c r="X917" s="17"/>
      <c r="Z917" s="17"/>
    </row>
    <row r="918" spans="1:26" ht="14.25" customHeight="1">
      <c r="A918" s="396" t="s">
        <v>2647</v>
      </c>
      <c r="B918" s="504" t="s">
        <v>305</v>
      </c>
      <c r="C918" s="503" t="s">
        <v>1999</v>
      </c>
      <c r="D918" s="431"/>
      <c r="E918" s="484">
        <v>197878</v>
      </c>
      <c r="F918" s="482" t="s">
        <v>1998</v>
      </c>
      <c r="G918" s="482"/>
      <c r="H918" s="482"/>
      <c r="I918" s="482"/>
      <c r="J918" s="482" t="s">
        <v>794</v>
      </c>
      <c r="K918" s="484" t="s">
        <v>794</v>
      </c>
      <c r="L918" s="484" t="s">
        <v>794</v>
      </c>
      <c r="M918" s="482" t="s">
        <v>791</v>
      </c>
      <c r="N918" s="482">
        <v>21.012830730000001</v>
      </c>
      <c r="O918" s="482">
        <v>92.338958739999995</v>
      </c>
      <c r="P918" s="482" t="s">
        <v>795</v>
      </c>
      <c r="Q918" s="482"/>
      <c r="R918" s="486"/>
      <c r="S918" s="487"/>
      <c r="T918" s="506">
        <v>43300</v>
      </c>
      <c r="U918" s="488"/>
      <c r="V918" s="482"/>
      <c r="W918" s="396"/>
      <c r="X918" s="17"/>
      <c r="Z918" s="17"/>
    </row>
    <row r="919" spans="1:26" ht="14.25" customHeight="1">
      <c r="A919" s="396" t="s">
        <v>2647</v>
      </c>
      <c r="B919" s="504" t="s">
        <v>305</v>
      </c>
      <c r="C919" s="503" t="s">
        <v>676</v>
      </c>
      <c r="D919" s="431" t="s">
        <v>1656</v>
      </c>
      <c r="E919" s="386">
        <v>197880</v>
      </c>
      <c r="F919" s="482"/>
      <c r="G919" s="386"/>
      <c r="H919" s="386"/>
      <c r="I919" s="386"/>
      <c r="J919" s="386" t="s">
        <v>794</v>
      </c>
      <c r="K919" s="484" t="s">
        <v>794</v>
      </c>
      <c r="L919" s="484" t="s">
        <v>794</v>
      </c>
      <c r="M919" s="386" t="s">
        <v>791</v>
      </c>
      <c r="N919" s="386">
        <v>21.021259310000001</v>
      </c>
      <c r="O919" s="396">
        <v>92.339538570000002</v>
      </c>
      <c r="P919" s="482" t="s">
        <v>795</v>
      </c>
      <c r="Q919" s="386" t="s">
        <v>776</v>
      </c>
      <c r="R919" s="486"/>
      <c r="S919" s="400"/>
      <c r="T919" s="389"/>
      <c r="U919" s="388"/>
      <c r="V919" s="386" t="s">
        <v>676</v>
      </c>
      <c r="W919" s="396"/>
      <c r="X919" s="17"/>
      <c r="Z919" s="17"/>
    </row>
    <row r="920" spans="1:26" ht="14.25" customHeight="1">
      <c r="A920" s="396" t="s">
        <v>2647</v>
      </c>
      <c r="B920" s="514" t="s">
        <v>305</v>
      </c>
      <c r="C920" s="515" t="s">
        <v>2034</v>
      </c>
      <c r="D920" s="485"/>
      <c r="E920" s="482"/>
      <c r="F920" s="386"/>
      <c r="G920" s="386"/>
      <c r="H920" s="386"/>
      <c r="I920" s="386"/>
      <c r="J920" s="386" t="s">
        <v>794</v>
      </c>
      <c r="K920" s="484" t="s">
        <v>794</v>
      </c>
      <c r="L920" s="484" t="s">
        <v>794</v>
      </c>
      <c r="M920" s="386" t="s">
        <v>791</v>
      </c>
      <c r="N920" s="482"/>
      <c r="O920" s="482"/>
      <c r="P920" s="386" t="s">
        <v>795</v>
      </c>
      <c r="Q920" s="386"/>
      <c r="R920" s="494"/>
      <c r="S920" s="487"/>
      <c r="T920" s="389">
        <v>43300</v>
      </c>
      <c r="U920" s="388"/>
      <c r="V920" s="386"/>
      <c r="W920" s="396"/>
      <c r="X920" s="17"/>
      <c r="Z920" s="17"/>
    </row>
    <row r="921" spans="1:26" ht="14.25" customHeight="1">
      <c r="A921" s="396" t="s">
        <v>2647</v>
      </c>
      <c r="B921" s="504" t="s">
        <v>305</v>
      </c>
      <c r="C921" s="503" t="s">
        <v>564</v>
      </c>
      <c r="D921" s="431" t="s">
        <v>1656</v>
      </c>
      <c r="E921" s="482">
        <v>198048</v>
      </c>
      <c r="F921" s="484"/>
      <c r="G921" s="482"/>
      <c r="H921" s="482"/>
      <c r="I921" s="482"/>
      <c r="J921" s="482" t="s">
        <v>794</v>
      </c>
      <c r="K921" s="482" t="s">
        <v>794</v>
      </c>
      <c r="L921" s="482" t="s">
        <v>794</v>
      </c>
      <c r="M921" s="482" t="s">
        <v>791</v>
      </c>
      <c r="N921" s="482">
        <v>20.720079420000001</v>
      </c>
      <c r="O921" s="482">
        <v>92.423591610000003</v>
      </c>
      <c r="P921" s="482" t="s">
        <v>795</v>
      </c>
      <c r="Q921" s="482" t="s">
        <v>776</v>
      </c>
      <c r="R921" s="486"/>
      <c r="S921" s="487"/>
      <c r="T921" s="506"/>
      <c r="U921" s="488"/>
      <c r="V921" s="482" t="s">
        <v>564</v>
      </c>
      <c r="W921" s="396"/>
      <c r="X921" s="17"/>
      <c r="Z921" s="17"/>
    </row>
    <row r="922" spans="1:26" ht="14.25" customHeight="1">
      <c r="A922" s="396" t="s">
        <v>2647</v>
      </c>
      <c r="B922" s="514" t="s">
        <v>305</v>
      </c>
      <c r="C922" s="515" t="s">
        <v>2090</v>
      </c>
      <c r="D922" s="485"/>
      <c r="E922" s="386">
        <v>220728</v>
      </c>
      <c r="F922" s="396"/>
      <c r="G922" s="386"/>
      <c r="H922" s="386"/>
      <c r="I922" s="386"/>
      <c r="J922" s="386" t="s">
        <v>794</v>
      </c>
      <c r="K922" s="386" t="s">
        <v>794</v>
      </c>
      <c r="L922" s="386" t="s">
        <v>794</v>
      </c>
      <c r="M922" s="386" t="s">
        <v>2068</v>
      </c>
      <c r="N922" s="386">
        <v>21.090957639999999</v>
      </c>
      <c r="O922" s="386">
        <v>92.361534120000002</v>
      </c>
      <c r="P922" s="482" t="s">
        <v>795</v>
      </c>
      <c r="Q922" s="386"/>
      <c r="R922" s="494"/>
      <c r="S922" s="487"/>
      <c r="T922" s="389">
        <v>43300</v>
      </c>
      <c r="U922" s="388"/>
      <c r="V922" s="386"/>
      <c r="W922" s="396"/>
      <c r="X922" s="17"/>
      <c r="Z922" s="17"/>
    </row>
    <row r="923" spans="1:26" ht="14.25" customHeight="1">
      <c r="A923" s="482" t="s">
        <v>2647</v>
      </c>
      <c r="B923" s="514" t="s">
        <v>305</v>
      </c>
      <c r="C923" s="515" t="s">
        <v>681</v>
      </c>
      <c r="D923" s="485" t="s">
        <v>1656</v>
      </c>
      <c r="E923" s="386">
        <v>197883</v>
      </c>
      <c r="F923" s="386"/>
      <c r="G923" s="386"/>
      <c r="H923" s="386"/>
      <c r="I923" s="386"/>
      <c r="J923" s="386" t="s">
        <v>794</v>
      </c>
      <c r="K923" s="386" t="s">
        <v>794</v>
      </c>
      <c r="L923" s="386" t="s">
        <v>794</v>
      </c>
      <c r="M923" s="386" t="s">
        <v>791</v>
      </c>
      <c r="N923" s="386">
        <v>21.05369949</v>
      </c>
      <c r="O923" s="386">
        <v>92.324119569999993</v>
      </c>
      <c r="P923" s="386" t="s">
        <v>795</v>
      </c>
      <c r="Q923" s="386" t="s">
        <v>776</v>
      </c>
      <c r="R923" s="494"/>
      <c r="S923" s="400"/>
      <c r="T923" s="389"/>
      <c r="U923" s="488"/>
      <c r="V923" s="386" t="s">
        <v>952</v>
      </c>
      <c r="W923" s="482"/>
      <c r="X923" s="17"/>
      <c r="Z923" s="17"/>
    </row>
    <row r="924" spans="1:26" ht="14.25" customHeight="1">
      <c r="A924" s="396" t="s">
        <v>2647</v>
      </c>
      <c r="B924" s="514" t="s">
        <v>305</v>
      </c>
      <c r="C924" s="503" t="s">
        <v>675</v>
      </c>
      <c r="D924" s="485" t="s">
        <v>1656</v>
      </c>
      <c r="E924" s="386">
        <v>197879</v>
      </c>
      <c r="F924" s="484"/>
      <c r="G924" s="386"/>
      <c r="H924" s="386"/>
      <c r="I924" s="386"/>
      <c r="J924" s="386" t="s">
        <v>794</v>
      </c>
      <c r="K924" s="386" t="s">
        <v>794</v>
      </c>
      <c r="L924" s="386" t="s">
        <v>794</v>
      </c>
      <c r="M924" s="386" t="s">
        <v>791</v>
      </c>
      <c r="N924" s="396">
        <v>21.0184803</v>
      </c>
      <c r="O924" s="396">
        <v>92.333999629999994</v>
      </c>
      <c r="P924" s="386" t="s">
        <v>795</v>
      </c>
      <c r="Q924" s="484" t="s">
        <v>776</v>
      </c>
      <c r="R924" s="494"/>
      <c r="S924" s="400"/>
      <c r="T924" s="507"/>
      <c r="U924" s="388"/>
      <c r="V924" s="386" t="s">
        <v>675</v>
      </c>
      <c r="W924" s="396"/>
      <c r="X924" s="17"/>
      <c r="Z924" s="17"/>
    </row>
    <row r="925" spans="1:26" ht="14.25" customHeight="1">
      <c r="A925" s="396" t="s">
        <v>2647</v>
      </c>
      <c r="B925" s="514" t="s">
        <v>305</v>
      </c>
      <c r="C925" s="515" t="s">
        <v>323</v>
      </c>
      <c r="D925" s="485" t="s">
        <v>1656</v>
      </c>
      <c r="E925" s="484"/>
      <c r="F925" s="386"/>
      <c r="G925" s="386"/>
      <c r="H925" s="386"/>
      <c r="I925" s="386"/>
      <c r="J925" s="386" t="s">
        <v>794</v>
      </c>
      <c r="K925" s="386" t="s">
        <v>794</v>
      </c>
      <c r="L925" s="386" t="s">
        <v>794</v>
      </c>
      <c r="M925" s="386" t="s">
        <v>294</v>
      </c>
      <c r="N925" s="386"/>
      <c r="O925" s="484"/>
      <c r="P925" s="386" t="s">
        <v>795</v>
      </c>
      <c r="Q925" s="386" t="s">
        <v>776</v>
      </c>
      <c r="R925" s="494"/>
      <c r="S925" s="487"/>
      <c r="T925" s="389"/>
      <c r="U925" s="388"/>
      <c r="V925" s="386" t="s">
        <v>323</v>
      </c>
      <c r="W925" s="396"/>
      <c r="X925" s="17"/>
      <c r="Z925" s="17"/>
    </row>
    <row r="926" spans="1:26" ht="14.25" customHeight="1">
      <c r="A926" s="482" t="s">
        <v>2647</v>
      </c>
      <c r="B926" s="504" t="s">
        <v>305</v>
      </c>
      <c r="C926" s="503" t="s">
        <v>597</v>
      </c>
      <c r="D926" s="431" t="s">
        <v>1656</v>
      </c>
      <c r="E926" s="484">
        <v>198001</v>
      </c>
      <c r="F926" s="482"/>
      <c r="G926" s="482"/>
      <c r="H926" s="482"/>
      <c r="I926" s="482"/>
      <c r="J926" s="482" t="s">
        <v>794</v>
      </c>
      <c r="K926" s="482" t="s">
        <v>794</v>
      </c>
      <c r="L926" s="482" t="s">
        <v>794</v>
      </c>
      <c r="M926" s="482" t="s">
        <v>791</v>
      </c>
      <c r="N926" s="482">
        <v>20.78729057</v>
      </c>
      <c r="O926" s="482">
        <v>92.401252749999998</v>
      </c>
      <c r="P926" s="482" t="s">
        <v>795</v>
      </c>
      <c r="Q926" s="482" t="s">
        <v>776</v>
      </c>
      <c r="R926" s="486"/>
      <c r="S926" s="487"/>
      <c r="T926" s="506"/>
      <c r="U926" s="488"/>
      <c r="V926" s="482" t="s">
        <v>597</v>
      </c>
      <c r="W926" s="482"/>
      <c r="X926" s="17"/>
      <c r="Z926" s="17"/>
    </row>
    <row r="927" spans="1:26" ht="14.25" customHeight="1">
      <c r="A927" s="482" t="s">
        <v>2647</v>
      </c>
      <c r="B927" s="504" t="s">
        <v>305</v>
      </c>
      <c r="C927" s="503" t="s">
        <v>2042</v>
      </c>
      <c r="D927" s="431"/>
      <c r="E927" s="482">
        <v>197987</v>
      </c>
      <c r="F927" s="484"/>
      <c r="G927" s="482"/>
      <c r="H927" s="482"/>
      <c r="I927" s="482"/>
      <c r="J927" s="482" t="s">
        <v>794</v>
      </c>
      <c r="K927" s="482" t="s">
        <v>794</v>
      </c>
      <c r="L927" s="482" t="s">
        <v>794</v>
      </c>
      <c r="M927" s="482" t="s">
        <v>791</v>
      </c>
      <c r="N927" s="482">
        <v>20.81588936</v>
      </c>
      <c r="O927" s="482">
        <v>92.372566219999996</v>
      </c>
      <c r="P927" s="482" t="s">
        <v>795</v>
      </c>
      <c r="Q927" s="482"/>
      <c r="R927" s="486"/>
      <c r="S927" s="487"/>
      <c r="T927" s="506">
        <v>43300</v>
      </c>
      <c r="U927" s="488"/>
      <c r="V927" s="482"/>
      <c r="W927" s="482"/>
      <c r="X927" s="17"/>
      <c r="Z927" s="17"/>
    </row>
    <row r="928" spans="1:26" ht="14.25" customHeight="1">
      <c r="A928" s="396" t="s">
        <v>2647</v>
      </c>
      <c r="B928" s="514" t="s">
        <v>305</v>
      </c>
      <c r="C928" s="515" t="s">
        <v>2084</v>
      </c>
      <c r="D928" s="485"/>
      <c r="E928" s="396">
        <v>198089</v>
      </c>
      <c r="F928" s="484"/>
      <c r="G928" s="386"/>
      <c r="H928" s="396"/>
      <c r="I928" s="396"/>
      <c r="J928" s="396" t="s">
        <v>794</v>
      </c>
      <c r="K928" s="396" t="s">
        <v>794</v>
      </c>
      <c r="L928" s="396" t="s">
        <v>794</v>
      </c>
      <c r="M928" s="396" t="s">
        <v>2071</v>
      </c>
      <c r="N928" s="482">
        <v>21.19529915</v>
      </c>
      <c r="O928" s="482">
        <v>92.221542360000001</v>
      </c>
      <c r="P928" s="386" t="s">
        <v>795</v>
      </c>
      <c r="Q928" s="396"/>
      <c r="R928" s="494"/>
      <c r="S928" s="400"/>
      <c r="T928" s="412">
        <v>43300</v>
      </c>
      <c r="U928" s="401"/>
      <c r="V928" s="386"/>
      <c r="W928" s="396"/>
      <c r="X928" s="17"/>
      <c r="Z928" s="17"/>
    </row>
    <row r="929" spans="1:26" ht="14.25" customHeight="1">
      <c r="A929" s="482" t="s">
        <v>2647</v>
      </c>
      <c r="B929" s="504" t="s">
        <v>305</v>
      </c>
      <c r="C929" s="503" t="s">
        <v>2064</v>
      </c>
      <c r="D929" s="431"/>
      <c r="E929" s="482">
        <v>197922</v>
      </c>
      <c r="F929" s="482"/>
      <c r="G929" s="482"/>
      <c r="H929" s="482"/>
      <c r="I929" s="482"/>
      <c r="J929" s="386" t="s">
        <v>794</v>
      </c>
      <c r="K929" s="386" t="s">
        <v>794</v>
      </c>
      <c r="L929" s="386" t="s">
        <v>794</v>
      </c>
      <c r="M929" s="482" t="s">
        <v>791</v>
      </c>
      <c r="N929" s="482">
        <v>20.93643951</v>
      </c>
      <c r="O929" s="482">
        <v>92.314498900000004</v>
      </c>
      <c r="P929" s="482" t="s">
        <v>795</v>
      </c>
      <c r="Q929" s="482"/>
      <c r="R929" s="486"/>
      <c r="S929" s="487"/>
      <c r="T929" s="506">
        <v>43300</v>
      </c>
      <c r="U929" s="488"/>
      <c r="V929" s="482"/>
      <c r="W929" s="482"/>
      <c r="X929" s="17"/>
      <c r="Z929" s="17"/>
    </row>
    <row r="930" spans="1:26" ht="14.25" customHeight="1">
      <c r="A930" s="396" t="s">
        <v>2647</v>
      </c>
      <c r="B930" s="504" t="s">
        <v>305</v>
      </c>
      <c r="C930" s="503" t="s">
        <v>1901</v>
      </c>
      <c r="D930" s="431"/>
      <c r="E930" s="482">
        <v>197961</v>
      </c>
      <c r="F930" s="484"/>
      <c r="G930" s="386"/>
      <c r="H930" s="386"/>
      <c r="I930" s="386"/>
      <c r="J930" s="386" t="s">
        <v>794</v>
      </c>
      <c r="K930" s="386" t="s">
        <v>794</v>
      </c>
      <c r="L930" s="396" t="s">
        <v>794</v>
      </c>
      <c r="M930" s="386" t="s">
        <v>791</v>
      </c>
      <c r="N930" s="386">
        <v>20.903369900000001</v>
      </c>
      <c r="O930" s="386">
        <v>92.332237239999998</v>
      </c>
      <c r="P930" s="482" t="s">
        <v>795</v>
      </c>
      <c r="Q930" s="386" t="s">
        <v>1904</v>
      </c>
      <c r="R930" s="486"/>
      <c r="S930" s="400"/>
      <c r="T930" s="389">
        <v>43245</v>
      </c>
      <c r="U930" s="388"/>
      <c r="V930" s="386"/>
      <c r="W930" s="396"/>
      <c r="X930" s="17"/>
      <c r="Z930" s="17"/>
    </row>
    <row r="931" spans="1:26" ht="14.25" customHeight="1">
      <c r="A931" s="482" t="s">
        <v>2647</v>
      </c>
      <c r="B931" s="504" t="s">
        <v>305</v>
      </c>
      <c r="C931" s="503" t="s">
        <v>2974</v>
      </c>
      <c r="D931" s="431"/>
      <c r="E931" s="396">
        <v>197848</v>
      </c>
      <c r="F931" s="484"/>
      <c r="G931" s="396"/>
      <c r="H931" s="396"/>
      <c r="I931" s="396"/>
      <c r="J931" s="386" t="s">
        <v>794</v>
      </c>
      <c r="K931" s="386" t="s">
        <v>794</v>
      </c>
      <c r="L931" s="396" t="s">
        <v>794</v>
      </c>
      <c r="M931" s="386"/>
      <c r="N931" s="386">
        <v>21.139829635620099</v>
      </c>
      <c r="O931" s="386">
        <v>92.330848693847699</v>
      </c>
      <c r="P931" s="396" t="s">
        <v>795</v>
      </c>
      <c r="Q931" s="386"/>
      <c r="R931" s="486"/>
      <c r="S931" s="400"/>
      <c r="T931" s="389">
        <v>43768</v>
      </c>
      <c r="U931" s="488"/>
      <c r="V931" s="396"/>
      <c r="W931" s="482"/>
      <c r="X931" s="17"/>
      <c r="Z931" s="17"/>
    </row>
    <row r="932" spans="1:26" ht="14.25" customHeight="1">
      <c r="A932" s="482" t="s">
        <v>2647</v>
      </c>
      <c r="B932" s="504" t="s">
        <v>305</v>
      </c>
      <c r="C932" s="503" t="s">
        <v>2082</v>
      </c>
      <c r="D932" s="431"/>
      <c r="E932" s="482">
        <v>197847</v>
      </c>
      <c r="F932" s="484"/>
      <c r="G932" s="482"/>
      <c r="H932" s="482"/>
      <c r="I932" s="482"/>
      <c r="J932" s="482" t="s">
        <v>794</v>
      </c>
      <c r="K932" s="482" t="s">
        <v>794</v>
      </c>
      <c r="L932" s="482" t="s">
        <v>794</v>
      </c>
      <c r="M932" s="482" t="s">
        <v>294</v>
      </c>
      <c r="N932" s="482">
        <v>21.134050370000001</v>
      </c>
      <c r="O932" s="482">
        <v>92.323478699999995</v>
      </c>
      <c r="P932" s="482" t="s">
        <v>795</v>
      </c>
      <c r="Q932" s="482"/>
      <c r="R932" s="486"/>
      <c r="S932" s="487"/>
      <c r="T932" s="506">
        <v>43300</v>
      </c>
      <c r="U932" s="488"/>
      <c r="V932" s="482"/>
      <c r="W932" s="482"/>
      <c r="X932" s="17"/>
      <c r="Z932" s="17"/>
    </row>
    <row r="933" spans="1:26" ht="14.25" customHeight="1">
      <c r="A933" s="482" t="s">
        <v>2647</v>
      </c>
      <c r="B933" s="504" t="s">
        <v>305</v>
      </c>
      <c r="C933" s="503" t="s">
        <v>2088</v>
      </c>
      <c r="D933" s="431"/>
      <c r="E933" s="482">
        <v>220706</v>
      </c>
      <c r="F933" s="386"/>
      <c r="G933" s="386"/>
      <c r="H933" s="386"/>
      <c r="I933" s="386"/>
      <c r="J933" s="386" t="s">
        <v>794</v>
      </c>
      <c r="K933" s="386" t="s">
        <v>794</v>
      </c>
      <c r="L933" s="386" t="s">
        <v>794</v>
      </c>
      <c r="M933" s="386" t="s">
        <v>2072</v>
      </c>
      <c r="N933" s="482">
        <v>21.2600956</v>
      </c>
      <c r="O933" s="482">
        <v>92.278442380000001</v>
      </c>
      <c r="P933" s="396" t="s">
        <v>795</v>
      </c>
      <c r="Q933" s="386"/>
      <c r="R933" s="486"/>
      <c r="S933" s="400"/>
      <c r="T933" s="389">
        <v>43300</v>
      </c>
      <c r="U933" s="488"/>
      <c r="V933" s="482"/>
      <c r="W933" s="482"/>
      <c r="X933" s="17"/>
      <c r="Z933" s="17"/>
    </row>
    <row r="934" spans="1:26" ht="14.25" customHeight="1">
      <c r="A934" s="482" t="s">
        <v>2647</v>
      </c>
      <c r="B934" s="504" t="s">
        <v>305</v>
      </c>
      <c r="C934" s="503" t="s">
        <v>2087</v>
      </c>
      <c r="D934" s="431"/>
      <c r="E934" s="482">
        <v>220721</v>
      </c>
      <c r="F934" s="482"/>
      <c r="G934" s="482"/>
      <c r="H934" s="482"/>
      <c r="I934" s="482"/>
      <c r="J934" s="482" t="s">
        <v>794</v>
      </c>
      <c r="K934" s="482" t="s">
        <v>794</v>
      </c>
      <c r="L934" s="482" t="s">
        <v>794</v>
      </c>
      <c r="M934" s="482" t="s">
        <v>294</v>
      </c>
      <c r="N934" s="482">
        <v>21.224542620000001</v>
      </c>
      <c r="O934" s="482">
        <v>92.294197080000004</v>
      </c>
      <c r="P934" s="482" t="s">
        <v>795</v>
      </c>
      <c r="Q934" s="482"/>
      <c r="R934" s="486"/>
      <c r="S934" s="487"/>
      <c r="T934" s="506">
        <v>43300</v>
      </c>
      <c r="U934" s="488"/>
      <c r="V934" s="482"/>
      <c r="W934" s="482"/>
      <c r="X934" s="17"/>
      <c r="Z934" s="17"/>
    </row>
    <row r="935" spans="1:26" ht="14.25" customHeight="1">
      <c r="A935" s="396" t="s">
        <v>2647</v>
      </c>
      <c r="B935" s="514" t="s">
        <v>305</v>
      </c>
      <c r="C935" s="515" t="s">
        <v>328</v>
      </c>
      <c r="D935" s="485" t="s">
        <v>1656</v>
      </c>
      <c r="E935" s="482"/>
      <c r="F935" s="482"/>
      <c r="G935" s="482"/>
      <c r="H935" s="482"/>
      <c r="I935" s="482"/>
      <c r="J935" s="482" t="s">
        <v>794</v>
      </c>
      <c r="K935" s="482" t="s">
        <v>794</v>
      </c>
      <c r="L935" s="482" t="s">
        <v>794</v>
      </c>
      <c r="M935" s="482" t="s">
        <v>791</v>
      </c>
      <c r="N935" s="482"/>
      <c r="O935" s="482"/>
      <c r="P935" s="482" t="s">
        <v>795</v>
      </c>
      <c r="Q935" s="482" t="s">
        <v>776</v>
      </c>
      <c r="R935" s="494"/>
      <c r="S935" s="487"/>
      <c r="T935" s="506"/>
      <c r="U935" s="488"/>
      <c r="V935" s="391" t="s">
        <v>1113</v>
      </c>
      <c r="W935" s="396"/>
      <c r="X935" s="17"/>
      <c r="Z935" s="17"/>
    </row>
    <row r="936" spans="1:26" ht="14.25" customHeight="1">
      <c r="A936" s="482" t="s">
        <v>2647</v>
      </c>
      <c r="B936" s="504" t="s">
        <v>305</v>
      </c>
      <c r="C936" s="503" t="s">
        <v>329</v>
      </c>
      <c r="D936" s="431" t="s">
        <v>1656</v>
      </c>
      <c r="E936" s="482"/>
      <c r="F936" s="482"/>
      <c r="G936" s="482"/>
      <c r="H936" s="482"/>
      <c r="I936" s="482"/>
      <c r="J936" s="482" t="s">
        <v>794</v>
      </c>
      <c r="K936" s="482" t="s">
        <v>794</v>
      </c>
      <c r="L936" s="482" t="s">
        <v>794</v>
      </c>
      <c r="M936" s="482" t="s">
        <v>791</v>
      </c>
      <c r="N936" s="482"/>
      <c r="O936" s="482"/>
      <c r="P936" s="482" t="s">
        <v>795</v>
      </c>
      <c r="Q936" s="482" t="s">
        <v>776</v>
      </c>
      <c r="R936" s="486"/>
      <c r="S936" s="487"/>
      <c r="T936" s="506"/>
      <c r="U936" s="488"/>
      <c r="V936" s="391" t="s">
        <v>1114</v>
      </c>
      <c r="W936" s="482"/>
      <c r="X936" s="17"/>
      <c r="Z936" s="17"/>
    </row>
    <row r="937" spans="1:26" ht="14.25" customHeight="1">
      <c r="A937" s="396" t="s">
        <v>2647</v>
      </c>
      <c r="B937" s="514" t="s">
        <v>305</v>
      </c>
      <c r="C937" s="515" t="s">
        <v>2701</v>
      </c>
      <c r="D937" s="485"/>
      <c r="E937" s="482">
        <v>220725</v>
      </c>
      <c r="F937" s="482"/>
      <c r="G937" s="482"/>
      <c r="H937" s="482"/>
      <c r="I937" s="482"/>
      <c r="J937" s="482" t="s">
        <v>794</v>
      </c>
      <c r="K937" s="482" t="s">
        <v>794</v>
      </c>
      <c r="L937" s="482" t="s">
        <v>794</v>
      </c>
      <c r="M937" s="482" t="s">
        <v>679</v>
      </c>
      <c r="N937" s="482">
        <v>21.089906689999999</v>
      </c>
      <c r="O937" s="482">
        <v>92.341598509999997</v>
      </c>
      <c r="P937" s="482" t="s">
        <v>795</v>
      </c>
      <c r="Q937" s="482"/>
      <c r="R937" s="494"/>
      <c r="S937" s="487"/>
      <c r="T937" s="506">
        <v>43300</v>
      </c>
      <c r="U937" s="488"/>
      <c r="V937" s="482"/>
      <c r="W937" s="396"/>
      <c r="X937" s="17"/>
      <c r="Z937" s="17"/>
    </row>
    <row r="938" spans="1:26" ht="14.25" customHeight="1">
      <c r="A938" s="396" t="s">
        <v>2647</v>
      </c>
      <c r="B938" s="504" t="s">
        <v>305</v>
      </c>
      <c r="C938" s="503" t="s">
        <v>2700</v>
      </c>
      <c r="D938" s="431"/>
      <c r="E938" s="386">
        <v>220725</v>
      </c>
      <c r="F938" s="386"/>
      <c r="G938" s="386"/>
      <c r="H938" s="386"/>
      <c r="I938" s="386"/>
      <c r="J938" s="386" t="s">
        <v>794</v>
      </c>
      <c r="K938" s="386" t="s">
        <v>794</v>
      </c>
      <c r="L938" s="386" t="s">
        <v>794</v>
      </c>
      <c r="M938" s="386" t="s">
        <v>294</v>
      </c>
      <c r="N938" s="386">
        <v>21.089906689999999</v>
      </c>
      <c r="O938" s="386">
        <v>92.341598509999997</v>
      </c>
      <c r="P938" s="386" t="s">
        <v>795</v>
      </c>
      <c r="Q938" s="386"/>
      <c r="R938" s="486"/>
      <c r="S938" s="400"/>
      <c r="T938" s="389">
        <v>43300</v>
      </c>
      <c r="U938" s="388"/>
      <c r="V938" s="386"/>
      <c r="W938" s="396"/>
      <c r="X938" s="17"/>
      <c r="Z938" s="17"/>
    </row>
    <row r="939" spans="1:26" ht="14.25" customHeight="1">
      <c r="A939" s="482" t="s">
        <v>2647</v>
      </c>
      <c r="B939" s="504" t="s">
        <v>305</v>
      </c>
      <c r="C939" s="503" t="s">
        <v>330</v>
      </c>
      <c r="D939" s="431" t="s">
        <v>1656</v>
      </c>
      <c r="E939" s="482"/>
      <c r="F939" s="482"/>
      <c r="G939" s="482"/>
      <c r="H939" s="482"/>
      <c r="I939" s="482"/>
      <c r="J939" s="386" t="s">
        <v>794</v>
      </c>
      <c r="K939" s="386" t="s">
        <v>794</v>
      </c>
      <c r="L939" s="386" t="s">
        <v>794</v>
      </c>
      <c r="M939" s="386" t="s">
        <v>294</v>
      </c>
      <c r="N939" s="386"/>
      <c r="O939" s="386"/>
      <c r="P939" s="386" t="s">
        <v>795</v>
      </c>
      <c r="Q939" s="482" t="s">
        <v>776</v>
      </c>
      <c r="R939" s="486"/>
      <c r="S939" s="487"/>
      <c r="T939" s="506"/>
      <c r="U939" s="488"/>
      <c r="V939" s="391" t="s">
        <v>1115</v>
      </c>
      <c r="W939" s="482"/>
      <c r="X939" s="17"/>
      <c r="Z939" s="17"/>
    </row>
    <row r="940" spans="1:26" ht="14.25" customHeight="1">
      <c r="A940" s="396" t="s">
        <v>2647</v>
      </c>
      <c r="B940" s="504" t="s">
        <v>305</v>
      </c>
      <c r="C940" s="503" t="s">
        <v>2056</v>
      </c>
      <c r="D940" s="431"/>
      <c r="E940" s="482">
        <v>197978</v>
      </c>
      <c r="F940" s="386"/>
      <c r="G940" s="386"/>
      <c r="H940" s="386"/>
      <c r="I940" s="386"/>
      <c r="J940" s="386" t="s">
        <v>794</v>
      </c>
      <c r="K940" s="386" t="s">
        <v>794</v>
      </c>
      <c r="L940" s="386" t="s">
        <v>794</v>
      </c>
      <c r="M940" s="386" t="s">
        <v>791</v>
      </c>
      <c r="N940" s="482">
        <v>20.834230420000001</v>
      </c>
      <c r="O940" s="482">
        <v>92.37967682</v>
      </c>
      <c r="P940" s="386" t="s">
        <v>795</v>
      </c>
      <c r="Q940" s="386"/>
      <c r="R940" s="486"/>
      <c r="S940" s="387"/>
      <c r="T940" s="389">
        <v>43300</v>
      </c>
      <c r="U940" s="388"/>
      <c r="V940" s="386"/>
      <c r="W940" s="396"/>
      <c r="X940" s="17"/>
      <c r="Z940" s="17"/>
    </row>
    <row r="941" spans="1:26" ht="14.25" customHeight="1">
      <c r="A941" s="482" t="s">
        <v>2647</v>
      </c>
      <c r="B941" s="514" t="s">
        <v>305</v>
      </c>
      <c r="C941" s="515" t="s">
        <v>628</v>
      </c>
      <c r="D941" s="485" t="s">
        <v>1656</v>
      </c>
      <c r="E941" s="386" t="s">
        <v>1408</v>
      </c>
      <c r="F941" s="386"/>
      <c r="G941" s="386"/>
      <c r="H941" s="386" t="s">
        <v>40</v>
      </c>
      <c r="I941" s="386"/>
      <c r="J941" s="386" t="s">
        <v>794</v>
      </c>
      <c r="K941" s="386" t="s">
        <v>794</v>
      </c>
      <c r="L941" s="386" t="s">
        <v>1656</v>
      </c>
      <c r="M941" s="386" t="s">
        <v>791</v>
      </c>
      <c r="N941" s="482">
        <v>20.827044000000001</v>
      </c>
      <c r="O941" s="482">
        <v>92.362932999999998</v>
      </c>
      <c r="P941" s="386" t="s">
        <v>795</v>
      </c>
      <c r="Q941" s="386" t="s">
        <v>776</v>
      </c>
      <c r="R941" s="494"/>
      <c r="S941" s="387"/>
      <c r="T941" s="389">
        <v>43248</v>
      </c>
      <c r="U941" s="488" t="s">
        <v>1897</v>
      </c>
      <c r="V941" s="482"/>
      <c r="W941" s="482"/>
      <c r="X941" s="17"/>
      <c r="Z941" s="17"/>
    </row>
    <row r="942" spans="1:26" ht="14.25" customHeight="1">
      <c r="A942" s="396" t="s">
        <v>2647</v>
      </c>
      <c r="B942" s="514" t="s">
        <v>305</v>
      </c>
      <c r="C942" s="515" t="s">
        <v>331</v>
      </c>
      <c r="D942" s="485" t="s">
        <v>1656</v>
      </c>
      <c r="E942" s="482"/>
      <c r="F942" s="482"/>
      <c r="G942" s="386"/>
      <c r="H942" s="386"/>
      <c r="I942" s="386"/>
      <c r="J942" s="386" t="s">
        <v>794</v>
      </c>
      <c r="K942" s="396" t="s">
        <v>794</v>
      </c>
      <c r="L942" s="386" t="s">
        <v>794</v>
      </c>
      <c r="M942" s="386" t="s">
        <v>791</v>
      </c>
      <c r="N942" s="482"/>
      <c r="O942" s="482"/>
      <c r="P942" s="386" t="s">
        <v>795</v>
      </c>
      <c r="Q942" s="386" t="s">
        <v>776</v>
      </c>
      <c r="R942" s="494"/>
      <c r="S942" s="487"/>
      <c r="T942" s="389"/>
      <c r="U942" s="488"/>
      <c r="V942" s="386" t="s">
        <v>331</v>
      </c>
      <c r="W942" s="482"/>
      <c r="X942" s="17"/>
      <c r="Z942" s="17"/>
    </row>
    <row r="943" spans="1:26" ht="14.25" customHeight="1">
      <c r="A943" s="396" t="s">
        <v>2647</v>
      </c>
      <c r="B943" s="514" t="s">
        <v>305</v>
      </c>
      <c r="C943" s="515" t="s">
        <v>332</v>
      </c>
      <c r="D943" s="485" t="s">
        <v>1656</v>
      </c>
      <c r="E943" s="482"/>
      <c r="F943" s="482"/>
      <c r="G943" s="482"/>
      <c r="H943" s="482"/>
      <c r="I943" s="482"/>
      <c r="J943" s="482" t="s">
        <v>794</v>
      </c>
      <c r="K943" s="482" t="s">
        <v>794</v>
      </c>
      <c r="L943" s="482" t="s">
        <v>794</v>
      </c>
      <c r="M943" s="482" t="s">
        <v>791</v>
      </c>
      <c r="N943" s="482"/>
      <c r="O943" s="482"/>
      <c r="P943" s="386" t="s">
        <v>795</v>
      </c>
      <c r="Q943" s="482" t="s">
        <v>776</v>
      </c>
      <c r="R943" s="494"/>
      <c r="S943" s="487"/>
      <c r="T943" s="506"/>
      <c r="U943" s="488"/>
      <c r="V943" s="482" t="s">
        <v>332</v>
      </c>
      <c r="W943" s="396"/>
      <c r="X943" s="17"/>
      <c r="Z943" s="17"/>
    </row>
    <row r="944" spans="1:26" ht="14.25" customHeight="1">
      <c r="A944" s="396" t="s">
        <v>2647</v>
      </c>
      <c r="B944" s="514" t="s">
        <v>305</v>
      </c>
      <c r="C944" s="515" t="s">
        <v>2091</v>
      </c>
      <c r="D944" s="485"/>
      <c r="E944" s="386">
        <v>197894</v>
      </c>
      <c r="F944" s="482"/>
      <c r="G944" s="386"/>
      <c r="H944" s="386"/>
      <c r="I944" s="386"/>
      <c r="J944" s="386" t="s">
        <v>794</v>
      </c>
      <c r="K944" s="386" t="s">
        <v>794</v>
      </c>
      <c r="L944" s="386" t="s">
        <v>794</v>
      </c>
      <c r="M944" s="386" t="s">
        <v>294</v>
      </c>
      <c r="N944" s="482">
        <v>21.025550840000001</v>
      </c>
      <c r="O944" s="482">
        <v>92.29528809</v>
      </c>
      <c r="P944" s="482" t="s">
        <v>795</v>
      </c>
      <c r="Q944" s="386"/>
      <c r="R944" s="494"/>
      <c r="S944" s="400"/>
      <c r="T944" s="389">
        <v>43300</v>
      </c>
      <c r="U944" s="388"/>
      <c r="V944" s="386"/>
      <c r="W944" s="396"/>
      <c r="X944" s="17"/>
      <c r="Z944" s="17"/>
    </row>
    <row r="945" spans="1:26" ht="14.25" customHeight="1">
      <c r="A945" s="396" t="s">
        <v>2647</v>
      </c>
      <c r="B945" s="514" t="s">
        <v>305</v>
      </c>
      <c r="C945" s="515" t="s">
        <v>677</v>
      </c>
      <c r="D945" s="485" t="s">
        <v>1656</v>
      </c>
      <c r="E945" s="482">
        <v>197894</v>
      </c>
      <c r="F945" s="482"/>
      <c r="G945" s="386"/>
      <c r="H945" s="386"/>
      <c r="I945" s="386"/>
      <c r="J945" s="386" t="s">
        <v>794</v>
      </c>
      <c r="K945" s="386" t="s">
        <v>794</v>
      </c>
      <c r="L945" s="386" t="s">
        <v>794</v>
      </c>
      <c r="M945" s="386" t="s">
        <v>791</v>
      </c>
      <c r="N945" s="386">
        <v>21.025550840000001</v>
      </c>
      <c r="O945" s="386">
        <v>92.29528809</v>
      </c>
      <c r="P945" s="386" t="s">
        <v>795</v>
      </c>
      <c r="Q945" s="386" t="s">
        <v>776</v>
      </c>
      <c r="R945" s="494"/>
      <c r="S945" s="487"/>
      <c r="T945" s="389">
        <v>42745</v>
      </c>
      <c r="U945" s="388"/>
      <c r="V945" s="386" t="s">
        <v>951</v>
      </c>
      <c r="W945" s="482"/>
      <c r="X945" s="17"/>
      <c r="Z945" s="17"/>
    </row>
    <row r="946" spans="1:26" ht="14.25" customHeight="1">
      <c r="A946" s="396" t="s">
        <v>2647</v>
      </c>
      <c r="B946" s="514" t="s">
        <v>305</v>
      </c>
      <c r="C946" s="515" t="s">
        <v>2092</v>
      </c>
      <c r="D946" s="485"/>
      <c r="E946" s="482">
        <v>197895</v>
      </c>
      <c r="F946" s="482"/>
      <c r="G946" s="482"/>
      <c r="H946" s="482"/>
      <c r="I946" s="482"/>
      <c r="J946" s="482" t="s">
        <v>794</v>
      </c>
      <c r="K946" s="482" t="s">
        <v>794</v>
      </c>
      <c r="L946" s="482" t="s">
        <v>794</v>
      </c>
      <c r="M946" s="482" t="s">
        <v>791</v>
      </c>
      <c r="N946" s="482">
        <v>21.019170760000002</v>
      </c>
      <c r="O946" s="482">
        <v>92.291992190000002</v>
      </c>
      <c r="P946" s="482" t="s">
        <v>795</v>
      </c>
      <c r="Q946" s="482"/>
      <c r="R946" s="494"/>
      <c r="S946" s="487"/>
      <c r="T946" s="506">
        <v>43300</v>
      </c>
      <c r="U946" s="488"/>
      <c r="V946" s="482"/>
      <c r="W946" s="482"/>
      <c r="X946" s="17"/>
      <c r="Z946" s="17"/>
    </row>
    <row r="947" spans="1:26" ht="14.25" customHeight="1">
      <c r="A947" s="482" t="s">
        <v>2647</v>
      </c>
      <c r="B947" s="504" t="s">
        <v>305</v>
      </c>
      <c r="C947" s="503" t="s">
        <v>2054</v>
      </c>
      <c r="D947" s="431"/>
      <c r="E947" s="386">
        <v>197909</v>
      </c>
      <c r="F947" s="482"/>
      <c r="G947" s="482"/>
      <c r="H947" s="482"/>
      <c r="I947" s="482"/>
      <c r="J947" s="386" t="s">
        <v>794</v>
      </c>
      <c r="K947" s="386" t="s">
        <v>794</v>
      </c>
      <c r="L947" s="386" t="s">
        <v>794</v>
      </c>
      <c r="M947" s="386" t="s">
        <v>791</v>
      </c>
      <c r="N947" s="386">
        <v>21.003770830000001</v>
      </c>
      <c r="O947" s="386">
        <v>92.351142879999998</v>
      </c>
      <c r="P947" s="386" t="s">
        <v>795</v>
      </c>
      <c r="Q947" s="482"/>
      <c r="R947" s="486"/>
      <c r="S947" s="487"/>
      <c r="T947" s="506">
        <v>43300</v>
      </c>
      <c r="U947" s="488"/>
      <c r="V947" s="386"/>
      <c r="W947" s="482"/>
      <c r="X947" s="17"/>
      <c r="Z947" s="17"/>
    </row>
    <row r="948" spans="1:26" ht="14.25" customHeight="1">
      <c r="A948" s="396" t="s">
        <v>2647</v>
      </c>
      <c r="B948" s="155" t="s">
        <v>305</v>
      </c>
      <c r="C948" s="515" t="s">
        <v>672</v>
      </c>
      <c r="D948" s="485" t="s">
        <v>1656</v>
      </c>
      <c r="E948" s="638">
        <v>197910</v>
      </c>
      <c r="F948" s="150"/>
      <c r="G948" s="150"/>
      <c r="H948" s="150"/>
      <c r="I948" s="150"/>
      <c r="J948" s="150" t="s">
        <v>794</v>
      </c>
      <c r="K948" s="150" t="s">
        <v>794</v>
      </c>
      <c r="L948" s="150" t="s">
        <v>794</v>
      </c>
      <c r="M948" s="150" t="s">
        <v>294</v>
      </c>
      <c r="N948" s="150">
        <v>21.007270810000001</v>
      </c>
      <c r="O948" s="150">
        <v>92.358520510000005</v>
      </c>
      <c r="P948" s="150" t="s">
        <v>795</v>
      </c>
      <c r="Q948" s="150" t="s">
        <v>798</v>
      </c>
      <c r="R948" s="151"/>
      <c r="S948" s="149"/>
      <c r="T948" s="152">
        <v>42926</v>
      </c>
      <c r="U948" s="153" t="s">
        <v>799</v>
      </c>
      <c r="V948" s="150"/>
      <c r="W948" s="482"/>
      <c r="X948" s="17"/>
      <c r="Z948" s="17"/>
    </row>
    <row r="949" spans="1:26" ht="14.25" customHeight="1">
      <c r="A949" s="396" t="s">
        <v>2647</v>
      </c>
      <c r="B949" s="514" t="s">
        <v>305</v>
      </c>
      <c r="C949" s="515" t="s">
        <v>2053</v>
      </c>
      <c r="D949" s="485"/>
      <c r="E949" s="396">
        <v>197874</v>
      </c>
      <c r="F949" s="396"/>
      <c r="G949" s="396"/>
      <c r="H949" s="386"/>
      <c r="I949" s="386"/>
      <c r="J949" s="386" t="s">
        <v>794</v>
      </c>
      <c r="K949" s="396" t="s">
        <v>794</v>
      </c>
      <c r="L949" s="396" t="s">
        <v>794</v>
      </c>
      <c r="M949" s="386" t="s">
        <v>791</v>
      </c>
      <c r="N949" s="482">
        <v>21.035009380000002</v>
      </c>
      <c r="O949" s="482">
        <v>92.332046509999998</v>
      </c>
      <c r="P949" s="482" t="s">
        <v>795</v>
      </c>
      <c r="Q949" s="386"/>
      <c r="R949" s="494"/>
      <c r="S949" s="487"/>
      <c r="T949" s="389">
        <v>43300</v>
      </c>
      <c r="U949" s="401"/>
      <c r="V949" s="396"/>
      <c r="W949" s="482"/>
      <c r="X949" s="17"/>
      <c r="Z949" s="17"/>
    </row>
    <row r="950" spans="1:26" ht="14.25" customHeight="1">
      <c r="A950" s="396" t="s">
        <v>2647</v>
      </c>
      <c r="B950" s="504" t="s">
        <v>305</v>
      </c>
      <c r="C950" s="503" t="s">
        <v>517</v>
      </c>
      <c r="D950" s="431" t="s">
        <v>1656</v>
      </c>
      <c r="E950" s="482"/>
      <c r="F950" s="386"/>
      <c r="G950" s="386"/>
      <c r="H950" s="386"/>
      <c r="I950" s="386"/>
      <c r="J950" s="386" t="s">
        <v>794</v>
      </c>
      <c r="K950" s="386" t="s">
        <v>794</v>
      </c>
      <c r="L950" s="386" t="s">
        <v>794</v>
      </c>
      <c r="M950" s="386" t="s">
        <v>294</v>
      </c>
      <c r="N950" s="386">
        <v>20.651159289999999</v>
      </c>
      <c r="O950" s="386">
        <v>92.605712890000007</v>
      </c>
      <c r="P950" s="482" t="s">
        <v>795</v>
      </c>
      <c r="Q950" s="386" t="s">
        <v>776</v>
      </c>
      <c r="R950" s="486"/>
      <c r="S950" s="487"/>
      <c r="T950" s="389"/>
      <c r="U950" s="388"/>
      <c r="V950" s="396" t="s">
        <v>517</v>
      </c>
      <c r="W950" s="482"/>
      <c r="X950" s="17"/>
      <c r="Z950" s="17"/>
    </row>
    <row r="951" spans="1:26" ht="14.25" customHeight="1">
      <c r="A951" s="482" t="s">
        <v>2647</v>
      </c>
      <c r="B951" s="514" t="s">
        <v>305</v>
      </c>
      <c r="C951" s="515" t="s">
        <v>594</v>
      </c>
      <c r="D951" s="485" t="s">
        <v>1656</v>
      </c>
      <c r="E951" s="482">
        <v>197999</v>
      </c>
      <c r="F951" s="482"/>
      <c r="G951" s="482"/>
      <c r="H951" s="482"/>
      <c r="I951" s="482"/>
      <c r="J951" s="482" t="s">
        <v>794</v>
      </c>
      <c r="K951" s="482" t="s">
        <v>794</v>
      </c>
      <c r="L951" s="482" t="s">
        <v>794</v>
      </c>
      <c r="M951" s="482" t="s">
        <v>791</v>
      </c>
      <c r="N951" s="482">
        <v>20.785320280000001</v>
      </c>
      <c r="O951" s="482">
        <v>92.406509400000004</v>
      </c>
      <c r="P951" s="386" t="s">
        <v>795</v>
      </c>
      <c r="Q951" s="482" t="s">
        <v>776</v>
      </c>
      <c r="R951" s="494"/>
      <c r="S951" s="487"/>
      <c r="T951" s="506"/>
      <c r="U951" s="488"/>
      <c r="V951" s="503" t="s">
        <v>594</v>
      </c>
      <c r="W951" s="482"/>
      <c r="X951" s="17"/>
      <c r="Z951" s="17"/>
    </row>
    <row r="952" spans="1:26" ht="14.25" customHeight="1">
      <c r="A952" s="396" t="s">
        <v>2647</v>
      </c>
      <c r="B952" s="504" t="s">
        <v>305</v>
      </c>
      <c r="C952" s="503" t="s">
        <v>544</v>
      </c>
      <c r="D952" s="431"/>
      <c r="E952" s="396">
        <v>197993</v>
      </c>
      <c r="F952" s="396" t="s">
        <v>544</v>
      </c>
      <c r="G952" s="396"/>
      <c r="H952" s="396"/>
      <c r="I952" s="396"/>
      <c r="J952" s="386" t="s">
        <v>794</v>
      </c>
      <c r="K952" s="396" t="s">
        <v>794</v>
      </c>
      <c r="L952" s="396" t="s">
        <v>794</v>
      </c>
      <c r="M952" s="386" t="s">
        <v>791</v>
      </c>
      <c r="N952" s="396">
        <v>20.809099199999999</v>
      </c>
      <c r="O952" s="396">
        <v>92.39829254</v>
      </c>
      <c r="P952" s="386" t="s">
        <v>795</v>
      </c>
      <c r="Q952" s="386"/>
      <c r="R952" s="486"/>
      <c r="S952" s="400"/>
      <c r="T952" s="389">
        <v>43300</v>
      </c>
      <c r="U952" s="401"/>
      <c r="V952" s="482"/>
      <c r="W952" s="482"/>
      <c r="X952" s="17"/>
      <c r="Z952" s="17"/>
    </row>
    <row r="953" spans="1:26" ht="14.25" customHeight="1">
      <c r="A953" s="396" t="s">
        <v>2647</v>
      </c>
      <c r="B953" s="514" t="s">
        <v>305</v>
      </c>
      <c r="C953" s="515" t="s">
        <v>475</v>
      </c>
      <c r="D953" s="485" t="s">
        <v>2288</v>
      </c>
      <c r="E953" s="386" t="s">
        <v>1406</v>
      </c>
      <c r="F953" s="484" t="s">
        <v>1753</v>
      </c>
      <c r="G953" s="386" t="s">
        <v>1753</v>
      </c>
      <c r="H953" s="396" t="s">
        <v>40</v>
      </c>
      <c r="I953" s="386"/>
      <c r="J953" s="386" t="s">
        <v>794</v>
      </c>
      <c r="K953" s="386" t="s">
        <v>794</v>
      </c>
      <c r="L953" s="386" t="s">
        <v>879</v>
      </c>
      <c r="M953" s="386" t="s">
        <v>294</v>
      </c>
      <c r="N953" s="396">
        <v>20.824777999999998</v>
      </c>
      <c r="O953" s="396">
        <v>92.362196999999995</v>
      </c>
      <c r="P953" s="386" t="s">
        <v>795</v>
      </c>
      <c r="Q953" s="386"/>
      <c r="R953" s="486">
        <v>17</v>
      </c>
      <c r="S953" s="487">
        <v>109</v>
      </c>
      <c r="T953" s="389"/>
      <c r="U953" s="388" t="s">
        <v>856</v>
      </c>
      <c r="V953" s="386" t="s">
        <v>475</v>
      </c>
      <c r="W953" s="482"/>
      <c r="X953" s="17"/>
      <c r="Z953" s="17"/>
    </row>
    <row r="954" spans="1:26" ht="14.25" customHeight="1">
      <c r="A954" s="482" t="s">
        <v>2647</v>
      </c>
      <c r="B954" s="514" t="s">
        <v>305</v>
      </c>
      <c r="C954" s="515" t="s">
        <v>2081</v>
      </c>
      <c r="D954" s="485"/>
      <c r="E954" s="484">
        <v>197858</v>
      </c>
      <c r="F954" s="482"/>
      <c r="G954" s="386"/>
      <c r="H954" s="386"/>
      <c r="I954" s="386"/>
      <c r="J954" s="386" t="s">
        <v>794</v>
      </c>
      <c r="K954" s="386" t="s">
        <v>794</v>
      </c>
      <c r="L954" s="386" t="s">
        <v>794</v>
      </c>
      <c r="M954" s="386" t="s">
        <v>2068</v>
      </c>
      <c r="N954" s="482">
        <v>21.160549159999999</v>
      </c>
      <c r="O954" s="482">
        <v>92.330261230000005</v>
      </c>
      <c r="P954" s="482" t="s">
        <v>795</v>
      </c>
      <c r="Q954" s="386"/>
      <c r="R954" s="494"/>
      <c r="S954" s="387"/>
      <c r="T954" s="389">
        <v>43300</v>
      </c>
      <c r="U954" s="488"/>
      <c r="V954" s="482"/>
      <c r="W954" s="482"/>
      <c r="X954" s="17"/>
      <c r="Z954" s="17"/>
    </row>
    <row r="955" spans="1:26" ht="14.25" customHeight="1">
      <c r="A955" s="487" t="s">
        <v>2647</v>
      </c>
      <c r="B955" s="514" t="s">
        <v>305</v>
      </c>
      <c r="C955" s="515" t="s">
        <v>2979</v>
      </c>
      <c r="D955" s="485"/>
      <c r="E955" s="482">
        <v>220746</v>
      </c>
      <c r="F955" s="512" t="s">
        <v>2980</v>
      </c>
      <c r="G955" s="482"/>
      <c r="H955" s="482"/>
      <c r="I955" s="482"/>
      <c r="J955" s="482" t="s">
        <v>794</v>
      </c>
      <c r="K955" s="482" t="s">
        <v>794</v>
      </c>
      <c r="L955" s="482" t="s">
        <v>794</v>
      </c>
      <c r="M955" s="482"/>
      <c r="N955" s="482">
        <v>20.5168571472168</v>
      </c>
      <c r="O955" s="482">
        <v>92.577987670898395</v>
      </c>
      <c r="P955" s="482" t="s">
        <v>795</v>
      </c>
      <c r="Q955" s="482" t="s">
        <v>2961</v>
      </c>
      <c r="R955" s="494"/>
      <c r="S955" s="487"/>
      <c r="T955" s="506">
        <v>43768</v>
      </c>
      <c r="U955" s="494"/>
      <c r="V955" s="482"/>
      <c r="W955" s="486"/>
      <c r="X955" s="17"/>
      <c r="Z955" s="17"/>
    </row>
    <row r="956" spans="1:26" ht="14.25" customHeight="1">
      <c r="A956" s="482" t="s">
        <v>2647</v>
      </c>
      <c r="B956" s="504" t="s">
        <v>305</v>
      </c>
      <c r="C956" s="503" t="s">
        <v>2043</v>
      </c>
      <c r="D956" s="485"/>
      <c r="E956" s="482">
        <v>197996</v>
      </c>
      <c r="F956" s="482"/>
      <c r="G956" s="482"/>
      <c r="H956" s="487"/>
      <c r="I956" s="482"/>
      <c r="J956" s="482" t="s">
        <v>794</v>
      </c>
      <c r="K956" s="482" t="s">
        <v>794</v>
      </c>
      <c r="L956" s="482" t="s">
        <v>794</v>
      </c>
      <c r="M956" s="482" t="s">
        <v>791</v>
      </c>
      <c r="N956" s="482">
        <v>20.805980680000001</v>
      </c>
      <c r="O956" s="482">
        <v>92.383308409999998</v>
      </c>
      <c r="P956" s="482" t="s">
        <v>795</v>
      </c>
      <c r="Q956" s="484"/>
      <c r="R956" s="486"/>
      <c r="S956" s="487"/>
      <c r="T956" s="507">
        <v>43300</v>
      </c>
      <c r="U956" s="488"/>
      <c r="V956" s="482"/>
      <c r="W956" s="482"/>
      <c r="X956" s="17"/>
      <c r="Z956" s="17"/>
    </row>
    <row r="957" spans="1:26" ht="14.25" customHeight="1">
      <c r="A957" s="482" t="s">
        <v>2647</v>
      </c>
      <c r="B957" s="514" t="s">
        <v>305</v>
      </c>
      <c r="C957" s="515" t="s">
        <v>1902</v>
      </c>
      <c r="D957" s="485"/>
      <c r="E957" s="482">
        <v>197971</v>
      </c>
      <c r="F957" s="482" t="s">
        <v>1902</v>
      </c>
      <c r="G957" s="482"/>
      <c r="H957" s="482"/>
      <c r="I957" s="482"/>
      <c r="J957" s="396" t="s">
        <v>794</v>
      </c>
      <c r="K957" s="386" t="s">
        <v>794</v>
      </c>
      <c r="L957" s="386" t="s">
        <v>794</v>
      </c>
      <c r="M957" s="482" t="s">
        <v>791</v>
      </c>
      <c r="N957" s="482">
        <v>20.872400280000001</v>
      </c>
      <c r="O957" s="482">
        <v>92.337608340000003</v>
      </c>
      <c r="P957" s="386" t="s">
        <v>795</v>
      </c>
      <c r="Q957" s="482" t="s">
        <v>1904</v>
      </c>
      <c r="R957" s="494"/>
      <c r="S957" s="487"/>
      <c r="T957" s="506">
        <v>43245</v>
      </c>
      <c r="U957" s="488"/>
      <c r="V957" s="482"/>
      <c r="W957" s="482"/>
      <c r="X957" s="17"/>
      <c r="Z957" s="17"/>
    </row>
    <row r="958" spans="1:26" ht="14.25" customHeight="1">
      <c r="A958" s="482" t="s">
        <v>2647</v>
      </c>
      <c r="B958" s="155" t="s">
        <v>305</v>
      </c>
      <c r="C958" s="515" t="s">
        <v>335</v>
      </c>
      <c r="D958" s="485" t="s">
        <v>1656</v>
      </c>
      <c r="E958" s="150"/>
      <c r="F958" s="150"/>
      <c r="G958" s="150"/>
      <c r="H958" s="150"/>
      <c r="I958" s="150"/>
      <c r="J958" s="150" t="s">
        <v>794</v>
      </c>
      <c r="K958" s="150" t="s">
        <v>794</v>
      </c>
      <c r="L958" s="150" t="s">
        <v>794</v>
      </c>
      <c r="M958" s="150" t="s">
        <v>791</v>
      </c>
      <c r="N958" s="510"/>
      <c r="O958" s="510"/>
      <c r="P958" s="150" t="s">
        <v>795</v>
      </c>
      <c r="Q958" s="150" t="s">
        <v>776</v>
      </c>
      <c r="R958" s="151"/>
      <c r="S958" s="149"/>
      <c r="T958" s="152"/>
      <c r="U958" s="153"/>
      <c r="V958" s="150" t="s">
        <v>335</v>
      </c>
      <c r="W958" s="482"/>
      <c r="X958" s="17"/>
      <c r="Z958" s="17"/>
    </row>
    <row r="959" spans="1:26" ht="14.25" customHeight="1">
      <c r="A959" s="482" t="s">
        <v>2647</v>
      </c>
      <c r="B959" s="514" t="s">
        <v>305</v>
      </c>
      <c r="C959" s="515" t="s">
        <v>599</v>
      </c>
      <c r="D959" s="485" t="s">
        <v>1656</v>
      </c>
      <c r="E959" s="386">
        <v>198000</v>
      </c>
      <c r="F959" s="386"/>
      <c r="G959" s="386"/>
      <c r="H959" s="386"/>
      <c r="I959" s="396"/>
      <c r="J959" s="386" t="s">
        <v>794</v>
      </c>
      <c r="K959" s="386" t="s">
        <v>794</v>
      </c>
      <c r="L959" s="386" t="s">
        <v>794</v>
      </c>
      <c r="M959" s="386" t="s">
        <v>791</v>
      </c>
      <c r="N959" s="482">
        <v>20.788669590000001</v>
      </c>
      <c r="O959" s="482">
        <v>92.397300720000004</v>
      </c>
      <c r="P959" s="386" t="s">
        <v>795</v>
      </c>
      <c r="Q959" s="386" t="s">
        <v>776</v>
      </c>
      <c r="R959" s="494"/>
      <c r="S959" s="400"/>
      <c r="T959" s="389"/>
      <c r="U959" s="488"/>
      <c r="V959" s="482" t="s">
        <v>599</v>
      </c>
      <c r="W959" s="482"/>
      <c r="X959" s="17"/>
      <c r="Z959" s="17"/>
    </row>
    <row r="960" spans="1:26" ht="14.25" customHeight="1">
      <c r="A960" s="396" t="s">
        <v>2647</v>
      </c>
      <c r="B960" s="514" t="s">
        <v>305</v>
      </c>
      <c r="C960" s="515" t="s">
        <v>2036</v>
      </c>
      <c r="D960" s="485"/>
      <c r="E960" s="482">
        <v>197972</v>
      </c>
      <c r="F960" s="484"/>
      <c r="G960" s="386"/>
      <c r="H960" s="396"/>
      <c r="I960" s="396"/>
      <c r="J960" s="386" t="s">
        <v>794</v>
      </c>
      <c r="K960" s="396" t="s">
        <v>794</v>
      </c>
      <c r="L960" s="396" t="s">
        <v>794</v>
      </c>
      <c r="M960" s="386" t="s">
        <v>791</v>
      </c>
      <c r="N960" s="396">
        <v>20.879430769999999</v>
      </c>
      <c r="O960" s="396">
        <v>92.334373470000003</v>
      </c>
      <c r="P960" s="386" t="s">
        <v>795</v>
      </c>
      <c r="Q960" s="386"/>
      <c r="R960" s="494"/>
      <c r="S960" s="400"/>
      <c r="T960" s="389">
        <v>43300</v>
      </c>
      <c r="U960" s="388"/>
      <c r="V960" s="386"/>
      <c r="W960" s="482"/>
      <c r="X960" s="17"/>
      <c r="Z960" s="17"/>
    </row>
    <row r="961" spans="1:26" ht="14.25" customHeight="1">
      <c r="A961" s="482" t="s">
        <v>2647</v>
      </c>
      <c r="B961" s="504" t="s">
        <v>305</v>
      </c>
      <c r="C961" s="503" t="s">
        <v>294</v>
      </c>
      <c r="D961" s="431" t="s">
        <v>1656</v>
      </c>
      <c r="E961" s="482"/>
      <c r="F961" s="482"/>
      <c r="G961" s="482"/>
      <c r="H961" s="482"/>
      <c r="I961" s="482"/>
      <c r="J961" s="386" t="s">
        <v>794</v>
      </c>
      <c r="K961" s="386" t="s">
        <v>794</v>
      </c>
      <c r="L961" s="386" t="s">
        <v>794</v>
      </c>
      <c r="M961" s="482" t="s">
        <v>294</v>
      </c>
      <c r="N961" s="498"/>
      <c r="O961" s="498"/>
      <c r="P961" s="386" t="s">
        <v>795</v>
      </c>
      <c r="Q961" s="482" t="s">
        <v>776</v>
      </c>
      <c r="R961" s="486"/>
      <c r="S961" s="487"/>
      <c r="T961" s="506"/>
      <c r="U961" s="488"/>
      <c r="V961" s="482" t="s">
        <v>294</v>
      </c>
      <c r="W961" s="482"/>
      <c r="X961" s="17"/>
      <c r="Z961" s="17"/>
    </row>
    <row r="962" spans="1:26" ht="14.25" customHeight="1">
      <c r="A962" s="396" t="s">
        <v>2647</v>
      </c>
      <c r="B962" s="504" t="s">
        <v>305</v>
      </c>
      <c r="C962" s="503" t="s">
        <v>340</v>
      </c>
      <c r="D962" s="431" t="s">
        <v>1656</v>
      </c>
      <c r="E962" s="482"/>
      <c r="F962" s="386"/>
      <c r="G962" s="386"/>
      <c r="H962" s="386"/>
      <c r="I962" s="386"/>
      <c r="J962" s="386" t="s">
        <v>794</v>
      </c>
      <c r="K962" s="386" t="s">
        <v>794</v>
      </c>
      <c r="L962" s="386" t="s">
        <v>794</v>
      </c>
      <c r="M962" s="386" t="s">
        <v>294</v>
      </c>
      <c r="N962" s="482"/>
      <c r="O962" s="482"/>
      <c r="P962" s="386" t="s">
        <v>795</v>
      </c>
      <c r="Q962" s="386" t="s">
        <v>776</v>
      </c>
      <c r="R962" s="486"/>
      <c r="S962" s="400"/>
      <c r="T962" s="389"/>
      <c r="U962" s="388"/>
      <c r="V962" s="482"/>
      <c r="W962" s="482"/>
      <c r="X962" s="17"/>
      <c r="Z962" s="17"/>
    </row>
    <row r="963" spans="1:26" ht="14.25" customHeight="1">
      <c r="A963" s="482" t="s">
        <v>2647</v>
      </c>
      <c r="B963" s="514" t="s">
        <v>305</v>
      </c>
      <c r="C963" s="515" t="s">
        <v>1131</v>
      </c>
      <c r="D963" s="485" t="s">
        <v>1656</v>
      </c>
      <c r="E963" s="482"/>
      <c r="F963" s="482"/>
      <c r="G963" s="482"/>
      <c r="H963" s="482"/>
      <c r="I963" s="482"/>
      <c r="J963" s="386" t="s">
        <v>794</v>
      </c>
      <c r="K963" s="386" t="s">
        <v>794</v>
      </c>
      <c r="L963" s="386" t="s">
        <v>794</v>
      </c>
      <c r="M963" s="482" t="s">
        <v>791</v>
      </c>
      <c r="N963" s="482"/>
      <c r="O963" s="482"/>
      <c r="P963" s="386" t="s">
        <v>795</v>
      </c>
      <c r="Q963" s="386"/>
      <c r="R963" s="494"/>
      <c r="S963" s="487"/>
      <c r="T963" s="389"/>
      <c r="U963" s="488"/>
      <c r="V963" s="482" t="s">
        <v>340</v>
      </c>
      <c r="W963" s="482"/>
      <c r="X963" s="17"/>
      <c r="Z963" s="17"/>
    </row>
    <row r="964" spans="1:26" ht="14.25" customHeight="1">
      <c r="A964" s="396" t="s">
        <v>2647</v>
      </c>
      <c r="B964" s="514" t="s">
        <v>305</v>
      </c>
      <c r="C964" s="515" t="s">
        <v>341</v>
      </c>
      <c r="D964" s="485" t="s">
        <v>1656</v>
      </c>
      <c r="E964" s="386"/>
      <c r="F964" s="386"/>
      <c r="G964" s="386"/>
      <c r="H964" s="396"/>
      <c r="I964" s="396"/>
      <c r="J964" s="386" t="s">
        <v>794</v>
      </c>
      <c r="K964" s="386" t="s">
        <v>794</v>
      </c>
      <c r="L964" s="386" t="s">
        <v>794</v>
      </c>
      <c r="M964" s="386" t="s">
        <v>294</v>
      </c>
      <c r="N964" s="482"/>
      <c r="O964" s="482"/>
      <c r="P964" s="386" t="s">
        <v>795</v>
      </c>
      <c r="Q964" s="386" t="s">
        <v>776</v>
      </c>
      <c r="R964" s="494"/>
      <c r="S964" s="487"/>
      <c r="T964" s="389"/>
      <c r="U964" s="388"/>
      <c r="V964" s="386" t="s">
        <v>340</v>
      </c>
      <c r="W964" s="482"/>
      <c r="X964" s="17"/>
      <c r="Z964" s="17"/>
    </row>
    <row r="965" spans="1:26" ht="14.25" customHeight="1">
      <c r="A965" s="482" t="s">
        <v>2647</v>
      </c>
      <c r="B965" s="504" t="s">
        <v>305</v>
      </c>
      <c r="C965" s="503" t="s">
        <v>342</v>
      </c>
      <c r="D965" s="431" t="s">
        <v>1656</v>
      </c>
      <c r="E965" s="482"/>
      <c r="F965" s="482"/>
      <c r="G965" s="482"/>
      <c r="H965" s="482"/>
      <c r="I965" s="482"/>
      <c r="J965" s="386" t="s">
        <v>794</v>
      </c>
      <c r="K965" s="386" t="s">
        <v>794</v>
      </c>
      <c r="L965" s="386" t="s">
        <v>794</v>
      </c>
      <c r="M965" s="482" t="s">
        <v>791</v>
      </c>
      <c r="N965" s="482"/>
      <c r="O965" s="482"/>
      <c r="P965" s="386" t="s">
        <v>795</v>
      </c>
      <c r="Q965" s="482" t="s">
        <v>776</v>
      </c>
      <c r="R965" s="486"/>
      <c r="S965" s="487"/>
      <c r="T965" s="506"/>
      <c r="U965" s="488"/>
      <c r="V965" s="482" t="s">
        <v>342</v>
      </c>
      <c r="W965" s="482"/>
      <c r="X965" s="17"/>
      <c r="Z965" s="17"/>
    </row>
    <row r="966" spans="1:26" ht="14.25" customHeight="1">
      <c r="A966" s="482" t="s">
        <v>2647</v>
      </c>
      <c r="B966" s="514" t="s">
        <v>305</v>
      </c>
      <c r="C966" s="515" t="s">
        <v>2059</v>
      </c>
      <c r="D966" s="485"/>
      <c r="E966" s="482">
        <v>197897</v>
      </c>
      <c r="F966" s="482"/>
      <c r="G966" s="482"/>
      <c r="H966" s="482"/>
      <c r="I966" s="482"/>
      <c r="J966" s="386" t="s">
        <v>794</v>
      </c>
      <c r="K966" s="386" t="s">
        <v>794</v>
      </c>
      <c r="L966" s="386" t="s">
        <v>794</v>
      </c>
      <c r="M966" s="482" t="s">
        <v>294</v>
      </c>
      <c r="N966" s="482">
        <v>21.004550930000001</v>
      </c>
      <c r="O966" s="482">
        <v>92.294601439999994</v>
      </c>
      <c r="P966" s="482" t="s">
        <v>795</v>
      </c>
      <c r="Q966" s="386"/>
      <c r="R966" s="495"/>
      <c r="S966" s="491"/>
      <c r="T966" s="389">
        <v>43300</v>
      </c>
      <c r="U966" s="488"/>
      <c r="V966" s="482"/>
      <c r="W966" s="482"/>
      <c r="X966" s="17"/>
      <c r="Z966" s="17"/>
    </row>
    <row r="967" spans="1:26" ht="14.25" customHeight="1">
      <c r="A967" s="396" t="s">
        <v>2647</v>
      </c>
      <c r="B967" s="155" t="s">
        <v>305</v>
      </c>
      <c r="C967" s="156" t="s">
        <v>683</v>
      </c>
      <c r="D967" s="485" t="s">
        <v>1656</v>
      </c>
      <c r="E967" s="150">
        <v>197866</v>
      </c>
      <c r="F967" s="150"/>
      <c r="G967" s="150"/>
      <c r="H967" s="150"/>
      <c r="I967" s="150"/>
      <c r="J967" s="150" t="s">
        <v>794</v>
      </c>
      <c r="K967" s="150" t="s">
        <v>794</v>
      </c>
      <c r="L967" s="150" t="s">
        <v>794</v>
      </c>
      <c r="M967" s="150" t="s">
        <v>791</v>
      </c>
      <c r="N967" s="150">
        <v>21.05834961</v>
      </c>
      <c r="O967" s="150">
        <v>92.336326600000007</v>
      </c>
      <c r="P967" s="150" t="s">
        <v>795</v>
      </c>
      <c r="Q967" s="150" t="s">
        <v>776</v>
      </c>
      <c r="R967" s="436"/>
      <c r="S967" s="435"/>
      <c r="T967" s="152">
        <v>42745</v>
      </c>
      <c r="U967" s="153"/>
      <c r="V967" s="150" t="s">
        <v>683</v>
      </c>
      <c r="W967" s="482"/>
      <c r="X967" s="17"/>
      <c r="Z967" s="17"/>
    </row>
    <row r="968" spans="1:26" ht="14.25" customHeight="1">
      <c r="A968" s="482" t="s">
        <v>2647</v>
      </c>
      <c r="B968" s="514" t="s">
        <v>305</v>
      </c>
      <c r="C968" s="515" t="s">
        <v>671</v>
      </c>
      <c r="D968" s="485" t="s">
        <v>1656</v>
      </c>
      <c r="E968" s="482"/>
      <c r="F968" s="482"/>
      <c r="G968" s="482"/>
      <c r="H968" s="482"/>
      <c r="I968" s="482"/>
      <c r="J968" s="386" t="s">
        <v>794</v>
      </c>
      <c r="K968" s="386" t="s">
        <v>794</v>
      </c>
      <c r="L968" s="386" t="s">
        <v>794</v>
      </c>
      <c r="M968" s="482" t="s">
        <v>294</v>
      </c>
      <c r="N968" s="482">
        <v>21.004550930000001</v>
      </c>
      <c r="O968" s="482">
        <v>92.294601439999994</v>
      </c>
      <c r="P968" s="386" t="s">
        <v>795</v>
      </c>
      <c r="Q968" s="482" t="s">
        <v>776</v>
      </c>
      <c r="R968" s="494"/>
      <c r="S968" s="487"/>
      <c r="T968" s="506"/>
      <c r="U968" s="488"/>
      <c r="V968" s="482" t="s">
        <v>671</v>
      </c>
      <c r="W968" s="482"/>
      <c r="X968" s="17"/>
      <c r="Z968" s="17"/>
    </row>
    <row r="969" spans="1:26" ht="14.25" customHeight="1">
      <c r="A969" s="482" t="s">
        <v>2647</v>
      </c>
      <c r="B969" s="504" t="s">
        <v>305</v>
      </c>
      <c r="C969" s="503" t="s">
        <v>2057</v>
      </c>
      <c r="D969" s="431"/>
      <c r="E969" s="482">
        <v>197983</v>
      </c>
      <c r="F969" s="482"/>
      <c r="G969" s="482"/>
      <c r="H969" s="482"/>
      <c r="I969" s="482"/>
      <c r="J969" s="386" t="s">
        <v>794</v>
      </c>
      <c r="K969" s="386" t="s">
        <v>794</v>
      </c>
      <c r="L969" s="386" t="s">
        <v>794</v>
      </c>
      <c r="M969" s="482" t="s">
        <v>679</v>
      </c>
      <c r="N969" s="482">
        <v>20.834699629999999</v>
      </c>
      <c r="O969" s="482">
        <v>92.372390749999994</v>
      </c>
      <c r="P969" s="386" t="s">
        <v>795</v>
      </c>
      <c r="Q969" s="482"/>
      <c r="R969" s="486"/>
      <c r="S969" s="487"/>
      <c r="T969" s="506">
        <v>43300</v>
      </c>
      <c r="U969" s="488"/>
      <c r="V969" s="482"/>
      <c r="W969" s="482"/>
      <c r="X969" s="17"/>
      <c r="Z969" s="17"/>
    </row>
    <row r="970" spans="1:26" ht="14.25" customHeight="1">
      <c r="A970" s="396" t="s">
        <v>2647</v>
      </c>
      <c r="B970" s="504" t="s">
        <v>305</v>
      </c>
      <c r="C970" s="503" t="s">
        <v>562</v>
      </c>
      <c r="D970" s="431" t="s">
        <v>1656</v>
      </c>
      <c r="E970" s="482">
        <v>198047</v>
      </c>
      <c r="F970" s="386"/>
      <c r="G970" s="386"/>
      <c r="H970" s="386"/>
      <c r="I970" s="482"/>
      <c r="J970" s="386" t="s">
        <v>794</v>
      </c>
      <c r="K970" s="386" t="s">
        <v>794</v>
      </c>
      <c r="L970" s="482" t="s">
        <v>794</v>
      </c>
      <c r="M970" s="386" t="s">
        <v>791</v>
      </c>
      <c r="N970" s="482">
        <v>20.717479709999999</v>
      </c>
      <c r="O970" s="482">
        <v>92.437492370000001</v>
      </c>
      <c r="P970" s="386" t="s">
        <v>795</v>
      </c>
      <c r="Q970" s="386" t="s">
        <v>776</v>
      </c>
      <c r="R970" s="486"/>
      <c r="S970" s="487"/>
      <c r="T970" s="389"/>
      <c r="U970" s="388"/>
      <c r="V970" s="386" t="s">
        <v>562</v>
      </c>
      <c r="W970" s="482"/>
      <c r="X970" s="17"/>
      <c r="Z970" s="17"/>
    </row>
    <row r="971" spans="1:26" ht="14.25" customHeight="1">
      <c r="A971" s="482" t="s">
        <v>2647</v>
      </c>
      <c r="B971" s="504" t="s">
        <v>305</v>
      </c>
      <c r="C971" s="503" t="s">
        <v>2530</v>
      </c>
      <c r="D971" s="431"/>
      <c r="E971" s="482"/>
      <c r="F971" s="482" t="s">
        <v>2637</v>
      </c>
      <c r="G971" s="482"/>
      <c r="H971" s="482"/>
      <c r="I971" s="482"/>
      <c r="J971" s="482" t="s">
        <v>794</v>
      </c>
      <c r="K971" s="482" t="s">
        <v>794</v>
      </c>
      <c r="L971" s="482" t="s">
        <v>794</v>
      </c>
      <c r="M971" s="482" t="s">
        <v>294</v>
      </c>
      <c r="N971" s="482"/>
      <c r="O971" s="482"/>
      <c r="P971" s="482" t="s">
        <v>795</v>
      </c>
      <c r="Q971" s="482"/>
      <c r="R971" s="486"/>
      <c r="S971" s="487"/>
      <c r="T971" s="506"/>
      <c r="U971" s="488"/>
      <c r="V971" s="482"/>
      <c r="W971" s="482"/>
      <c r="X971" s="17"/>
      <c r="Z971" s="17"/>
    </row>
    <row r="972" spans="1:26" ht="14.25" customHeight="1">
      <c r="A972" s="487" t="s">
        <v>2647</v>
      </c>
      <c r="B972" s="514" t="s">
        <v>305</v>
      </c>
      <c r="C972" s="515" t="s">
        <v>2810</v>
      </c>
      <c r="D972" s="485"/>
      <c r="E972" s="482"/>
      <c r="F972" s="386"/>
      <c r="G972" s="386"/>
      <c r="H972" s="396"/>
      <c r="I972" s="396"/>
      <c r="J972" s="386" t="s">
        <v>794</v>
      </c>
      <c r="K972" s="386" t="s">
        <v>794</v>
      </c>
      <c r="L972" s="386" t="s">
        <v>794</v>
      </c>
      <c r="M972" s="386"/>
      <c r="N972" s="482"/>
      <c r="O972" s="482"/>
      <c r="P972" s="386" t="s">
        <v>795</v>
      </c>
      <c r="Q972" s="386"/>
      <c r="R972" s="494"/>
      <c r="S972" s="487"/>
      <c r="T972" s="389"/>
      <c r="U972" s="494"/>
      <c r="V972" s="484"/>
      <c r="W972" s="486"/>
      <c r="X972" s="17"/>
      <c r="Z972" s="17"/>
    </row>
    <row r="973" spans="1:26" ht="14.25" customHeight="1">
      <c r="A973" s="482" t="s">
        <v>2647</v>
      </c>
      <c r="B973" s="514" t="s">
        <v>305</v>
      </c>
      <c r="C973" s="515" t="s">
        <v>2044</v>
      </c>
      <c r="D973" s="485"/>
      <c r="E973" s="482">
        <v>220737</v>
      </c>
      <c r="F973" s="482" t="s">
        <v>544</v>
      </c>
      <c r="G973" s="482"/>
      <c r="H973" s="482"/>
      <c r="I973" s="482"/>
      <c r="J973" s="386" t="s">
        <v>794</v>
      </c>
      <c r="K973" s="386" t="s">
        <v>794</v>
      </c>
      <c r="L973" s="386" t="s">
        <v>794</v>
      </c>
      <c r="M973" s="482" t="s">
        <v>294</v>
      </c>
      <c r="N973" s="482">
        <v>20.806211470000001</v>
      </c>
      <c r="O973" s="482">
        <v>92.404357910000002</v>
      </c>
      <c r="P973" s="386" t="s">
        <v>795</v>
      </c>
      <c r="Q973" s="482"/>
      <c r="R973" s="494"/>
      <c r="S973" s="487"/>
      <c r="T973" s="506">
        <v>43300</v>
      </c>
      <c r="U973" s="488"/>
      <c r="V973" s="482"/>
      <c r="W973" s="482"/>
      <c r="X973" s="17"/>
      <c r="Z973" s="17"/>
    </row>
    <row r="974" spans="1:26" ht="14.25" customHeight="1">
      <c r="A974" s="396" t="s">
        <v>2647</v>
      </c>
      <c r="B974" s="504" t="s">
        <v>305</v>
      </c>
      <c r="C974" s="503" t="s">
        <v>2028</v>
      </c>
      <c r="D974" s="431"/>
      <c r="E974" s="386">
        <v>197940</v>
      </c>
      <c r="F974" s="482"/>
      <c r="G974" s="386"/>
      <c r="H974" s="386"/>
      <c r="I974" s="396"/>
      <c r="J974" s="386" t="s">
        <v>794</v>
      </c>
      <c r="K974" s="386" t="s">
        <v>794</v>
      </c>
      <c r="L974" s="386" t="s">
        <v>794</v>
      </c>
      <c r="M974" s="386" t="s">
        <v>791</v>
      </c>
      <c r="N974" s="482">
        <v>20.836729049999999</v>
      </c>
      <c r="O974" s="482">
        <v>92.350952149999998</v>
      </c>
      <c r="P974" s="386" t="s">
        <v>795</v>
      </c>
      <c r="Q974" s="386"/>
      <c r="R974" s="486"/>
      <c r="S974" s="487"/>
      <c r="T974" s="389">
        <v>43300</v>
      </c>
      <c r="U974" s="388"/>
      <c r="V974" s="386"/>
      <c r="W974" s="482"/>
      <c r="X974" s="17"/>
      <c r="Z974" s="17"/>
    </row>
    <row r="975" spans="1:26" ht="14.25" customHeight="1">
      <c r="A975" s="396" t="s">
        <v>2647</v>
      </c>
      <c r="B975" s="514" t="s">
        <v>305</v>
      </c>
      <c r="C975" s="515" t="s">
        <v>2027</v>
      </c>
      <c r="D975" s="485"/>
      <c r="E975" s="386">
        <v>197940</v>
      </c>
      <c r="F975" s="482"/>
      <c r="G975" s="386"/>
      <c r="H975" s="396"/>
      <c r="I975" s="396"/>
      <c r="J975" s="386" t="s">
        <v>794</v>
      </c>
      <c r="K975" s="386" t="s">
        <v>794</v>
      </c>
      <c r="L975" s="386" t="s">
        <v>794</v>
      </c>
      <c r="M975" s="386" t="s">
        <v>791</v>
      </c>
      <c r="N975" s="482">
        <v>20.836729049999999</v>
      </c>
      <c r="O975" s="482">
        <v>92.350952149999998</v>
      </c>
      <c r="P975" s="482" t="s">
        <v>795</v>
      </c>
      <c r="Q975" s="386"/>
      <c r="R975" s="494"/>
      <c r="S975" s="487"/>
      <c r="T975" s="389">
        <v>43300</v>
      </c>
      <c r="U975" s="388"/>
      <c r="V975" s="386"/>
      <c r="W975" s="482"/>
      <c r="X975" s="17"/>
      <c r="Z975" s="17"/>
    </row>
    <row r="976" spans="1:26" ht="14.25" customHeight="1">
      <c r="A976" s="482" t="s">
        <v>2647</v>
      </c>
      <c r="B976" s="514" t="s">
        <v>305</v>
      </c>
      <c r="C976" s="515" t="s">
        <v>2025</v>
      </c>
      <c r="D976" s="485"/>
      <c r="E976" s="484">
        <v>197940</v>
      </c>
      <c r="F976" s="482"/>
      <c r="G976" s="482"/>
      <c r="H976" s="482"/>
      <c r="I976" s="482"/>
      <c r="J976" s="386" t="s">
        <v>794</v>
      </c>
      <c r="K976" s="386" t="s">
        <v>794</v>
      </c>
      <c r="L976" s="386" t="s">
        <v>794</v>
      </c>
      <c r="M976" s="386" t="s">
        <v>791</v>
      </c>
      <c r="N976" s="482">
        <v>20.836729049999999</v>
      </c>
      <c r="O976" s="482">
        <v>92.350952149999998</v>
      </c>
      <c r="P976" s="386" t="s">
        <v>795</v>
      </c>
      <c r="Q976" s="482"/>
      <c r="R976" s="494"/>
      <c r="S976" s="487"/>
      <c r="T976" s="506">
        <v>43300</v>
      </c>
      <c r="U976" s="488"/>
      <c r="V976" s="482"/>
      <c r="W976" s="482"/>
      <c r="X976" s="17"/>
      <c r="Z976" s="17"/>
    </row>
    <row r="977" spans="1:26" ht="14.25" customHeight="1">
      <c r="A977" s="396" t="s">
        <v>2647</v>
      </c>
      <c r="B977" s="411" t="s">
        <v>305</v>
      </c>
      <c r="C977" s="410" t="s">
        <v>2093</v>
      </c>
      <c r="D977" s="431"/>
      <c r="E977" s="482">
        <v>197940</v>
      </c>
      <c r="F977" s="482"/>
      <c r="G977" s="386"/>
      <c r="H977" s="396"/>
      <c r="I977" s="396"/>
      <c r="J977" s="386" t="s">
        <v>794</v>
      </c>
      <c r="K977" s="386" t="s">
        <v>794</v>
      </c>
      <c r="L977" s="396" t="s">
        <v>794</v>
      </c>
      <c r="M977" s="386" t="s">
        <v>679</v>
      </c>
      <c r="N977" s="482">
        <v>20.836729049999999</v>
      </c>
      <c r="O977" s="482">
        <v>92.350952149999998</v>
      </c>
      <c r="P977" s="386" t="s">
        <v>795</v>
      </c>
      <c r="Q977" s="386"/>
      <c r="R977" s="486"/>
      <c r="S977" s="487"/>
      <c r="T977" s="389">
        <v>43300</v>
      </c>
      <c r="U977" s="388"/>
      <c r="V977" s="386"/>
      <c r="W977" s="482"/>
      <c r="X977" s="17"/>
      <c r="Z977" s="17"/>
    </row>
    <row r="978" spans="1:26" ht="14.25" customHeight="1">
      <c r="A978" s="396" t="s">
        <v>2647</v>
      </c>
      <c r="B978" s="411" t="s">
        <v>305</v>
      </c>
      <c r="C978" s="410" t="s">
        <v>2074</v>
      </c>
      <c r="D978" s="431"/>
      <c r="E978" s="386">
        <v>197933</v>
      </c>
      <c r="F978" s="482"/>
      <c r="G978" s="386"/>
      <c r="H978" s="396"/>
      <c r="I978" s="396"/>
      <c r="J978" s="386" t="s">
        <v>794</v>
      </c>
      <c r="K978" s="386" t="s">
        <v>794</v>
      </c>
      <c r="L978" s="396" t="s">
        <v>794</v>
      </c>
      <c r="M978" s="386" t="s">
        <v>791</v>
      </c>
      <c r="N978" s="482">
        <v>20.85235977</v>
      </c>
      <c r="O978" s="482">
        <v>92.352790830000004</v>
      </c>
      <c r="P978" s="396" t="s">
        <v>795</v>
      </c>
      <c r="Q978" s="386"/>
      <c r="R978" s="486"/>
      <c r="S978" s="487"/>
      <c r="T978" s="389">
        <v>43300</v>
      </c>
      <c r="U978" s="388"/>
      <c r="V978" s="386"/>
      <c r="W978" s="482"/>
      <c r="X978" s="17"/>
      <c r="Z978" s="17"/>
    </row>
    <row r="979" spans="1:26" ht="14.25" customHeight="1">
      <c r="A979" s="482" t="s">
        <v>2647</v>
      </c>
      <c r="B979" s="504" t="s">
        <v>305</v>
      </c>
      <c r="C979" s="503" t="s">
        <v>684</v>
      </c>
      <c r="D979" s="431" t="s">
        <v>1656</v>
      </c>
      <c r="E979" s="482" t="s">
        <v>1415</v>
      </c>
      <c r="F979" s="482"/>
      <c r="G979" s="482"/>
      <c r="H979" s="482" t="s">
        <v>40</v>
      </c>
      <c r="I979" s="482"/>
      <c r="J979" s="386" t="s">
        <v>794</v>
      </c>
      <c r="K979" s="386" t="s">
        <v>794</v>
      </c>
      <c r="L979" s="482" t="s">
        <v>1656</v>
      </c>
      <c r="M979" s="386" t="s">
        <v>791</v>
      </c>
      <c r="N979" s="482">
        <v>21.066663999999999</v>
      </c>
      <c r="O979" s="482">
        <v>92.338031000000001</v>
      </c>
      <c r="P979" s="386" t="s">
        <v>795</v>
      </c>
      <c r="Q979" s="482" t="s">
        <v>776</v>
      </c>
      <c r="R979" s="486"/>
      <c r="S979" s="487"/>
      <c r="T979" s="506">
        <v>43248</v>
      </c>
      <c r="U979" s="488" t="s">
        <v>1897</v>
      </c>
      <c r="V979" s="482"/>
      <c r="W979" s="482"/>
      <c r="X979" s="17"/>
      <c r="Z979" s="17"/>
    </row>
    <row r="980" spans="1:26" ht="14.25" customHeight="1">
      <c r="A980" s="482" t="s">
        <v>2647</v>
      </c>
      <c r="B980" s="514" t="s">
        <v>305</v>
      </c>
      <c r="C980" s="515" t="s">
        <v>2000</v>
      </c>
      <c r="D980" s="485"/>
      <c r="E980" s="482">
        <v>197830</v>
      </c>
      <c r="F980" s="482" t="s">
        <v>1996</v>
      </c>
      <c r="G980" s="482"/>
      <c r="H980" s="482"/>
      <c r="I980" s="482"/>
      <c r="J980" s="482" t="s">
        <v>794</v>
      </c>
      <c r="K980" s="482" t="s">
        <v>794</v>
      </c>
      <c r="L980" s="482" t="s">
        <v>794</v>
      </c>
      <c r="M980" s="482" t="s">
        <v>294</v>
      </c>
      <c r="N980" s="482">
        <v>21.218200679999999</v>
      </c>
      <c r="O980" s="482">
        <v>92.323173519999997</v>
      </c>
      <c r="P980" s="482" t="s">
        <v>795</v>
      </c>
      <c r="Q980" s="482"/>
      <c r="R980" s="494"/>
      <c r="S980" s="487"/>
      <c r="T980" s="506">
        <v>43294</v>
      </c>
      <c r="U980" s="488" t="s">
        <v>1994</v>
      </c>
      <c r="V980" s="482"/>
      <c r="W980" s="482"/>
      <c r="X980" s="17"/>
      <c r="Z980" s="17"/>
    </row>
    <row r="981" spans="1:26" ht="14.25" customHeight="1">
      <c r="A981" s="482" t="s">
        <v>2647</v>
      </c>
      <c r="B981" s="514" t="s">
        <v>305</v>
      </c>
      <c r="C981" s="515" t="s">
        <v>2086</v>
      </c>
      <c r="D981" s="485"/>
      <c r="E981" s="386">
        <v>197835</v>
      </c>
      <c r="F981" s="482"/>
      <c r="G981" s="386"/>
      <c r="H981" s="386"/>
      <c r="I981" s="386"/>
      <c r="J981" s="396" t="s">
        <v>794</v>
      </c>
      <c r="K981" s="396" t="s">
        <v>794</v>
      </c>
      <c r="L981" s="396" t="s">
        <v>794</v>
      </c>
      <c r="M981" s="386" t="s">
        <v>294</v>
      </c>
      <c r="N981" s="482">
        <v>21.218610760000001</v>
      </c>
      <c r="O981" s="482">
        <v>92.300231929999995</v>
      </c>
      <c r="P981" s="386" t="s">
        <v>795</v>
      </c>
      <c r="Q981" s="386"/>
      <c r="R981" s="494"/>
      <c r="S981" s="487"/>
      <c r="T981" s="389">
        <v>43300</v>
      </c>
      <c r="U981" s="488"/>
      <c r="V981" s="482"/>
      <c r="W981" s="482"/>
      <c r="X981" s="17"/>
      <c r="Z981" s="17"/>
    </row>
    <row r="982" spans="1:26" ht="14.25" customHeight="1">
      <c r="A982" s="487" t="s">
        <v>2647</v>
      </c>
      <c r="B982" s="514" t="s">
        <v>305</v>
      </c>
      <c r="C982" s="515" t="s">
        <v>2811</v>
      </c>
      <c r="D982" s="485"/>
      <c r="E982" s="386">
        <v>198002</v>
      </c>
      <c r="F982" s="482" t="s">
        <v>2815</v>
      </c>
      <c r="G982" s="386"/>
      <c r="H982" s="386"/>
      <c r="I982" s="386"/>
      <c r="J982" s="386" t="s">
        <v>794</v>
      </c>
      <c r="K982" s="386" t="s">
        <v>794</v>
      </c>
      <c r="L982" s="386" t="s">
        <v>794</v>
      </c>
      <c r="M982" s="386" t="s">
        <v>791</v>
      </c>
      <c r="N982" s="396">
        <v>20.7818698883057</v>
      </c>
      <c r="O982" s="396">
        <v>92.393142700195298</v>
      </c>
      <c r="P982" s="386" t="s">
        <v>795</v>
      </c>
      <c r="Q982" s="386" t="s">
        <v>776</v>
      </c>
      <c r="R982" s="494"/>
      <c r="S982" s="487"/>
      <c r="T982" s="389"/>
      <c r="U982" s="494"/>
      <c r="V982" s="484" t="s">
        <v>590</v>
      </c>
      <c r="W982" s="486"/>
      <c r="X982" s="17"/>
      <c r="Z982" s="17"/>
    </row>
    <row r="983" spans="1:26" ht="14.25" customHeight="1">
      <c r="A983" s="396" t="s">
        <v>2647</v>
      </c>
      <c r="B983" s="411" t="s">
        <v>305</v>
      </c>
      <c r="C983" s="410" t="s">
        <v>2050</v>
      </c>
      <c r="D983" s="431"/>
      <c r="E983" s="386" t="s">
        <v>2095</v>
      </c>
      <c r="F983" s="482"/>
      <c r="G983" s="386"/>
      <c r="H983" s="386"/>
      <c r="I983" s="386"/>
      <c r="J983" s="386" t="s">
        <v>794</v>
      </c>
      <c r="K983" s="386" t="s">
        <v>794</v>
      </c>
      <c r="L983" s="386" t="s">
        <v>794</v>
      </c>
      <c r="M983" s="386" t="s">
        <v>294</v>
      </c>
      <c r="N983" s="396"/>
      <c r="O983" s="396"/>
      <c r="P983" s="386" t="s">
        <v>795</v>
      </c>
      <c r="Q983" s="386"/>
      <c r="R983" s="399"/>
      <c r="S983" s="487"/>
      <c r="T983" s="389">
        <v>43300</v>
      </c>
      <c r="U983" s="388"/>
      <c r="V983" s="386"/>
      <c r="W983" s="482"/>
      <c r="X983" s="17"/>
      <c r="Z983" s="17"/>
    </row>
    <row r="984" spans="1:26" ht="14.25" customHeight="1">
      <c r="A984" s="482" t="s">
        <v>2647</v>
      </c>
      <c r="B984" s="504" t="s">
        <v>305</v>
      </c>
      <c r="C984" s="503" t="s">
        <v>2049</v>
      </c>
      <c r="D984" s="431"/>
      <c r="E984" s="386" t="s">
        <v>2096</v>
      </c>
      <c r="F984" s="482"/>
      <c r="G984" s="482"/>
      <c r="H984" s="482"/>
      <c r="I984" s="482"/>
      <c r="J984" s="386" t="s">
        <v>794</v>
      </c>
      <c r="K984" s="386" t="s">
        <v>794</v>
      </c>
      <c r="L984" s="386" t="s">
        <v>794</v>
      </c>
      <c r="M984" s="386" t="s">
        <v>294</v>
      </c>
      <c r="N984" s="482"/>
      <c r="O984" s="482"/>
      <c r="P984" s="386" t="s">
        <v>795</v>
      </c>
      <c r="Q984" s="482"/>
      <c r="R984" s="486"/>
      <c r="S984" s="487"/>
      <c r="T984" s="506">
        <v>43300</v>
      </c>
      <c r="U984" s="488"/>
      <c r="V984" s="482"/>
      <c r="W984" s="482"/>
      <c r="X984" s="17"/>
      <c r="Z984" s="17"/>
    </row>
    <row r="985" spans="1:26" ht="14.25" customHeight="1">
      <c r="A985" s="482" t="s">
        <v>2647</v>
      </c>
      <c r="B985" s="504" t="s">
        <v>305</v>
      </c>
      <c r="C985" s="503" t="s">
        <v>2048</v>
      </c>
      <c r="D985" s="431"/>
      <c r="E985" s="396" t="s">
        <v>2097</v>
      </c>
      <c r="F985" s="396"/>
      <c r="G985" s="396"/>
      <c r="H985" s="396"/>
      <c r="I985" s="396"/>
      <c r="J985" s="386" t="s">
        <v>794</v>
      </c>
      <c r="K985" s="386" t="s">
        <v>794</v>
      </c>
      <c r="L985" s="386" t="s">
        <v>794</v>
      </c>
      <c r="M985" s="386" t="s">
        <v>294</v>
      </c>
      <c r="N985" s="396"/>
      <c r="O985" s="396"/>
      <c r="P985" s="386" t="s">
        <v>795</v>
      </c>
      <c r="Q985" s="386"/>
      <c r="R985" s="486"/>
      <c r="S985" s="487"/>
      <c r="T985" s="389">
        <v>43300</v>
      </c>
      <c r="U985" s="488"/>
      <c r="V985" s="386"/>
      <c r="W985" s="482"/>
      <c r="X985" s="17"/>
      <c r="Z985" s="17"/>
    </row>
    <row r="986" spans="1:26" ht="14.25" customHeight="1">
      <c r="A986" s="396" t="s">
        <v>2647</v>
      </c>
      <c r="B986" s="411" t="s">
        <v>305</v>
      </c>
      <c r="C986" s="410" t="s">
        <v>2047</v>
      </c>
      <c r="D986" s="431"/>
      <c r="E986" s="386" t="s">
        <v>2098</v>
      </c>
      <c r="F986" s="386"/>
      <c r="G986" s="386"/>
      <c r="H986" s="386"/>
      <c r="I986" s="386"/>
      <c r="J986" s="386" t="s">
        <v>794</v>
      </c>
      <c r="K986" s="386" t="s">
        <v>794</v>
      </c>
      <c r="L986" s="386" t="s">
        <v>794</v>
      </c>
      <c r="M986" s="386" t="s">
        <v>294</v>
      </c>
      <c r="N986" s="396"/>
      <c r="O986" s="396"/>
      <c r="P986" s="386" t="s">
        <v>795</v>
      </c>
      <c r="Q986" s="386"/>
      <c r="R986" s="486"/>
      <c r="S986" s="487"/>
      <c r="T986" s="389">
        <v>43300</v>
      </c>
      <c r="U986" s="388"/>
      <c r="V986" s="482"/>
      <c r="W986" s="482"/>
      <c r="X986" s="17"/>
      <c r="Z986" s="17"/>
    </row>
    <row r="987" spans="1:26" ht="14.25" customHeight="1">
      <c r="A987" s="396" t="s">
        <v>2647</v>
      </c>
      <c r="B987" s="504" t="s">
        <v>305</v>
      </c>
      <c r="C987" s="503" t="s">
        <v>1905</v>
      </c>
      <c r="D987" s="431"/>
      <c r="E987" s="386">
        <v>198016</v>
      </c>
      <c r="F987" s="482"/>
      <c r="G987" s="386"/>
      <c r="H987" s="386"/>
      <c r="I987" s="386"/>
      <c r="J987" s="386" t="s">
        <v>794</v>
      </c>
      <c r="K987" s="386" t="s">
        <v>794</v>
      </c>
      <c r="L987" s="386" t="s">
        <v>794</v>
      </c>
      <c r="M987" s="386" t="s">
        <v>294</v>
      </c>
      <c r="N987" s="386">
        <v>20.731571200000001</v>
      </c>
      <c r="O987" s="386">
        <v>92.428176879999995</v>
      </c>
      <c r="P987" s="386" t="s">
        <v>795</v>
      </c>
      <c r="Q987" s="386" t="s">
        <v>1904</v>
      </c>
      <c r="R987" s="486"/>
      <c r="S987" s="487"/>
      <c r="T987" s="389">
        <v>43245</v>
      </c>
      <c r="U987" s="388"/>
      <c r="V987" s="482"/>
      <c r="W987" s="482"/>
      <c r="X987" s="17"/>
      <c r="Z987" s="17"/>
    </row>
    <row r="988" spans="1:26" ht="14.25" customHeight="1">
      <c r="A988" s="396" t="s">
        <v>2647</v>
      </c>
      <c r="B988" s="514" t="s">
        <v>305</v>
      </c>
      <c r="C988" s="515" t="s">
        <v>2685</v>
      </c>
      <c r="D988" s="485"/>
      <c r="E988" s="482">
        <v>198085</v>
      </c>
      <c r="F988" s="445" t="s">
        <v>2671</v>
      </c>
      <c r="G988" s="386"/>
      <c r="H988" s="386"/>
      <c r="I988" s="396"/>
      <c r="J988" s="396" t="s">
        <v>794</v>
      </c>
      <c r="K988" s="396" t="s">
        <v>794</v>
      </c>
      <c r="L988" s="396" t="s">
        <v>794</v>
      </c>
      <c r="M988" s="386"/>
      <c r="N988" s="396">
        <v>20.4804992675781</v>
      </c>
      <c r="O988" s="396">
        <v>92.611358642578097</v>
      </c>
      <c r="P988" s="386" t="s">
        <v>795</v>
      </c>
      <c r="Q988" s="386" t="s">
        <v>2961</v>
      </c>
      <c r="R988" s="494"/>
      <c r="S988" s="487"/>
      <c r="T988" s="389">
        <v>43769</v>
      </c>
      <c r="U988" s="494"/>
      <c r="V988" s="386"/>
      <c r="W988" s="486"/>
      <c r="X988" s="17"/>
      <c r="Z988" s="17"/>
    </row>
    <row r="989" spans="1:26" ht="14.25" customHeight="1">
      <c r="A989" s="482" t="s">
        <v>2647</v>
      </c>
      <c r="B989" s="504" t="s">
        <v>305</v>
      </c>
      <c r="C989" s="503" t="s">
        <v>1748</v>
      </c>
      <c r="D989" s="431"/>
      <c r="E989" s="482">
        <v>197917</v>
      </c>
      <c r="F989" s="386"/>
      <c r="G989" s="386"/>
      <c r="H989" s="482"/>
      <c r="I989" s="482"/>
      <c r="J989" s="482" t="s">
        <v>794</v>
      </c>
      <c r="K989" s="482" t="s">
        <v>794</v>
      </c>
      <c r="L989" s="482" t="s">
        <v>794</v>
      </c>
      <c r="M989" s="482" t="s">
        <v>294</v>
      </c>
      <c r="N989" s="482">
        <v>20.943050379999999</v>
      </c>
      <c r="O989" s="482">
        <v>92.315856929999995</v>
      </c>
      <c r="P989" s="386" t="s">
        <v>795</v>
      </c>
      <c r="Q989" s="482"/>
      <c r="R989" s="486"/>
      <c r="S989" s="487"/>
      <c r="T989" s="506">
        <v>43300</v>
      </c>
      <c r="U989" s="488"/>
      <c r="V989" s="482"/>
      <c r="W989" s="482"/>
      <c r="X989" s="17"/>
      <c r="Z989" s="17"/>
    </row>
    <row r="990" spans="1:26" ht="14.25" customHeight="1">
      <c r="A990" s="396" t="s">
        <v>2647</v>
      </c>
      <c r="B990" s="514" t="s">
        <v>305</v>
      </c>
      <c r="C990" s="515" t="s">
        <v>2689</v>
      </c>
      <c r="D990" s="485"/>
      <c r="E990" s="482">
        <v>220747</v>
      </c>
      <c r="F990" s="482"/>
      <c r="G990" s="482"/>
      <c r="H990" s="482"/>
      <c r="I990" s="482"/>
      <c r="J990" s="386" t="s">
        <v>794</v>
      </c>
      <c r="K990" s="386" t="s">
        <v>794</v>
      </c>
      <c r="L990" s="386" t="s">
        <v>794</v>
      </c>
      <c r="M990" s="482" t="s">
        <v>2070</v>
      </c>
      <c r="N990" s="482">
        <v>21.153581620000001</v>
      </c>
      <c r="O990" s="482">
        <v>92.250885010000005</v>
      </c>
      <c r="P990" s="386" t="s">
        <v>795</v>
      </c>
      <c r="Q990" s="482"/>
      <c r="R990" s="494"/>
      <c r="S990" s="487"/>
      <c r="T990" s="506">
        <v>43300</v>
      </c>
      <c r="U990" s="488"/>
      <c r="V990" s="482"/>
      <c r="W990" s="482"/>
      <c r="X990" s="17"/>
      <c r="Z990" s="17"/>
    </row>
    <row r="991" spans="1:26" ht="14.25" customHeight="1">
      <c r="A991" s="482" t="s">
        <v>2647</v>
      </c>
      <c r="B991" s="504" t="s">
        <v>305</v>
      </c>
      <c r="C991" s="503" t="s">
        <v>2688</v>
      </c>
      <c r="D991" s="431"/>
      <c r="E991" s="484">
        <v>220747</v>
      </c>
      <c r="F991" s="482" t="s">
        <v>1997</v>
      </c>
      <c r="G991" s="482"/>
      <c r="H991" s="482"/>
      <c r="I991" s="482"/>
      <c r="J991" s="386" t="s">
        <v>794</v>
      </c>
      <c r="K991" s="386" t="s">
        <v>794</v>
      </c>
      <c r="L991" s="386" t="s">
        <v>794</v>
      </c>
      <c r="M991" s="482" t="s">
        <v>294</v>
      </c>
      <c r="N991" s="482">
        <v>21.153581620000001</v>
      </c>
      <c r="O991" s="482">
        <v>92.250885010000005</v>
      </c>
      <c r="P991" s="386" t="s">
        <v>795</v>
      </c>
      <c r="Q991" s="482"/>
      <c r="R991" s="486"/>
      <c r="S991" s="487"/>
      <c r="T991" s="506">
        <v>43294</v>
      </c>
      <c r="U991" s="488" t="s">
        <v>1994</v>
      </c>
      <c r="V991" s="482"/>
      <c r="W991" s="482"/>
      <c r="X991" s="17"/>
      <c r="Z991" s="17"/>
    </row>
    <row r="992" spans="1:26" ht="14.25" customHeight="1">
      <c r="A992" s="482" t="s">
        <v>2647</v>
      </c>
      <c r="B992" s="514" t="s">
        <v>305</v>
      </c>
      <c r="C992" s="503" t="s">
        <v>2037</v>
      </c>
      <c r="D992" s="432"/>
      <c r="E992" s="484">
        <v>197957</v>
      </c>
      <c r="F992" s="484"/>
      <c r="G992" s="484"/>
      <c r="H992" s="484"/>
      <c r="I992" s="484"/>
      <c r="J992" s="484" t="s">
        <v>794</v>
      </c>
      <c r="K992" s="484" t="s">
        <v>794</v>
      </c>
      <c r="L992" s="484" t="s">
        <v>794</v>
      </c>
      <c r="M992" s="484" t="s">
        <v>791</v>
      </c>
      <c r="N992" s="484">
        <v>20.900329589999998</v>
      </c>
      <c r="O992" s="484">
        <v>92.362213130000001</v>
      </c>
      <c r="P992" s="386" t="s">
        <v>795</v>
      </c>
      <c r="Q992" s="484"/>
      <c r="R992" s="495"/>
      <c r="S992" s="491"/>
      <c r="T992" s="507">
        <v>43300</v>
      </c>
      <c r="U992" s="492"/>
      <c r="V992" s="484"/>
      <c r="W992" s="482"/>
      <c r="X992" s="17"/>
      <c r="Z992" s="17"/>
    </row>
    <row r="993" spans="1:26" ht="14.25" customHeight="1">
      <c r="A993" s="482" t="s">
        <v>2647</v>
      </c>
      <c r="B993" s="504" t="s">
        <v>305</v>
      </c>
      <c r="C993" s="503" t="s">
        <v>687</v>
      </c>
      <c r="D993" s="431" t="s">
        <v>1656</v>
      </c>
      <c r="E993" s="482">
        <v>220722</v>
      </c>
      <c r="F993" s="482"/>
      <c r="G993" s="482"/>
      <c r="H993" s="482"/>
      <c r="I993" s="482"/>
      <c r="J993" s="386" t="s">
        <v>794</v>
      </c>
      <c r="K993" s="386" t="s">
        <v>794</v>
      </c>
      <c r="L993" s="482" t="s">
        <v>794</v>
      </c>
      <c r="M993" s="482" t="s">
        <v>791</v>
      </c>
      <c r="N993" s="482">
        <v>21.200752260000002</v>
      </c>
      <c r="O993" s="482">
        <v>92.309303279999995</v>
      </c>
      <c r="P993" s="386" t="s">
        <v>795</v>
      </c>
      <c r="Q993" s="482" t="s">
        <v>776</v>
      </c>
      <c r="R993" s="486"/>
      <c r="S993" s="487"/>
      <c r="T993" s="506"/>
      <c r="U993" s="488"/>
      <c r="V993" s="482" t="s">
        <v>955</v>
      </c>
      <c r="W993" s="482"/>
      <c r="X993" s="17"/>
      <c r="Z993" s="17"/>
    </row>
    <row r="994" spans="1:26" ht="14.25" customHeight="1">
      <c r="A994" s="482" t="s">
        <v>2647</v>
      </c>
      <c r="B994" s="514" t="s">
        <v>305</v>
      </c>
      <c r="C994" s="515" t="s">
        <v>622</v>
      </c>
      <c r="D994" s="485" t="s">
        <v>1656</v>
      </c>
      <c r="E994" s="386" t="s">
        <v>1405</v>
      </c>
      <c r="F994" s="386"/>
      <c r="G994" s="386"/>
      <c r="H994" s="386" t="s">
        <v>40</v>
      </c>
      <c r="I994" s="386"/>
      <c r="J994" s="386" t="s">
        <v>794</v>
      </c>
      <c r="K994" s="386" t="s">
        <v>794</v>
      </c>
      <c r="L994" s="396" t="s">
        <v>1656</v>
      </c>
      <c r="M994" s="386" t="s">
        <v>791</v>
      </c>
      <c r="N994" s="396">
        <v>20.824517</v>
      </c>
      <c r="O994" s="396">
        <v>92.401293999999993</v>
      </c>
      <c r="P994" s="386" t="s">
        <v>795</v>
      </c>
      <c r="Q994" s="386"/>
      <c r="R994" s="494"/>
      <c r="S994" s="487"/>
      <c r="T994" s="389">
        <v>43248</v>
      </c>
      <c r="U994" s="488" t="s">
        <v>1897</v>
      </c>
      <c r="V994" s="386" t="s">
        <v>937</v>
      </c>
      <c r="W994" s="482"/>
      <c r="X994" s="17"/>
      <c r="Z994" s="17"/>
    </row>
    <row r="995" spans="1:26" ht="14.25" customHeight="1">
      <c r="A995" s="396" t="s">
        <v>2647</v>
      </c>
      <c r="B995" s="514" t="s">
        <v>305</v>
      </c>
      <c r="C995" s="515" t="s">
        <v>2039</v>
      </c>
      <c r="D995" s="485"/>
      <c r="E995" s="386">
        <v>197951</v>
      </c>
      <c r="F995" s="482"/>
      <c r="G995" s="386"/>
      <c r="H995" s="386"/>
      <c r="I995" s="396"/>
      <c r="J995" s="386" t="s">
        <v>794</v>
      </c>
      <c r="K995" s="386" t="s">
        <v>794</v>
      </c>
      <c r="L995" s="396" t="s">
        <v>794</v>
      </c>
      <c r="M995" s="386" t="s">
        <v>791</v>
      </c>
      <c r="N995" s="396">
        <v>20.905330660000001</v>
      </c>
      <c r="O995" s="396">
        <v>92.344802860000001</v>
      </c>
      <c r="P995" s="386" t="s">
        <v>795</v>
      </c>
      <c r="Q995" s="386"/>
      <c r="R995" s="494"/>
      <c r="S995" s="487"/>
      <c r="T995" s="389">
        <v>43300</v>
      </c>
      <c r="U995" s="388"/>
      <c r="V995" s="386"/>
      <c r="W995" s="482"/>
      <c r="X995" s="17"/>
      <c r="Z995" s="17"/>
    </row>
    <row r="996" spans="1:26" ht="14.25" customHeight="1">
      <c r="A996" s="482" t="s">
        <v>2647</v>
      </c>
      <c r="B996" s="514" t="s">
        <v>305</v>
      </c>
      <c r="C996" s="515" t="s">
        <v>2040</v>
      </c>
      <c r="D996" s="485"/>
      <c r="E996" s="482">
        <v>197952</v>
      </c>
      <c r="F996" s="482"/>
      <c r="G996" s="386"/>
      <c r="H996" s="396"/>
      <c r="I996" s="396"/>
      <c r="J996" s="386" t="s">
        <v>794</v>
      </c>
      <c r="K996" s="386" t="s">
        <v>794</v>
      </c>
      <c r="L996" s="386" t="s">
        <v>794</v>
      </c>
      <c r="M996" s="386" t="s">
        <v>791</v>
      </c>
      <c r="N996" s="396">
        <v>20.90098953</v>
      </c>
      <c r="O996" s="396">
        <v>92.355827329999997</v>
      </c>
      <c r="P996" s="386" t="s">
        <v>795</v>
      </c>
      <c r="Q996" s="386"/>
      <c r="R996" s="494"/>
      <c r="S996" s="487"/>
      <c r="T996" s="389">
        <v>43300</v>
      </c>
      <c r="U996" s="488"/>
      <c r="V996" s="503"/>
      <c r="W996" s="482"/>
      <c r="X996" s="17"/>
      <c r="Z996" s="17"/>
    </row>
    <row r="997" spans="1:26" ht="14.25" customHeight="1">
      <c r="A997" s="482" t="s">
        <v>2647</v>
      </c>
      <c r="B997" s="504" t="s">
        <v>305</v>
      </c>
      <c r="C997" s="503" t="s">
        <v>686</v>
      </c>
      <c r="D997" s="431" t="s">
        <v>1656</v>
      </c>
      <c r="E997" s="482">
        <v>197839</v>
      </c>
      <c r="F997" s="482"/>
      <c r="G997" s="386"/>
      <c r="H997" s="386"/>
      <c r="I997" s="386"/>
      <c r="J997" s="386" t="s">
        <v>794</v>
      </c>
      <c r="K997" s="386" t="s">
        <v>794</v>
      </c>
      <c r="L997" s="386" t="s">
        <v>794</v>
      </c>
      <c r="M997" s="386" t="s">
        <v>791</v>
      </c>
      <c r="N997" s="482">
        <v>21.18890953</v>
      </c>
      <c r="O997" s="482">
        <v>92.306762699999993</v>
      </c>
      <c r="P997" s="386" t="s">
        <v>795</v>
      </c>
      <c r="Q997" s="386" t="s">
        <v>776</v>
      </c>
      <c r="R997" s="486"/>
      <c r="S997" s="487"/>
      <c r="T997" s="389"/>
      <c r="U997" s="488"/>
      <c r="V997" s="484" t="s">
        <v>954</v>
      </c>
      <c r="W997" s="482"/>
      <c r="X997" s="17"/>
      <c r="Z997" s="17"/>
    </row>
    <row r="998" spans="1:26" ht="14.25" customHeight="1">
      <c r="A998" s="482" t="s">
        <v>2647</v>
      </c>
      <c r="B998" s="504" t="s">
        <v>305</v>
      </c>
      <c r="C998" s="503" t="s">
        <v>2055</v>
      </c>
      <c r="D998" s="431"/>
      <c r="E998" s="482"/>
      <c r="F998" s="386"/>
      <c r="G998" s="386"/>
      <c r="H998" s="482"/>
      <c r="I998" s="482"/>
      <c r="J998" s="482" t="s">
        <v>794</v>
      </c>
      <c r="K998" s="482" t="s">
        <v>794</v>
      </c>
      <c r="L998" s="482" t="s">
        <v>794</v>
      </c>
      <c r="M998" s="482" t="s">
        <v>2068</v>
      </c>
      <c r="N998" s="482"/>
      <c r="O998" s="482"/>
      <c r="P998" s="386" t="s">
        <v>795</v>
      </c>
      <c r="Q998" s="482"/>
      <c r="R998" s="486"/>
      <c r="S998" s="487"/>
      <c r="T998" s="506">
        <v>43300</v>
      </c>
      <c r="U998" s="488"/>
      <c r="V998" s="396"/>
      <c r="W998" s="482"/>
      <c r="X998" s="17"/>
      <c r="Z998" s="17"/>
    </row>
    <row r="999" spans="1:26" ht="14.25" customHeight="1">
      <c r="A999" s="396" t="s">
        <v>2647</v>
      </c>
      <c r="B999" s="504" t="s">
        <v>305</v>
      </c>
      <c r="C999" s="503" t="s">
        <v>2702</v>
      </c>
      <c r="D999" s="431"/>
      <c r="E999" s="482">
        <v>198101</v>
      </c>
      <c r="F999" s="482"/>
      <c r="G999" s="482"/>
      <c r="H999" s="482"/>
      <c r="I999" s="482"/>
      <c r="J999" s="386" t="s">
        <v>794</v>
      </c>
      <c r="K999" s="396" t="s">
        <v>794</v>
      </c>
      <c r="L999" s="396" t="s">
        <v>794</v>
      </c>
      <c r="M999" s="482" t="s">
        <v>2070</v>
      </c>
      <c r="N999" s="482">
        <v>21.177719119999999</v>
      </c>
      <c r="O999" s="482">
        <v>92.239547729999998</v>
      </c>
      <c r="P999" s="386" t="s">
        <v>795</v>
      </c>
      <c r="Q999" s="482"/>
      <c r="R999" s="490"/>
      <c r="S999" s="491"/>
      <c r="T999" s="506">
        <v>43300</v>
      </c>
      <c r="U999" s="488"/>
      <c r="V999" s="482"/>
      <c r="W999" s="482"/>
      <c r="X999" s="17"/>
      <c r="Z999" s="17"/>
    </row>
    <row r="1000" spans="1:26" ht="14.25" customHeight="1">
      <c r="A1000" s="396" t="s">
        <v>2647</v>
      </c>
      <c r="B1000" s="504" t="s">
        <v>305</v>
      </c>
      <c r="C1000" s="503" t="s">
        <v>1995</v>
      </c>
      <c r="D1000" s="431"/>
      <c r="E1000" s="386">
        <v>198101</v>
      </c>
      <c r="F1000" s="482" t="s">
        <v>1997</v>
      </c>
      <c r="G1000" s="386"/>
      <c r="H1000" s="386"/>
      <c r="I1000" s="482"/>
      <c r="J1000" s="386" t="s">
        <v>794</v>
      </c>
      <c r="K1000" s="386" t="s">
        <v>794</v>
      </c>
      <c r="L1000" s="482" t="s">
        <v>794</v>
      </c>
      <c r="M1000" s="386" t="s">
        <v>294</v>
      </c>
      <c r="N1000" s="482">
        <v>21.177719119999999</v>
      </c>
      <c r="O1000" s="482">
        <v>92.239547729999998</v>
      </c>
      <c r="P1000" s="386" t="s">
        <v>795</v>
      </c>
      <c r="Q1000" s="386"/>
      <c r="R1000" s="486"/>
      <c r="S1000" s="487"/>
      <c r="T1000" s="389">
        <v>43294</v>
      </c>
      <c r="U1000" s="388" t="s">
        <v>1994</v>
      </c>
      <c r="V1000" s="484"/>
      <c r="W1000" s="482"/>
      <c r="X1000" s="17"/>
      <c r="Z1000" s="17"/>
    </row>
    <row r="1001" spans="1:26" ht="14.25" customHeight="1">
      <c r="A1001" s="482" t="s">
        <v>2647</v>
      </c>
      <c r="B1001" s="504" t="s">
        <v>305</v>
      </c>
      <c r="C1001" s="503" t="s">
        <v>345</v>
      </c>
      <c r="D1001" s="431" t="s">
        <v>1656</v>
      </c>
      <c r="E1001" s="482"/>
      <c r="F1001" s="482"/>
      <c r="G1001" s="482"/>
      <c r="H1001" s="482"/>
      <c r="I1001" s="482"/>
      <c r="J1001" s="482" t="s">
        <v>794</v>
      </c>
      <c r="K1001" s="482" t="s">
        <v>794</v>
      </c>
      <c r="L1001" s="482" t="s">
        <v>794</v>
      </c>
      <c r="M1001" s="482" t="s">
        <v>294</v>
      </c>
      <c r="N1001" s="482"/>
      <c r="O1001" s="482"/>
      <c r="P1001" s="482" t="s">
        <v>795</v>
      </c>
      <c r="Q1001" s="482" t="s">
        <v>776</v>
      </c>
      <c r="R1001" s="486"/>
      <c r="S1001" s="487"/>
      <c r="T1001" s="506"/>
      <c r="U1001" s="488"/>
      <c r="V1001" s="482" t="s">
        <v>345</v>
      </c>
      <c r="W1001" s="482"/>
      <c r="X1001" s="17"/>
      <c r="Z1001" s="17"/>
    </row>
    <row r="1002" spans="1:26" ht="14.25" customHeight="1">
      <c r="A1002" s="482" t="s">
        <v>2647</v>
      </c>
      <c r="B1002" s="504" t="s">
        <v>305</v>
      </c>
      <c r="C1002" s="503" t="s">
        <v>346</v>
      </c>
      <c r="D1002" s="431" t="s">
        <v>1656</v>
      </c>
      <c r="E1002" s="482"/>
      <c r="F1002" s="482"/>
      <c r="G1002" s="482"/>
      <c r="H1002" s="482"/>
      <c r="I1002" s="482"/>
      <c r="J1002" s="482" t="s">
        <v>794</v>
      </c>
      <c r="K1002" s="482" t="s">
        <v>794</v>
      </c>
      <c r="L1002" s="482" t="s">
        <v>794</v>
      </c>
      <c r="M1002" s="482" t="s">
        <v>791</v>
      </c>
      <c r="N1002" s="482"/>
      <c r="O1002" s="482"/>
      <c r="P1002" s="482" t="s">
        <v>795</v>
      </c>
      <c r="Q1002" s="482" t="s">
        <v>776</v>
      </c>
      <c r="R1002" s="486"/>
      <c r="S1002" s="487"/>
      <c r="T1002" s="506"/>
      <c r="U1002" s="488"/>
      <c r="V1002" s="482" t="s">
        <v>346</v>
      </c>
      <c r="W1002" s="482"/>
      <c r="X1002" s="17"/>
      <c r="Z1002" s="17"/>
    </row>
    <row r="1003" spans="1:26" ht="14.25" customHeight="1">
      <c r="A1003" s="396" t="s">
        <v>2647</v>
      </c>
      <c r="B1003" s="504" t="s">
        <v>305</v>
      </c>
      <c r="C1003" s="503" t="s">
        <v>347</v>
      </c>
      <c r="D1003" s="431" t="s">
        <v>1656</v>
      </c>
      <c r="E1003" s="386"/>
      <c r="F1003" s="386"/>
      <c r="G1003" s="386"/>
      <c r="H1003" s="386"/>
      <c r="I1003" s="386"/>
      <c r="J1003" s="386" t="s">
        <v>794</v>
      </c>
      <c r="K1003" s="386" t="s">
        <v>794</v>
      </c>
      <c r="L1003" s="386" t="s">
        <v>794</v>
      </c>
      <c r="M1003" s="386" t="s">
        <v>791</v>
      </c>
      <c r="N1003" s="386"/>
      <c r="O1003" s="482"/>
      <c r="P1003" s="386" t="s">
        <v>795</v>
      </c>
      <c r="Q1003" s="386" t="s">
        <v>776</v>
      </c>
      <c r="R1003" s="486"/>
      <c r="S1003" s="487"/>
      <c r="T1003" s="389"/>
      <c r="U1003" s="388"/>
      <c r="V1003" s="386" t="s">
        <v>347</v>
      </c>
      <c r="W1003" s="482"/>
      <c r="X1003" s="17"/>
      <c r="Z1003" s="17"/>
    </row>
    <row r="1004" spans="1:26" ht="14.25" customHeight="1">
      <c r="A1004" s="482" t="s">
        <v>2647</v>
      </c>
      <c r="B1004" s="504" t="s">
        <v>305</v>
      </c>
      <c r="C1004" s="503" t="s">
        <v>2089</v>
      </c>
      <c r="D1004" s="431"/>
      <c r="E1004" s="386">
        <v>197825</v>
      </c>
      <c r="F1004" s="482"/>
      <c r="G1004" s="482"/>
      <c r="H1004" s="482"/>
      <c r="I1004" s="482"/>
      <c r="J1004" s="386" t="s">
        <v>794</v>
      </c>
      <c r="K1004" s="386" t="s">
        <v>794</v>
      </c>
      <c r="L1004" s="386" t="s">
        <v>794</v>
      </c>
      <c r="M1004" s="386" t="s">
        <v>2073</v>
      </c>
      <c r="N1004" s="396">
        <v>21.239080430000001</v>
      </c>
      <c r="O1004" s="396">
        <v>92.288932799999998</v>
      </c>
      <c r="P1004" s="386" t="s">
        <v>795</v>
      </c>
      <c r="Q1004" s="482"/>
      <c r="R1004" s="486"/>
      <c r="S1004" s="487"/>
      <c r="T1004" s="506">
        <v>43300</v>
      </c>
      <c r="U1004" s="488"/>
      <c r="V1004" s="482"/>
      <c r="W1004" s="482"/>
      <c r="X1004" s="17"/>
      <c r="Z1004" s="17"/>
    </row>
    <row r="1005" spans="1:26" ht="14.25" customHeight="1">
      <c r="A1005" s="482" t="s">
        <v>2647</v>
      </c>
      <c r="B1005" s="504" t="s">
        <v>305</v>
      </c>
      <c r="C1005" s="503" t="s">
        <v>348</v>
      </c>
      <c r="D1005" s="431" t="s">
        <v>1656</v>
      </c>
      <c r="E1005" s="386">
        <v>197826</v>
      </c>
      <c r="F1005" s="482"/>
      <c r="G1005" s="386"/>
      <c r="H1005" s="396"/>
      <c r="I1005" s="396"/>
      <c r="J1005" s="386" t="s">
        <v>794</v>
      </c>
      <c r="K1005" s="386" t="s">
        <v>794</v>
      </c>
      <c r="L1005" s="386" t="s">
        <v>794</v>
      </c>
      <c r="M1005" s="386" t="s">
        <v>1989</v>
      </c>
      <c r="N1005" s="498"/>
      <c r="O1005" s="498"/>
      <c r="P1005" s="386" t="s">
        <v>795</v>
      </c>
      <c r="Q1005" s="386" t="s">
        <v>776</v>
      </c>
      <c r="R1005" s="486"/>
      <c r="S1005" s="487"/>
      <c r="T1005" s="389"/>
      <c r="U1005" s="488"/>
      <c r="V1005" s="482" t="s">
        <v>1143</v>
      </c>
      <c r="W1005" s="482"/>
      <c r="X1005" s="17"/>
      <c r="Z1005" s="17"/>
    </row>
    <row r="1006" spans="1:26" ht="14.25" customHeight="1">
      <c r="A1006" s="482" t="s">
        <v>2647</v>
      </c>
      <c r="B1006" s="504" t="s">
        <v>305</v>
      </c>
      <c r="C1006" s="503" t="s">
        <v>2065</v>
      </c>
      <c r="D1006" s="431"/>
      <c r="E1006" s="386">
        <v>197930</v>
      </c>
      <c r="F1006" s="386"/>
      <c r="G1006" s="386"/>
      <c r="H1006" s="396"/>
      <c r="I1006" s="396"/>
      <c r="J1006" s="386" t="s">
        <v>794</v>
      </c>
      <c r="K1006" s="386" t="s">
        <v>794</v>
      </c>
      <c r="L1006" s="386" t="s">
        <v>794</v>
      </c>
      <c r="M1006" s="386" t="s">
        <v>791</v>
      </c>
      <c r="N1006" s="396">
        <v>20.9400692</v>
      </c>
      <c r="O1006" s="396">
        <v>92.337913510000007</v>
      </c>
      <c r="P1006" s="386" t="s">
        <v>795</v>
      </c>
      <c r="Q1006" s="386"/>
      <c r="R1006" s="486"/>
      <c r="S1006" s="487"/>
      <c r="T1006" s="389">
        <v>43300</v>
      </c>
      <c r="U1006" s="488"/>
      <c r="V1006" s="386"/>
      <c r="W1006" s="482"/>
      <c r="X1006" s="17"/>
      <c r="Z1006" s="17"/>
    </row>
    <row r="1007" spans="1:26" ht="14.25" customHeight="1">
      <c r="A1007" s="482" t="s">
        <v>2647</v>
      </c>
      <c r="B1007" s="504" t="s">
        <v>305</v>
      </c>
      <c r="C1007" s="503" t="s">
        <v>2083</v>
      </c>
      <c r="D1007" s="431"/>
      <c r="E1007" s="482">
        <v>220741</v>
      </c>
      <c r="F1007" s="482"/>
      <c r="G1007" s="482"/>
      <c r="H1007" s="482"/>
      <c r="I1007" s="482"/>
      <c r="J1007" s="396" t="s">
        <v>794</v>
      </c>
      <c r="K1007" s="396" t="s">
        <v>794</v>
      </c>
      <c r="L1007" s="396" t="s">
        <v>794</v>
      </c>
      <c r="M1007" s="482" t="s">
        <v>294</v>
      </c>
      <c r="N1007" s="482">
        <v>20.680984500000001</v>
      </c>
      <c r="O1007" s="482">
        <v>92.473495479999997</v>
      </c>
      <c r="P1007" s="386" t="s">
        <v>795</v>
      </c>
      <c r="Q1007" s="482"/>
      <c r="R1007" s="486"/>
      <c r="S1007" s="487"/>
      <c r="T1007" s="506">
        <v>43300</v>
      </c>
      <c r="U1007" s="488"/>
      <c r="V1007" s="484"/>
      <c r="W1007" s="482"/>
      <c r="X1007" s="17"/>
      <c r="Z1007" s="17"/>
    </row>
    <row r="1008" spans="1:26" ht="14.25" customHeight="1">
      <c r="A1008" s="396" t="s">
        <v>2647</v>
      </c>
      <c r="B1008" s="504" t="s">
        <v>305</v>
      </c>
      <c r="C1008" s="503" t="s">
        <v>351</v>
      </c>
      <c r="D1008" s="431" t="s">
        <v>1656</v>
      </c>
      <c r="E1008" s="386"/>
      <c r="F1008" s="482"/>
      <c r="G1008" s="386"/>
      <c r="H1008" s="396"/>
      <c r="I1008" s="396"/>
      <c r="J1008" s="396" t="s">
        <v>794</v>
      </c>
      <c r="K1008" s="396" t="s">
        <v>794</v>
      </c>
      <c r="L1008" s="396" t="s">
        <v>794</v>
      </c>
      <c r="M1008" s="386" t="s">
        <v>294</v>
      </c>
      <c r="N1008" s="396"/>
      <c r="O1008" s="482"/>
      <c r="P1008" s="386" t="s">
        <v>795</v>
      </c>
      <c r="Q1008" s="386" t="s">
        <v>776</v>
      </c>
      <c r="R1008" s="486"/>
      <c r="S1008" s="487"/>
      <c r="T1008" s="389"/>
      <c r="U1008" s="388"/>
      <c r="V1008" s="484" t="s">
        <v>351</v>
      </c>
      <c r="W1008" s="482"/>
      <c r="X1008" s="17"/>
      <c r="Z1008" s="17"/>
    </row>
    <row r="1009" spans="1:26" ht="14.25" customHeight="1">
      <c r="A1009" s="482" t="s">
        <v>2647</v>
      </c>
      <c r="B1009" s="504" t="s">
        <v>305</v>
      </c>
      <c r="C1009" s="503" t="s">
        <v>2531</v>
      </c>
      <c r="D1009" s="431"/>
      <c r="E1009" s="386">
        <v>220736</v>
      </c>
      <c r="F1009" s="482" t="s">
        <v>2638</v>
      </c>
      <c r="G1009" s="386"/>
      <c r="H1009" s="386"/>
      <c r="I1009" s="482"/>
      <c r="J1009" s="386" t="s">
        <v>794</v>
      </c>
      <c r="K1009" s="386" t="s">
        <v>794</v>
      </c>
      <c r="L1009" s="482" t="s">
        <v>794</v>
      </c>
      <c r="M1009" s="386" t="s">
        <v>294</v>
      </c>
      <c r="N1009" s="386"/>
      <c r="O1009" s="386"/>
      <c r="P1009" s="386" t="s">
        <v>795</v>
      </c>
      <c r="Q1009" s="386"/>
      <c r="R1009" s="486"/>
      <c r="S1009" s="487"/>
      <c r="T1009" s="389"/>
      <c r="U1009" s="488"/>
      <c r="V1009" s="482"/>
      <c r="W1009" s="482"/>
      <c r="X1009" s="17"/>
      <c r="Z1009" s="17"/>
    </row>
    <row r="1010" spans="1:26" ht="14.25" customHeight="1">
      <c r="A1010" s="482" t="s">
        <v>2647</v>
      </c>
      <c r="B1010" s="504" t="s">
        <v>305</v>
      </c>
      <c r="C1010" s="503" t="s">
        <v>632</v>
      </c>
      <c r="D1010" s="431" t="s">
        <v>1656</v>
      </c>
      <c r="E1010" s="482" t="s">
        <v>1409</v>
      </c>
      <c r="F1010" s="482"/>
      <c r="G1010" s="482"/>
      <c r="H1010" s="482" t="s">
        <v>40</v>
      </c>
      <c r="I1010" s="482"/>
      <c r="J1010" s="482" t="s">
        <v>794</v>
      </c>
      <c r="K1010" s="482" t="s">
        <v>794</v>
      </c>
      <c r="L1010" s="482" t="s">
        <v>1656</v>
      </c>
      <c r="M1010" s="482" t="s">
        <v>791</v>
      </c>
      <c r="N1010" s="482">
        <v>20.833831</v>
      </c>
      <c r="O1010" s="482">
        <v>92.416683000000006</v>
      </c>
      <c r="P1010" s="482" t="s">
        <v>795</v>
      </c>
      <c r="Q1010" s="482" t="s">
        <v>776</v>
      </c>
      <c r="R1010" s="486"/>
      <c r="S1010" s="487"/>
      <c r="T1010" s="506">
        <v>43248</v>
      </c>
      <c r="U1010" s="488" t="s">
        <v>1897</v>
      </c>
      <c r="V1010" s="482"/>
      <c r="W1010" s="482"/>
      <c r="X1010" s="17"/>
      <c r="Z1010" s="17"/>
    </row>
    <row r="1011" spans="1:26" ht="14.25" customHeight="1">
      <c r="A1011" s="482" t="s">
        <v>2647</v>
      </c>
      <c r="B1011" s="504" t="s">
        <v>305</v>
      </c>
      <c r="C1011" s="503" t="s">
        <v>1146</v>
      </c>
      <c r="D1011" s="431" t="s">
        <v>1656</v>
      </c>
      <c r="E1011" s="386"/>
      <c r="F1011" s="482"/>
      <c r="G1011" s="386"/>
      <c r="H1011" s="386"/>
      <c r="I1011" s="396"/>
      <c r="J1011" s="386" t="s">
        <v>794</v>
      </c>
      <c r="K1011" s="386" t="s">
        <v>794</v>
      </c>
      <c r="L1011" s="396" t="s">
        <v>794</v>
      </c>
      <c r="M1011" s="386" t="s">
        <v>791</v>
      </c>
      <c r="N1011" s="498"/>
      <c r="O1011" s="498"/>
      <c r="P1011" s="386" t="s">
        <v>795</v>
      </c>
      <c r="Q1011" s="386"/>
      <c r="R1011" s="486"/>
      <c r="S1011" s="487"/>
      <c r="T1011" s="389"/>
      <c r="U1011" s="488"/>
      <c r="V1011" s="386" t="s">
        <v>1146</v>
      </c>
      <c r="W1011" s="482"/>
      <c r="X1011" s="17"/>
      <c r="Z1011" s="17"/>
    </row>
    <row r="1012" spans="1:26" ht="14.25" customHeight="1">
      <c r="A1012" s="443" t="s">
        <v>2647</v>
      </c>
      <c r="B1012" s="444" t="s">
        <v>305</v>
      </c>
      <c r="C1012" s="451" t="s">
        <v>2683</v>
      </c>
      <c r="D1012" s="485"/>
      <c r="E1012" s="445">
        <v>197860</v>
      </c>
      <c r="F1012" s="445" t="s">
        <v>2683</v>
      </c>
      <c r="G1012" s="445"/>
      <c r="H1012" s="445"/>
      <c r="I1012" s="445"/>
      <c r="J1012" s="386" t="s">
        <v>794</v>
      </c>
      <c r="K1012" s="386" t="s">
        <v>794</v>
      </c>
      <c r="L1012" s="482" t="s">
        <v>794</v>
      </c>
      <c r="M1012" s="445"/>
      <c r="N1012" s="445">
        <v>21.1420993804932</v>
      </c>
      <c r="O1012" s="445">
        <v>92.338172912597699</v>
      </c>
      <c r="P1012" s="386" t="s">
        <v>795</v>
      </c>
      <c r="Q1012" s="386" t="s">
        <v>2961</v>
      </c>
      <c r="R1012" s="446"/>
      <c r="S1012" s="443"/>
      <c r="T1012" s="389">
        <v>43769</v>
      </c>
      <c r="U1012" s="448"/>
      <c r="V1012" s="449"/>
      <c r="W1012" s="486"/>
      <c r="X1012" s="17"/>
      <c r="Z1012" s="17"/>
    </row>
    <row r="1013" spans="1:26" ht="14.25" customHeight="1">
      <c r="A1013" s="396" t="s">
        <v>2647</v>
      </c>
      <c r="B1013" s="504" t="s">
        <v>305</v>
      </c>
      <c r="C1013" s="503" t="s">
        <v>2080</v>
      </c>
      <c r="D1013" s="431"/>
      <c r="E1013" s="482">
        <v>197861</v>
      </c>
      <c r="F1013" s="482"/>
      <c r="G1013" s="482"/>
      <c r="H1013" s="482"/>
      <c r="I1013" s="482"/>
      <c r="J1013" s="482" t="s">
        <v>794</v>
      </c>
      <c r="K1013" s="482" t="s">
        <v>794</v>
      </c>
      <c r="L1013" s="482" t="s">
        <v>794</v>
      </c>
      <c r="M1013" s="482" t="s">
        <v>2068</v>
      </c>
      <c r="N1013" s="482">
        <v>21.131010060000001</v>
      </c>
      <c r="O1013" s="482">
        <v>92.354011540000002</v>
      </c>
      <c r="P1013" s="482" t="s">
        <v>795</v>
      </c>
      <c r="Q1013" s="482"/>
      <c r="R1013" s="399"/>
      <c r="S1013" s="487"/>
      <c r="T1013" s="506">
        <v>43300</v>
      </c>
      <c r="U1013" s="488"/>
      <c r="V1013" s="482"/>
      <c r="W1013" s="482"/>
      <c r="X1013" s="17"/>
      <c r="Z1013" s="17"/>
    </row>
    <row r="1014" spans="1:26" ht="14.25" customHeight="1">
      <c r="A1014" s="443" t="s">
        <v>2647</v>
      </c>
      <c r="B1014" s="444" t="s">
        <v>305</v>
      </c>
      <c r="C1014" s="451" t="s">
        <v>2681</v>
      </c>
      <c r="D1014" s="485"/>
      <c r="E1014" s="445">
        <v>197841</v>
      </c>
      <c r="F1014" s="445" t="s">
        <v>2681</v>
      </c>
      <c r="G1014" s="445"/>
      <c r="H1014" s="445"/>
      <c r="I1014" s="445"/>
      <c r="J1014" s="386" t="s">
        <v>794</v>
      </c>
      <c r="K1014" s="386" t="s">
        <v>794</v>
      </c>
      <c r="L1014" s="386" t="s">
        <v>794</v>
      </c>
      <c r="M1014" s="445"/>
      <c r="N1014" s="445">
        <v>21.2080974578857</v>
      </c>
      <c r="O1014" s="445">
        <v>92.308609008789105</v>
      </c>
      <c r="P1014" s="386" t="s">
        <v>795</v>
      </c>
      <c r="Q1014" s="445" t="s">
        <v>2627</v>
      </c>
      <c r="R1014" s="446"/>
      <c r="S1014" s="443"/>
      <c r="T1014" s="447">
        <v>43580</v>
      </c>
      <c r="U1014" s="448" t="s">
        <v>2672</v>
      </c>
      <c r="V1014" s="449"/>
      <c r="W1014" s="486"/>
      <c r="X1014" s="17"/>
      <c r="Z1014" s="17"/>
    </row>
    <row r="1015" spans="1:26" ht="14.25" customHeight="1">
      <c r="A1015" s="482" t="s">
        <v>2647</v>
      </c>
      <c r="B1015" s="504" t="s">
        <v>305</v>
      </c>
      <c r="C1015" s="503" t="s">
        <v>2085</v>
      </c>
      <c r="D1015" s="431"/>
      <c r="E1015" s="386">
        <v>197842</v>
      </c>
      <c r="F1015" s="386"/>
      <c r="G1015" s="386"/>
      <c r="H1015" s="386"/>
      <c r="I1015" s="386"/>
      <c r="J1015" s="386" t="s">
        <v>794</v>
      </c>
      <c r="K1015" s="386" t="s">
        <v>794</v>
      </c>
      <c r="L1015" s="386" t="s">
        <v>794</v>
      </c>
      <c r="M1015" s="386" t="s">
        <v>2070</v>
      </c>
      <c r="N1015" s="386">
        <v>21.210039139999999</v>
      </c>
      <c r="O1015" s="386">
        <v>92.297286990000003</v>
      </c>
      <c r="P1015" s="386" t="s">
        <v>795</v>
      </c>
      <c r="Q1015" s="386"/>
      <c r="R1015" s="486"/>
      <c r="S1015" s="487"/>
      <c r="T1015" s="389">
        <v>43300</v>
      </c>
      <c r="U1015" s="488"/>
      <c r="V1015" s="386"/>
      <c r="W1015" s="482"/>
      <c r="X1015" s="17"/>
      <c r="Z1015" s="17"/>
    </row>
    <row r="1016" spans="1:26" ht="14.25" customHeight="1">
      <c r="A1016" s="396" t="s">
        <v>2647</v>
      </c>
      <c r="B1016" s="411" t="s">
        <v>305</v>
      </c>
      <c r="C1016" s="410" t="s">
        <v>682</v>
      </c>
      <c r="D1016" s="431" t="s">
        <v>1656</v>
      </c>
      <c r="E1016" s="482">
        <v>197867</v>
      </c>
      <c r="F1016" s="482"/>
      <c r="G1016" s="386"/>
      <c r="H1016" s="386"/>
      <c r="I1016" s="386"/>
      <c r="J1016" s="386" t="s">
        <v>794</v>
      </c>
      <c r="K1016" s="386" t="s">
        <v>794</v>
      </c>
      <c r="L1016" s="386" t="s">
        <v>794</v>
      </c>
      <c r="M1016" s="386" t="s">
        <v>791</v>
      </c>
      <c r="N1016" s="386">
        <v>21.057630540000002</v>
      </c>
      <c r="O1016" s="386">
        <v>92.340232850000007</v>
      </c>
      <c r="P1016" s="386" t="s">
        <v>795</v>
      </c>
      <c r="Q1016" s="386" t="s">
        <v>776</v>
      </c>
      <c r="R1016" s="486"/>
      <c r="S1016" s="487"/>
      <c r="T1016" s="389"/>
      <c r="U1016" s="388"/>
      <c r="V1016" s="482" t="s">
        <v>682</v>
      </c>
      <c r="W1016" s="482"/>
      <c r="X1016" s="17"/>
      <c r="Z1016" s="17"/>
    </row>
    <row r="1017" spans="1:26" ht="14.25" customHeight="1">
      <c r="A1017" s="482" t="s">
        <v>2647</v>
      </c>
      <c r="B1017" s="504" t="s">
        <v>305</v>
      </c>
      <c r="C1017" s="503" t="s">
        <v>673</v>
      </c>
      <c r="D1017" s="431" t="s">
        <v>1656</v>
      </c>
      <c r="E1017" s="484">
        <v>197893</v>
      </c>
      <c r="F1017" s="396"/>
      <c r="G1017" s="386"/>
      <c r="H1017" s="386"/>
      <c r="I1017" s="482"/>
      <c r="J1017" s="396" t="s">
        <v>794</v>
      </c>
      <c r="K1017" s="396" t="s">
        <v>794</v>
      </c>
      <c r="L1017" s="482" t="s">
        <v>794</v>
      </c>
      <c r="M1017" s="386" t="s">
        <v>294</v>
      </c>
      <c r="N1017" s="396">
        <v>21.009420389999999</v>
      </c>
      <c r="O1017" s="396">
        <v>92.318077090000003</v>
      </c>
      <c r="P1017" s="386" t="s">
        <v>795</v>
      </c>
      <c r="Q1017" s="386" t="s">
        <v>798</v>
      </c>
      <c r="R1017" s="486"/>
      <c r="S1017" s="487"/>
      <c r="T1017" s="389">
        <v>42926</v>
      </c>
      <c r="U1017" s="488" t="s">
        <v>799</v>
      </c>
      <c r="V1017" s="484"/>
      <c r="W1017" s="482"/>
      <c r="X1017" s="17"/>
      <c r="Z1017" s="17"/>
    </row>
    <row r="1018" spans="1:26" ht="14.25" customHeight="1">
      <c r="A1018" s="396" t="s">
        <v>2647</v>
      </c>
      <c r="B1018" s="504" t="s">
        <v>305</v>
      </c>
      <c r="C1018" s="503" t="s">
        <v>623</v>
      </c>
      <c r="D1018" s="431" t="s">
        <v>1656</v>
      </c>
      <c r="E1018" s="484">
        <v>197990</v>
      </c>
      <c r="F1018" s="482"/>
      <c r="G1018" s="482"/>
      <c r="H1018" s="482"/>
      <c r="I1018" s="482"/>
      <c r="J1018" s="482" t="s">
        <v>794</v>
      </c>
      <c r="K1018" s="482" t="s">
        <v>794</v>
      </c>
      <c r="L1018" s="482" t="s">
        <v>794</v>
      </c>
      <c r="M1018" s="482" t="s">
        <v>791</v>
      </c>
      <c r="N1018" s="498">
        <v>20.824769969999998</v>
      </c>
      <c r="O1018" s="498">
        <v>92.398788449999998</v>
      </c>
      <c r="P1018" s="482" t="s">
        <v>795</v>
      </c>
      <c r="Q1018" s="482" t="s">
        <v>776</v>
      </c>
      <c r="R1018" s="399"/>
      <c r="S1018" s="487"/>
      <c r="T1018" s="506"/>
      <c r="U1018" s="488"/>
      <c r="V1018" s="482" t="s">
        <v>938</v>
      </c>
      <c r="W1018" s="482"/>
      <c r="X1018" s="17"/>
      <c r="Z1018" s="17"/>
    </row>
    <row r="1019" spans="1:26" ht="14.25" customHeight="1">
      <c r="A1019" s="396" t="s">
        <v>2647</v>
      </c>
      <c r="B1019" s="504" t="s">
        <v>305</v>
      </c>
      <c r="C1019" s="503" t="s">
        <v>624</v>
      </c>
      <c r="D1019" s="431" t="s">
        <v>1656</v>
      </c>
      <c r="E1019" s="482">
        <v>197990</v>
      </c>
      <c r="F1019" s="482"/>
      <c r="G1019" s="386"/>
      <c r="H1019" s="482"/>
      <c r="I1019" s="482"/>
      <c r="J1019" s="482" t="s">
        <v>794</v>
      </c>
      <c r="K1019" s="482" t="s">
        <v>794</v>
      </c>
      <c r="L1019" s="482" t="s">
        <v>794</v>
      </c>
      <c r="M1019" s="482" t="s">
        <v>791</v>
      </c>
      <c r="N1019" s="498">
        <v>20.824769969999998</v>
      </c>
      <c r="O1019" s="498">
        <v>92.398788449999998</v>
      </c>
      <c r="P1019" s="386" t="s">
        <v>795</v>
      </c>
      <c r="Q1019" s="482" t="s">
        <v>776</v>
      </c>
      <c r="R1019" s="486"/>
      <c r="S1019" s="487"/>
      <c r="T1019" s="506"/>
      <c r="U1019" s="488"/>
      <c r="V1019" s="386" t="s">
        <v>938</v>
      </c>
      <c r="W1019" s="482"/>
      <c r="X1019" s="17"/>
      <c r="Z1019" s="17"/>
    </row>
    <row r="1020" spans="1:26" ht="14.25" customHeight="1">
      <c r="A1020" s="396" t="s">
        <v>2647</v>
      </c>
      <c r="B1020" s="504" t="s">
        <v>305</v>
      </c>
      <c r="C1020" s="503" t="s">
        <v>352</v>
      </c>
      <c r="D1020" s="431" t="s">
        <v>1656</v>
      </c>
      <c r="E1020" s="482"/>
      <c r="F1020" s="396"/>
      <c r="G1020" s="396"/>
      <c r="H1020" s="482"/>
      <c r="I1020" s="482"/>
      <c r="J1020" s="482" t="s">
        <v>794</v>
      </c>
      <c r="K1020" s="482" t="s">
        <v>794</v>
      </c>
      <c r="L1020" s="482" t="s">
        <v>794</v>
      </c>
      <c r="M1020" s="482" t="s">
        <v>791</v>
      </c>
      <c r="N1020" s="498"/>
      <c r="O1020" s="498"/>
      <c r="P1020" s="396" t="s">
        <v>795</v>
      </c>
      <c r="Q1020" s="482" t="s">
        <v>776</v>
      </c>
      <c r="R1020" s="486"/>
      <c r="S1020" s="487"/>
      <c r="T1020" s="506"/>
      <c r="U1020" s="488"/>
      <c r="V1020" s="396" t="s">
        <v>352</v>
      </c>
      <c r="W1020" s="482"/>
      <c r="X1020" s="17"/>
      <c r="Z1020" s="17"/>
    </row>
    <row r="1021" spans="1:26" ht="14.25" customHeight="1">
      <c r="A1021" s="482" t="s">
        <v>2647</v>
      </c>
      <c r="B1021" s="504" t="s">
        <v>305</v>
      </c>
      <c r="C1021" s="503" t="s">
        <v>353</v>
      </c>
      <c r="D1021" s="431" t="s">
        <v>1656</v>
      </c>
      <c r="E1021" s="386"/>
      <c r="F1021" s="482"/>
      <c r="G1021" s="386"/>
      <c r="H1021" s="386"/>
      <c r="I1021" s="386"/>
      <c r="J1021" s="386" t="s">
        <v>794</v>
      </c>
      <c r="K1021" s="386" t="s">
        <v>794</v>
      </c>
      <c r="L1021" s="386" t="s">
        <v>794</v>
      </c>
      <c r="M1021" s="386" t="s">
        <v>294</v>
      </c>
      <c r="N1021" s="498"/>
      <c r="O1021" s="498"/>
      <c r="P1021" s="386" t="s">
        <v>795</v>
      </c>
      <c r="Q1021" s="386" t="s">
        <v>776</v>
      </c>
      <c r="R1021" s="486"/>
      <c r="S1021" s="487"/>
      <c r="T1021" s="389"/>
      <c r="U1021" s="488"/>
      <c r="V1021" s="482" t="s">
        <v>353</v>
      </c>
      <c r="W1021" s="482"/>
      <c r="X1021" s="17"/>
      <c r="Z1021" s="17"/>
    </row>
    <row r="1022" spans="1:26" ht="14.25" customHeight="1">
      <c r="A1022" s="396" t="s">
        <v>2647</v>
      </c>
      <c r="B1022" s="504" t="s">
        <v>305</v>
      </c>
      <c r="C1022" s="503" t="s">
        <v>626</v>
      </c>
      <c r="D1022" s="431" t="s">
        <v>1656</v>
      </c>
      <c r="E1022" s="386" t="s">
        <v>1407</v>
      </c>
      <c r="F1022" s="484"/>
      <c r="G1022" s="386"/>
      <c r="H1022" s="386" t="s">
        <v>40</v>
      </c>
      <c r="I1022" s="386"/>
      <c r="J1022" s="386" t="s">
        <v>794</v>
      </c>
      <c r="K1022" s="386" t="s">
        <v>794</v>
      </c>
      <c r="L1022" s="482" t="s">
        <v>1656</v>
      </c>
      <c r="M1022" s="386" t="s">
        <v>791</v>
      </c>
      <c r="N1022" s="498">
        <v>20.825306000000001</v>
      </c>
      <c r="O1022" s="498">
        <v>92.367852999999997</v>
      </c>
      <c r="P1022" s="386" t="s">
        <v>795</v>
      </c>
      <c r="Q1022" s="386" t="s">
        <v>776</v>
      </c>
      <c r="R1022" s="486"/>
      <c r="S1022" s="487"/>
      <c r="T1022" s="389">
        <v>43248</v>
      </c>
      <c r="U1022" s="388" t="s">
        <v>1897</v>
      </c>
      <c r="V1022" s="386"/>
      <c r="W1022" s="482"/>
      <c r="X1022" s="17"/>
      <c r="Z1022" s="17"/>
    </row>
    <row r="1023" spans="1:26" ht="14.25" customHeight="1">
      <c r="A1023" s="396" t="s">
        <v>2647</v>
      </c>
      <c r="B1023" s="504" t="s">
        <v>305</v>
      </c>
      <c r="C1023" s="503" t="s">
        <v>611</v>
      </c>
      <c r="D1023" s="431" t="s">
        <v>1656</v>
      </c>
      <c r="E1023" s="396">
        <v>197996</v>
      </c>
      <c r="F1023" s="512" t="s">
        <v>2043</v>
      </c>
      <c r="G1023" s="396"/>
      <c r="H1023" s="396"/>
      <c r="I1023" s="396"/>
      <c r="J1023" s="396" t="s">
        <v>794</v>
      </c>
      <c r="K1023" s="396" t="s">
        <v>794</v>
      </c>
      <c r="L1023" s="482" t="s">
        <v>794</v>
      </c>
      <c r="M1023" s="396" t="s">
        <v>791</v>
      </c>
      <c r="N1023" s="396">
        <v>20.805980680000001</v>
      </c>
      <c r="O1023" s="396">
        <v>92.383308409999998</v>
      </c>
      <c r="P1023" s="396" t="s">
        <v>795</v>
      </c>
      <c r="Q1023" s="396" t="s">
        <v>776</v>
      </c>
      <c r="R1023" s="486"/>
      <c r="S1023" s="487"/>
      <c r="T1023" s="412"/>
      <c r="U1023" s="401"/>
      <c r="V1023" s="396" t="s">
        <v>933</v>
      </c>
      <c r="W1023" s="482"/>
      <c r="X1023" s="17"/>
      <c r="Z1023" s="17"/>
    </row>
    <row r="1024" spans="1:26" ht="14.25" customHeight="1">
      <c r="A1024" s="396" t="s">
        <v>2647</v>
      </c>
      <c r="B1024" s="411" t="s">
        <v>305</v>
      </c>
      <c r="C1024" s="410" t="s">
        <v>612</v>
      </c>
      <c r="D1024" s="431" t="s">
        <v>1656</v>
      </c>
      <c r="E1024" s="396">
        <v>197996</v>
      </c>
      <c r="F1024" s="396"/>
      <c r="G1024" s="396"/>
      <c r="H1024" s="396"/>
      <c r="I1024" s="396"/>
      <c r="J1024" s="396" t="s">
        <v>794</v>
      </c>
      <c r="K1024" s="396" t="s">
        <v>794</v>
      </c>
      <c r="L1024" s="396" t="s">
        <v>794</v>
      </c>
      <c r="M1024" s="396" t="s">
        <v>791</v>
      </c>
      <c r="N1024" s="396">
        <v>20.805980680000001</v>
      </c>
      <c r="O1024" s="396">
        <v>92.383308409999998</v>
      </c>
      <c r="P1024" s="396" t="s">
        <v>795</v>
      </c>
      <c r="Q1024" s="396" t="s">
        <v>776</v>
      </c>
      <c r="R1024" s="486"/>
      <c r="S1024" s="487"/>
      <c r="T1024" s="412"/>
      <c r="U1024" s="401"/>
      <c r="V1024" s="482" t="s">
        <v>934</v>
      </c>
      <c r="W1024" s="482"/>
      <c r="X1024" s="17"/>
      <c r="Z1024" s="17"/>
    </row>
    <row r="1025" spans="1:26" ht="14.25" customHeight="1">
      <c r="A1025" s="443" t="s">
        <v>2647</v>
      </c>
      <c r="B1025" s="444" t="s">
        <v>305</v>
      </c>
      <c r="C1025" s="451" t="s">
        <v>563</v>
      </c>
      <c r="D1025" s="431" t="s">
        <v>1656</v>
      </c>
      <c r="E1025" s="396">
        <v>198045</v>
      </c>
      <c r="F1025" s="445"/>
      <c r="G1025" s="445"/>
      <c r="H1025" s="445"/>
      <c r="I1025" s="445"/>
      <c r="J1025" s="396" t="s">
        <v>794</v>
      </c>
      <c r="K1025" s="396" t="s">
        <v>794</v>
      </c>
      <c r="L1025" s="396" t="s">
        <v>794</v>
      </c>
      <c r="M1025" s="396" t="s">
        <v>791</v>
      </c>
      <c r="N1025" s="396">
        <v>20.71759033</v>
      </c>
      <c r="O1025" s="396">
        <v>92.426422119999998</v>
      </c>
      <c r="P1025" s="396" t="s">
        <v>795</v>
      </c>
      <c r="Q1025" s="445" t="s">
        <v>2627</v>
      </c>
      <c r="R1025" s="446"/>
      <c r="S1025" s="443"/>
      <c r="T1025" s="447">
        <v>43580</v>
      </c>
      <c r="U1025" s="448" t="s">
        <v>2672</v>
      </c>
      <c r="V1025" s="482" t="s">
        <v>563</v>
      </c>
      <c r="W1025" s="486"/>
      <c r="X1025" s="17"/>
      <c r="Z1025" s="17"/>
    </row>
    <row r="1026" spans="1:26" ht="14.25" customHeight="1">
      <c r="A1026" s="482" t="s">
        <v>2647</v>
      </c>
      <c r="B1026" s="504" t="s">
        <v>305</v>
      </c>
      <c r="C1026" s="503" t="s">
        <v>2045</v>
      </c>
      <c r="D1026" s="431"/>
      <c r="E1026" s="396">
        <v>220744</v>
      </c>
      <c r="F1026" s="482"/>
      <c r="G1026" s="396"/>
      <c r="H1026" s="396"/>
      <c r="I1026" s="396"/>
      <c r="J1026" s="396" t="s">
        <v>794</v>
      </c>
      <c r="K1026" s="396" t="s">
        <v>794</v>
      </c>
      <c r="L1026" s="396" t="s">
        <v>794</v>
      </c>
      <c r="M1026" s="396" t="s">
        <v>294</v>
      </c>
      <c r="N1026" s="396">
        <v>20.71612167</v>
      </c>
      <c r="O1026" s="396">
        <v>92.442459110000001</v>
      </c>
      <c r="P1026" s="396" t="s">
        <v>795</v>
      </c>
      <c r="Q1026" s="396"/>
      <c r="R1026" s="486"/>
      <c r="S1026" s="487"/>
      <c r="T1026" s="412">
        <v>43300</v>
      </c>
      <c r="U1026" s="488"/>
      <c r="V1026" s="482"/>
      <c r="W1026" s="482"/>
      <c r="X1026" s="99"/>
      <c r="Z1026" s="17"/>
    </row>
    <row r="1027" spans="1:26" ht="14.25" customHeight="1">
      <c r="A1027" s="482" t="s">
        <v>2647</v>
      </c>
      <c r="B1027" s="504" t="s">
        <v>305</v>
      </c>
      <c r="C1027" s="504" t="s">
        <v>2046</v>
      </c>
      <c r="D1027" s="431"/>
      <c r="E1027" s="482"/>
      <c r="F1027" s="482"/>
      <c r="G1027" s="482"/>
      <c r="H1027" s="482"/>
      <c r="I1027" s="482"/>
      <c r="J1027" s="396" t="s">
        <v>794</v>
      </c>
      <c r="K1027" s="396" t="s">
        <v>794</v>
      </c>
      <c r="L1027" s="396" t="s">
        <v>794</v>
      </c>
      <c r="M1027" s="482" t="s">
        <v>2068</v>
      </c>
      <c r="N1027" s="482"/>
      <c r="O1027" s="482"/>
      <c r="P1027" s="396" t="s">
        <v>795</v>
      </c>
      <c r="Q1027" s="482"/>
      <c r="R1027" s="486"/>
      <c r="S1027" s="487"/>
      <c r="T1027" s="506">
        <v>43300</v>
      </c>
      <c r="U1027" s="488"/>
      <c r="V1027" s="482"/>
      <c r="W1027" s="482"/>
      <c r="X1027" s="99"/>
      <c r="Z1027" s="17"/>
    </row>
    <row r="1028" spans="1:26" ht="14.25" customHeight="1">
      <c r="A1028" s="482" t="s">
        <v>2647</v>
      </c>
      <c r="B1028" s="504" t="s">
        <v>305</v>
      </c>
      <c r="C1028" s="504" t="s">
        <v>904</v>
      </c>
      <c r="D1028" s="431"/>
      <c r="E1028" s="482">
        <v>197938</v>
      </c>
      <c r="F1028" s="396"/>
      <c r="G1028" s="396"/>
      <c r="H1028" s="482"/>
      <c r="I1028" s="482"/>
      <c r="J1028" s="482" t="s">
        <v>794</v>
      </c>
      <c r="K1028" s="482" t="s">
        <v>794</v>
      </c>
      <c r="L1028" s="482" t="s">
        <v>794</v>
      </c>
      <c r="M1028" s="482" t="s">
        <v>791</v>
      </c>
      <c r="N1028" s="482">
        <v>20.84098053</v>
      </c>
      <c r="O1028" s="482">
        <v>92.35720062</v>
      </c>
      <c r="P1028" s="396" t="s">
        <v>795</v>
      </c>
      <c r="Q1028" s="482"/>
      <c r="R1028" s="486"/>
      <c r="S1028" s="487"/>
      <c r="T1028" s="506">
        <v>43300</v>
      </c>
      <c r="U1028" s="488"/>
      <c r="V1028" s="396"/>
      <c r="W1028" s="482"/>
      <c r="X1028" s="99"/>
      <c r="Z1028" s="17"/>
    </row>
    <row r="1029" spans="1:26" ht="14.25" customHeight="1">
      <c r="A1029" s="482" t="s">
        <v>2647</v>
      </c>
      <c r="B1029" s="504" t="s">
        <v>305</v>
      </c>
      <c r="C1029" s="504" t="s">
        <v>2982</v>
      </c>
      <c r="D1029" s="431"/>
      <c r="E1029" s="396">
        <v>198033</v>
      </c>
      <c r="F1029" s="484"/>
      <c r="G1029" s="396"/>
      <c r="H1029" s="396"/>
      <c r="I1029" s="396"/>
      <c r="J1029" s="396" t="s">
        <v>794</v>
      </c>
      <c r="K1029" s="482" t="s">
        <v>794</v>
      </c>
      <c r="L1029" s="482" t="s">
        <v>794</v>
      </c>
      <c r="M1029" s="396"/>
      <c r="N1029" s="396">
        <v>20.6845893859863</v>
      </c>
      <c r="O1029" s="396">
        <v>92.443580627441406</v>
      </c>
      <c r="P1029" s="396" t="s">
        <v>795</v>
      </c>
      <c r="Q1029" s="396"/>
      <c r="R1029" s="486"/>
      <c r="S1029" s="487"/>
      <c r="T1029" s="412">
        <v>43768</v>
      </c>
      <c r="U1029" s="488"/>
      <c r="V1029" s="482"/>
      <c r="W1029" s="482"/>
      <c r="X1029" s="99"/>
      <c r="Z1029" s="17"/>
    </row>
    <row r="1030" spans="1:26" ht="14.25" customHeight="1">
      <c r="A1030" s="482" t="s">
        <v>2647</v>
      </c>
      <c r="B1030" s="504" t="s">
        <v>305</v>
      </c>
      <c r="C1030" s="504" t="s">
        <v>670</v>
      </c>
      <c r="D1030" s="431" t="s">
        <v>1656</v>
      </c>
      <c r="E1030" s="396">
        <v>197903</v>
      </c>
      <c r="F1030" s="489"/>
      <c r="G1030" s="396"/>
      <c r="H1030" s="396"/>
      <c r="I1030" s="396"/>
      <c r="J1030" s="396" t="s">
        <v>794</v>
      </c>
      <c r="K1030" s="396" t="s">
        <v>794</v>
      </c>
      <c r="L1030" s="396" t="s">
        <v>794</v>
      </c>
      <c r="M1030" s="396" t="s">
        <v>791</v>
      </c>
      <c r="N1030" s="396">
        <v>21.000970840000001</v>
      </c>
      <c r="O1030" s="396">
        <v>92.334213259999999</v>
      </c>
      <c r="P1030" s="396" t="s">
        <v>795</v>
      </c>
      <c r="Q1030" s="396" t="s">
        <v>798</v>
      </c>
      <c r="R1030" s="486"/>
      <c r="S1030" s="487"/>
      <c r="T1030" s="412">
        <v>42926</v>
      </c>
      <c r="U1030" s="488" t="s">
        <v>799</v>
      </c>
      <c r="V1030" s="484"/>
      <c r="W1030" s="482"/>
      <c r="X1030" s="99"/>
      <c r="Z1030" s="17"/>
    </row>
    <row r="1031" spans="1:26" ht="14.25" customHeight="1">
      <c r="A1031" s="396" t="s">
        <v>2647</v>
      </c>
      <c r="B1031" s="504" t="s">
        <v>305</v>
      </c>
      <c r="C1031" s="504" t="s">
        <v>528</v>
      </c>
      <c r="D1031" s="431" t="s">
        <v>1656</v>
      </c>
      <c r="E1031" s="482">
        <v>198026</v>
      </c>
      <c r="F1031" s="482"/>
      <c r="G1031" s="396"/>
      <c r="H1031" s="482"/>
      <c r="I1031" s="482"/>
      <c r="J1031" s="482" t="s">
        <v>794</v>
      </c>
      <c r="K1031" s="482" t="s">
        <v>794</v>
      </c>
      <c r="L1031" s="482" t="s">
        <v>794</v>
      </c>
      <c r="M1031" s="482" t="s">
        <v>791</v>
      </c>
      <c r="N1031" s="482">
        <v>20.671619419999999</v>
      </c>
      <c r="O1031" s="482">
        <v>92.473846440000003</v>
      </c>
      <c r="P1031" s="396" t="s">
        <v>795</v>
      </c>
      <c r="Q1031" s="482" t="s">
        <v>776</v>
      </c>
      <c r="R1031" s="486"/>
      <c r="S1031" s="487"/>
      <c r="T1031" s="506"/>
      <c r="U1031" s="488"/>
      <c r="V1031" s="396" t="s">
        <v>921</v>
      </c>
      <c r="W1031" s="482"/>
      <c r="X1031" s="99"/>
      <c r="Z1031" s="17"/>
    </row>
    <row r="1032" spans="1:26" ht="14.25" customHeight="1">
      <c r="A1032" s="482" t="s">
        <v>2647</v>
      </c>
      <c r="B1032" s="504" t="s">
        <v>337</v>
      </c>
      <c r="C1032" s="504" t="s">
        <v>495</v>
      </c>
      <c r="D1032" s="431" t="s">
        <v>1656</v>
      </c>
      <c r="E1032" s="396">
        <v>197602</v>
      </c>
      <c r="F1032" s="482"/>
      <c r="G1032" s="396"/>
      <c r="H1032" s="396"/>
      <c r="I1032" s="396"/>
      <c r="J1032" s="396" t="s">
        <v>794</v>
      </c>
      <c r="K1032" s="396" t="s">
        <v>794</v>
      </c>
      <c r="L1032" s="396" t="s">
        <v>794</v>
      </c>
      <c r="M1032" s="396" t="s">
        <v>791</v>
      </c>
      <c r="N1032" s="396">
        <v>20.547620770000002</v>
      </c>
      <c r="O1032" s="396">
        <v>92.671058650000006</v>
      </c>
      <c r="P1032" s="396" t="s">
        <v>795</v>
      </c>
      <c r="Q1032" s="396" t="s">
        <v>776</v>
      </c>
      <c r="R1032" s="486"/>
      <c r="S1032" s="487"/>
      <c r="T1032" s="412"/>
      <c r="U1032" s="488"/>
      <c r="V1032" s="482" t="s">
        <v>495</v>
      </c>
      <c r="W1032" s="486"/>
      <c r="X1032" s="99"/>
      <c r="Z1032" s="17"/>
    </row>
    <row r="1033" spans="1:26" ht="14.25" customHeight="1">
      <c r="A1033" s="482" t="s">
        <v>2647</v>
      </c>
      <c r="B1033" s="514" t="s">
        <v>337</v>
      </c>
      <c r="C1033" s="452" t="s">
        <v>501</v>
      </c>
      <c r="D1033" s="485" t="s">
        <v>1656</v>
      </c>
      <c r="E1033" s="396" t="s">
        <v>1392</v>
      </c>
      <c r="F1033" s="512"/>
      <c r="G1033" s="396"/>
      <c r="H1033" s="396" t="s">
        <v>40</v>
      </c>
      <c r="I1033" s="396"/>
      <c r="J1033" s="396" t="s">
        <v>794</v>
      </c>
      <c r="K1033" s="396" t="s">
        <v>794</v>
      </c>
      <c r="L1033" s="396" t="s">
        <v>1656</v>
      </c>
      <c r="M1033" s="396" t="s">
        <v>791</v>
      </c>
      <c r="N1033" s="396">
        <v>20.569219</v>
      </c>
      <c r="O1033" s="396">
        <v>92.640022000000002</v>
      </c>
      <c r="P1033" s="396" t="s">
        <v>795</v>
      </c>
      <c r="Q1033" s="396" t="s">
        <v>776</v>
      </c>
      <c r="R1033" s="494"/>
      <c r="S1033" s="487"/>
      <c r="T1033" s="412"/>
      <c r="U1033" s="488"/>
      <c r="V1033" s="482" t="s">
        <v>501</v>
      </c>
      <c r="W1033" s="486"/>
      <c r="X1033" s="99"/>
      <c r="Z1033" s="17"/>
    </row>
    <row r="1034" spans="1:26" ht="14.25" customHeight="1">
      <c r="A1034" s="396" t="s">
        <v>2647</v>
      </c>
      <c r="B1034" s="504" t="s">
        <v>337</v>
      </c>
      <c r="C1034" s="504" t="s">
        <v>498</v>
      </c>
      <c r="D1034" s="431" t="s">
        <v>1656</v>
      </c>
      <c r="E1034" s="482">
        <v>197593</v>
      </c>
      <c r="F1034" s="396"/>
      <c r="G1034" s="396"/>
      <c r="H1034" s="396"/>
      <c r="I1034" s="396"/>
      <c r="J1034" s="396" t="s">
        <v>794</v>
      </c>
      <c r="K1034" s="396" t="s">
        <v>794</v>
      </c>
      <c r="L1034" s="482" t="s">
        <v>794</v>
      </c>
      <c r="M1034" s="396" t="s">
        <v>791</v>
      </c>
      <c r="N1034" s="396">
        <v>20.555610659999999</v>
      </c>
      <c r="O1034" s="396">
        <v>92.643516539999993</v>
      </c>
      <c r="P1034" s="396" t="s">
        <v>795</v>
      </c>
      <c r="Q1034" s="396" t="s">
        <v>798</v>
      </c>
      <c r="R1034" s="486"/>
      <c r="S1034" s="487"/>
      <c r="T1034" s="412">
        <v>42926</v>
      </c>
      <c r="U1034" s="401" t="s">
        <v>799</v>
      </c>
      <c r="V1034" s="482"/>
      <c r="W1034" s="486"/>
      <c r="X1034" s="99"/>
      <c r="Z1034" s="17"/>
    </row>
    <row r="1035" spans="1:26" ht="14.25" customHeight="1">
      <c r="A1035" s="482" t="s">
        <v>2647</v>
      </c>
      <c r="B1035" s="504" t="s">
        <v>337</v>
      </c>
      <c r="C1035" s="504" t="s">
        <v>499</v>
      </c>
      <c r="D1035" s="431" t="s">
        <v>1656</v>
      </c>
      <c r="E1035" s="396">
        <v>197593</v>
      </c>
      <c r="F1035" s="482"/>
      <c r="G1035" s="396"/>
      <c r="H1035" s="396"/>
      <c r="I1035" s="396"/>
      <c r="J1035" s="396" t="s">
        <v>794</v>
      </c>
      <c r="K1035" s="396" t="s">
        <v>794</v>
      </c>
      <c r="L1035" s="396" t="s">
        <v>794</v>
      </c>
      <c r="M1035" s="396" t="s">
        <v>294</v>
      </c>
      <c r="N1035" s="396">
        <v>20.555610659999999</v>
      </c>
      <c r="O1035" s="396">
        <v>92.643516539999993</v>
      </c>
      <c r="P1035" s="396" t="s">
        <v>795</v>
      </c>
      <c r="Q1035" s="396" t="s">
        <v>776</v>
      </c>
      <c r="R1035" s="486"/>
      <c r="S1035" s="487"/>
      <c r="T1035" s="412" t="s">
        <v>801</v>
      </c>
      <c r="U1035" s="488"/>
      <c r="V1035" s="482"/>
      <c r="W1035" s="486"/>
      <c r="X1035" s="99"/>
      <c r="Z1035" s="17"/>
    </row>
    <row r="1036" spans="1:26" ht="14.25" customHeight="1">
      <c r="A1036" s="482" t="s">
        <v>2647</v>
      </c>
      <c r="B1036" s="504" t="s">
        <v>337</v>
      </c>
      <c r="C1036" s="504" t="s">
        <v>520</v>
      </c>
      <c r="D1036" s="431" t="s">
        <v>1656</v>
      </c>
      <c r="E1036" s="482">
        <v>197691</v>
      </c>
      <c r="F1036" s="482"/>
      <c r="G1036" s="396"/>
      <c r="H1036" s="482"/>
      <c r="I1036" s="482"/>
      <c r="J1036" s="482" t="s">
        <v>794</v>
      </c>
      <c r="K1036" s="482" t="s">
        <v>794</v>
      </c>
      <c r="L1036" s="482" t="s">
        <v>794</v>
      </c>
      <c r="M1036" s="482" t="s">
        <v>294</v>
      </c>
      <c r="N1036" s="482">
        <v>20.65517998</v>
      </c>
      <c r="O1036" s="482">
        <v>92.720321659999996</v>
      </c>
      <c r="P1036" s="396" t="s">
        <v>795</v>
      </c>
      <c r="Q1036" s="482" t="s">
        <v>776</v>
      </c>
      <c r="R1036" s="490"/>
      <c r="S1036" s="491"/>
      <c r="T1036" s="506" t="s">
        <v>801</v>
      </c>
      <c r="U1036" s="488"/>
      <c r="V1036" s="482"/>
      <c r="W1036" s="486"/>
      <c r="X1036" s="99"/>
      <c r="Z1036" s="17"/>
    </row>
    <row r="1037" spans="1:26" ht="14.25" customHeight="1">
      <c r="A1037" s="482" t="s">
        <v>2647</v>
      </c>
      <c r="B1037" s="504" t="s">
        <v>337</v>
      </c>
      <c r="C1037" s="504" t="s">
        <v>466</v>
      </c>
      <c r="D1037" s="431" t="s">
        <v>2288</v>
      </c>
      <c r="E1037" s="484" t="s">
        <v>1384</v>
      </c>
      <c r="F1037" s="396" t="s">
        <v>466</v>
      </c>
      <c r="G1037" s="396" t="s">
        <v>466</v>
      </c>
      <c r="H1037" s="396"/>
      <c r="I1037" s="482"/>
      <c r="J1037" s="396" t="s">
        <v>794</v>
      </c>
      <c r="K1037" s="482" t="s">
        <v>794</v>
      </c>
      <c r="L1037" s="482" t="s">
        <v>879</v>
      </c>
      <c r="M1037" s="396" t="s">
        <v>791</v>
      </c>
      <c r="N1037" s="482">
        <v>20.399269</v>
      </c>
      <c r="O1037" s="482">
        <v>92.781294000000003</v>
      </c>
      <c r="P1037" s="396" t="s">
        <v>795</v>
      </c>
      <c r="Q1037" s="396" t="s">
        <v>776</v>
      </c>
      <c r="R1037" s="486">
        <v>32</v>
      </c>
      <c r="S1037" s="487">
        <v>157</v>
      </c>
      <c r="T1037" s="412"/>
      <c r="U1037" s="488"/>
      <c r="V1037" s="484" t="s">
        <v>466</v>
      </c>
      <c r="W1037" s="486"/>
      <c r="X1037" s="99"/>
      <c r="Z1037" s="17"/>
    </row>
    <row r="1038" spans="1:26" ht="14.25" customHeight="1">
      <c r="A1038" s="490" t="s">
        <v>2647</v>
      </c>
      <c r="B1038" s="514" t="s">
        <v>337</v>
      </c>
      <c r="C1038" s="452" t="s">
        <v>2803</v>
      </c>
      <c r="D1038" s="485"/>
      <c r="E1038" s="482" t="s">
        <v>2804</v>
      </c>
      <c r="F1038" s="482"/>
      <c r="G1038" s="482"/>
      <c r="H1038" s="482"/>
      <c r="I1038" s="482"/>
      <c r="J1038" s="482" t="s">
        <v>2652</v>
      </c>
      <c r="K1038" s="482" t="s">
        <v>2622</v>
      </c>
      <c r="L1038" s="482" t="s">
        <v>2622</v>
      </c>
      <c r="M1038" s="482"/>
      <c r="N1038" s="482"/>
      <c r="O1038" s="482"/>
      <c r="P1038" s="482"/>
      <c r="Q1038" s="482"/>
      <c r="R1038" s="494"/>
      <c r="S1038" s="487"/>
      <c r="T1038" s="506">
        <v>43591</v>
      </c>
      <c r="U1038" s="494"/>
      <c r="V1038" s="491" t="s">
        <v>2769</v>
      </c>
      <c r="W1038" s="486"/>
      <c r="X1038" s="99"/>
      <c r="Z1038" s="17"/>
    </row>
    <row r="1039" spans="1:26" ht="14.25" customHeight="1">
      <c r="A1039" s="482" t="s">
        <v>2647</v>
      </c>
      <c r="B1039" s="504" t="s">
        <v>337</v>
      </c>
      <c r="C1039" s="504" t="s">
        <v>535</v>
      </c>
      <c r="D1039" s="431" t="s">
        <v>1656</v>
      </c>
      <c r="E1039" s="396">
        <v>197674</v>
      </c>
      <c r="F1039" s="482"/>
      <c r="G1039" s="396"/>
      <c r="H1039" s="396"/>
      <c r="I1039" s="396"/>
      <c r="J1039" s="396" t="s">
        <v>794</v>
      </c>
      <c r="K1039" s="396" t="s">
        <v>794</v>
      </c>
      <c r="L1039" s="482" t="s">
        <v>794</v>
      </c>
      <c r="M1039" s="396" t="s">
        <v>791</v>
      </c>
      <c r="N1039" s="396">
        <v>20.67845917</v>
      </c>
      <c r="O1039" s="396">
        <v>92.663757320000002</v>
      </c>
      <c r="P1039" s="396" t="s">
        <v>795</v>
      </c>
      <c r="Q1039" s="396" t="s">
        <v>776</v>
      </c>
      <c r="R1039" s="486"/>
      <c r="S1039" s="487"/>
      <c r="T1039" s="412" t="s">
        <v>801</v>
      </c>
      <c r="U1039" s="488"/>
      <c r="V1039" s="396"/>
      <c r="W1039" s="486"/>
      <c r="X1039" s="99"/>
      <c r="Z1039" s="17"/>
    </row>
    <row r="1040" spans="1:26" ht="14.25" customHeight="1">
      <c r="A1040" s="482" t="s">
        <v>2647</v>
      </c>
      <c r="B1040" s="504" t="s">
        <v>337</v>
      </c>
      <c r="C1040" s="504" t="s">
        <v>903</v>
      </c>
      <c r="D1040" s="431" t="s">
        <v>1656</v>
      </c>
      <c r="E1040" s="396">
        <v>197603</v>
      </c>
      <c r="F1040" s="396"/>
      <c r="G1040" s="396"/>
      <c r="H1040" s="396"/>
      <c r="I1040" s="396"/>
      <c r="J1040" s="396" t="s">
        <v>794</v>
      </c>
      <c r="K1040" s="396" t="s">
        <v>794</v>
      </c>
      <c r="L1040" s="396" t="s">
        <v>794</v>
      </c>
      <c r="M1040" s="396" t="s">
        <v>791</v>
      </c>
      <c r="N1040" s="396">
        <v>20.55364037</v>
      </c>
      <c r="O1040" s="396">
        <v>92.674217220000003</v>
      </c>
      <c r="P1040" s="396" t="s">
        <v>795</v>
      </c>
      <c r="Q1040" s="396"/>
      <c r="R1040" s="486"/>
      <c r="S1040" s="487"/>
      <c r="T1040" s="412"/>
      <c r="U1040" s="488"/>
      <c r="V1040" s="396" t="s">
        <v>903</v>
      </c>
      <c r="W1040" s="486"/>
      <c r="X1040" s="99"/>
      <c r="Z1040" s="17"/>
    </row>
    <row r="1041" spans="1:23" ht="14.25" customHeight="1">
      <c r="A1041" s="504" t="s">
        <v>2647</v>
      </c>
      <c r="B1041" s="504" t="s">
        <v>337</v>
      </c>
      <c r="C1041" s="504" t="s">
        <v>370</v>
      </c>
      <c r="D1041" s="431" t="s">
        <v>1656</v>
      </c>
      <c r="E1041" s="396">
        <v>220977</v>
      </c>
      <c r="F1041" s="482" t="s">
        <v>2694</v>
      </c>
      <c r="G1041" s="396"/>
      <c r="H1041" s="396"/>
      <c r="I1041" s="396"/>
      <c r="J1041" s="396" t="s">
        <v>794</v>
      </c>
      <c r="K1041" s="396" t="s">
        <v>794</v>
      </c>
      <c r="L1041" s="396" t="s">
        <v>794</v>
      </c>
      <c r="M1041" s="396" t="s">
        <v>294</v>
      </c>
      <c r="N1041" s="396"/>
      <c r="O1041" s="396"/>
      <c r="P1041" s="396" t="s">
        <v>795</v>
      </c>
      <c r="Q1041" s="396" t="s">
        <v>798</v>
      </c>
      <c r="R1041" s="486"/>
      <c r="S1041" s="487"/>
      <c r="T1041" s="412">
        <v>42926</v>
      </c>
      <c r="U1041" s="488" t="s">
        <v>799</v>
      </c>
      <c r="V1041" s="396"/>
      <c r="W1041" s="486"/>
    </row>
    <row r="1042" spans="1:23" ht="14.25" customHeight="1">
      <c r="A1042" s="514" t="s">
        <v>2647</v>
      </c>
      <c r="B1042" s="514" t="s">
        <v>337</v>
      </c>
      <c r="C1042" s="452" t="s">
        <v>2802</v>
      </c>
      <c r="D1042" s="485"/>
      <c r="E1042" s="482">
        <v>220693</v>
      </c>
      <c r="F1042" s="482"/>
      <c r="G1042" s="396"/>
      <c r="H1042" s="396"/>
      <c r="I1042" s="396"/>
      <c r="J1042" s="396" t="s">
        <v>2652</v>
      </c>
      <c r="K1042" s="396" t="s">
        <v>2622</v>
      </c>
      <c r="L1042" s="396" t="s">
        <v>2622</v>
      </c>
      <c r="M1042" s="396"/>
      <c r="N1042" s="396">
        <v>20.586620330810501</v>
      </c>
      <c r="O1042" s="396">
        <v>92.689620971679702</v>
      </c>
      <c r="P1042" s="396"/>
      <c r="Q1042" s="396"/>
      <c r="R1042" s="494"/>
      <c r="S1042" s="487"/>
      <c r="T1042" s="412">
        <v>43591</v>
      </c>
      <c r="U1042" s="494"/>
      <c r="V1042" s="484" t="s">
        <v>2768</v>
      </c>
      <c r="W1042" s="486"/>
    </row>
    <row r="1043" spans="1:23" ht="14.25" customHeight="1">
      <c r="A1043" s="504" t="s">
        <v>2647</v>
      </c>
      <c r="B1043" s="504" t="s">
        <v>337</v>
      </c>
      <c r="C1043" s="504" t="s">
        <v>478</v>
      </c>
      <c r="D1043" s="431" t="s">
        <v>1656</v>
      </c>
      <c r="E1043" s="396">
        <v>197631</v>
      </c>
      <c r="F1043" s="396" t="s">
        <v>473</v>
      </c>
      <c r="G1043" s="396"/>
      <c r="H1043" s="396"/>
      <c r="I1043" s="482"/>
      <c r="J1043" s="396" t="s">
        <v>794</v>
      </c>
      <c r="K1043" s="396" t="s">
        <v>794</v>
      </c>
      <c r="L1043" s="396" t="s">
        <v>794</v>
      </c>
      <c r="M1043" s="396" t="s">
        <v>294</v>
      </c>
      <c r="N1043" s="396">
        <v>20.473930360000001</v>
      </c>
      <c r="O1043" s="396">
        <v>92.668853760000005</v>
      </c>
      <c r="P1043" s="396" t="s">
        <v>795</v>
      </c>
      <c r="Q1043" s="396" t="s">
        <v>798</v>
      </c>
      <c r="R1043" s="486"/>
      <c r="S1043" s="487"/>
      <c r="T1043" s="412">
        <v>42926</v>
      </c>
      <c r="U1043" s="488" t="s">
        <v>799</v>
      </c>
      <c r="V1043" s="482"/>
      <c r="W1043" s="486"/>
    </row>
    <row r="1044" spans="1:23" ht="14.25" customHeight="1">
      <c r="A1044" s="504" t="s">
        <v>2647</v>
      </c>
      <c r="B1044" s="504" t="s">
        <v>337</v>
      </c>
      <c r="C1044" s="504" t="s">
        <v>494</v>
      </c>
      <c r="D1044" s="431" t="s">
        <v>1656</v>
      </c>
      <c r="E1044" s="396">
        <v>197601</v>
      </c>
      <c r="F1044" s="482"/>
      <c r="G1044" s="396"/>
      <c r="H1044" s="396"/>
      <c r="I1044" s="396"/>
      <c r="J1044" s="396" t="s">
        <v>794</v>
      </c>
      <c r="K1044" s="396" t="s">
        <v>794</v>
      </c>
      <c r="L1044" s="396" t="s">
        <v>794</v>
      </c>
      <c r="M1044" s="396" t="s">
        <v>791</v>
      </c>
      <c r="N1044" s="396">
        <v>20.54644012</v>
      </c>
      <c r="O1044" s="396">
        <v>92.648399350000005</v>
      </c>
      <c r="P1044" s="396" t="s">
        <v>795</v>
      </c>
      <c r="Q1044" s="396" t="s">
        <v>776</v>
      </c>
      <c r="R1044" s="486"/>
      <c r="S1044" s="487"/>
      <c r="T1044" s="412"/>
      <c r="U1044" s="488"/>
      <c r="V1044" s="482" t="s">
        <v>494</v>
      </c>
      <c r="W1044" s="486"/>
    </row>
    <row r="1045" spans="1:23" ht="14.25" customHeight="1">
      <c r="A1045" s="504" t="s">
        <v>2647</v>
      </c>
      <c r="B1045" s="504" t="s">
        <v>337</v>
      </c>
      <c r="C1045" s="504" t="s">
        <v>467</v>
      </c>
      <c r="D1045" s="431" t="s">
        <v>1656</v>
      </c>
      <c r="E1045" s="396" t="s">
        <v>1386</v>
      </c>
      <c r="F1045" s="396"/>
      <c r="G1045" s="396"/>
      <c r="H1045" s="396" t="s">
        <v>40</v>
      </c>
      <c r="I1045" s="396"/>
      <c r="J1045" s="396" t="s">
        <v>794</v>
      </c>
      <c r="K1045" s="396" t="s">
        <v>794</v>
      </c>
      <c r="L1045" s="396" t="s">
        <v>1656</v>
      </c>
      <c r="M1045" s="396" t="s">
        <v>791</v>
      </c>
      <c r="N1045" s="482">
        <v>20.408453000000002</v>
      </c>
      <c r="O1045" s="482">
        <v>92.660360999999995</v>
      </c>
      <c r="P1045" s="396" t="s">
        <v>795</v>
      </c>
      <c r="Q1045" s="396" t="s">
        <v>776</v>
      </c>
      <c r="R1045" s="486"/>
      <c r="S1045" s="487"/>
      <c r="T1045" s="412"/>
      <c r="U1045" s="488" t="s">
        <v>1897</v>
      </c>
      <c r="V1045" s="484" t="s">
        <v>467</v>
      </c>
      <c r="W1045" s="486"/>
    </row>
    <row r="1046" spans="1:23" ht="14.25" customHeight="1">
      <c r="A1046" s="504" t="s">
        <v>2647</v>
      </c>
      <c r="B1046" s="504" t="s">
        <v>337</v>
      </c>
      <c r="C1046" s="504" t="s">
        <v>888</v>
      </c>
      <c r="D1046" s="431" t="s">
        <v>1656</v>
      </c>
      <c r="E1046" s="396">
        <v>197650</v>
      </c>
      <c r="F1046" s="482"/>
      <c r="G1046" s="396"/>
      <c r="H1046" s="396"/>
      <c r="I1046" s="482"/>
      <c r="J1046" s="396" t="s">
        <v>875</v>
      </c>
      <c r="K1046" s="396" t="s">
        <v>794</v>
      </c>
      <c r="L1046" s="396" t="s">
        <v>794</v>
      </c>
      <c r="M1046" s="396" t="s">
        <v>294</v>
      </c>
      <c r="N1046" s="396">
        <v>20.397039410000001</v>
      </c>
      <c r="O1046" s="396">
        <v>92.664451600000007</v>
      </c>
      <c r="P1046" s="396" t="s">
        <v>795</v>
      </c>
      <c r="Q1046" s="396"/>
      <c r="R1046" s="486"/>
      <c r="S1046" s="487"/>
      <c r="T1046" s="412">
        <v>42849</v>
      </c>
      <c r="U1046" s="401" t="s">
        <v>889</v>
      </c>
      <c r="V1046" s="482"/>
      <c r="W1046" s="486"/>
    </row>
    <row r="1047" spans="1:23" ht="14.25" customHeight="1">
      <c r="A1047" s="504" t="s">
        <v>2647</v>
      </c>
      <c r="B1047" s="504" t="s">
        <v>337</v>
      </c>
      <c r="C1047" s="504" t="s">
        <v>503</v>
      </c>
      <c r="D1047" s="431" t="s">
        <v>1656</v>
      </c>
      <c r="E1047" s="396">
        <v>197591</v>
      </c>
      <c r="F1047" s="482"/>
      <c r="G1047" s="396"/>
      <c r="H1047" s="396"/>
      <c r="I1047" s="396"/>
      <c r="J1047" s="396" t="s">
        <v>794</v>
      </c>
      <c r="K1047" s="396" t="s">
        <v>794</v>
      </c>
      <c r="L1047" s="396" t="s">
        <v>794</v>
      </c>
      <c r="M1047" s="396" t="s">
        <v>791</v>
      </c>
      <c r="N1047" s="396">
        <v>20.581470490000001</v>
      </c>
      <c r="O1047" s="396">
        <v>92.643272400000001</v>
      </c>
      <c r="P1047" s="396" t="s">
        <v>795</v>
      </c>
      <c r="Q1047" s="396" t="s">
        <v>776</v>
      </c>
      <c r="R1047" s="486"/>
      <c r="S1047" s="487"/>
      <c r="T1047" s="412"/>
      <c r="U1047" s="488" t="s">
        <v>799</v>
      </c>
      <c r="V1047" s="482" t="s">
        <v>503</v>
      </c>
      <c r="W1047" s="486"/>
    </row>
    <row r="1048" spans="1:23" ht="14.25" customHeight="1">
      <c r="A1048" s="504" t="s">
        <v>2647</v>
      </c>
      <c r="B1048" s="155" t="s">
        <v>337</v>
      </c>
      <c r="C1048" s="701" t="s">
        <v>1093</v>
      </c>
      <c r="D1048" s="485" t="s">
        <v>1656</v>
      </c>
      <c r="E1048" s="150"/>
      <c r="F1048" s="150"/>
      <c r="G1048" s="150"/>
      <c r="H1048" s="150"/>
      <c r="I1048" s="150"/>
      <c r="J1048" s="396" t="s">
        <v>794</v>
      </c>
      <c r="K1048" s="396" t="s">
        <v>794</v>
      </c>
      <c r="L1048" s="396" t="s">
        <v>794</v>
      </c>
      <c r="M1048" s="150" t="s">
        <v>807</v>
      </c>
      <c r="N1048" s="150"/>
      <c r="O1048" s="150"/>
      <c r="P1048" s="396" t="s">
        <v>795</v>
      </c>
      <c r="Q1048" s="150" t="s">
        <v>798</v>
      </c>
      <c r="R1048" s="151"/>
      <c r="S1048" s="149"/>
      <c r="T1048" s="152">
        <v>42926</v>
      </c>
      <c r="U1048" s="153" t="s">
        <v>799</v>
      </c>
      <c r="V1048" s="150"/>
      <c r="W1048" s="486"/>
    </row>
    <row r="1049" spans="1:23" ht="14.25" customHeight="1">
      <c r="A1049" s="504" t="s">
        <v>2647</v>
      </c>
      <c r="B1049" s="514" t="s">
        <v>337</v>
      </c>
      <c r="C1049" s="452" t="s">
        <v>502</v>
      </c>
      <c r="D1049" s="485" t="s">
        <v>1656</v>
      </c>
      <c r="E1049" s="396">
        <v>197590</v>
      </c>
      <c r="F1049" s="396"/>
      <c r="G1049" s="396"/>
      <c r="H1049" s="396"/>
      <c r="I1049" s="396"/>
      <c r="J1049" s="396" t="s">
        <v>794</v>
      </c>
      <c r="K1049" s="396" t="s">
        <v>794</v>
      </c>
      <c r="L1049" s="396" t="s">
        <v>794</v>
      </c>
      <c r="M1049" s="396" t="s">
        <v>294</v>
      </c>
      <c r="N1049" s="396">
        <v>20.56975937</v>
      </c>
      <c r="O1049" s="513">
        <v>92.641799930000005</v>
      </c>
      <c r="P1049" s="396" t="s">
        <v>795</v>
      </c>
      <c r="Q1049" s="396" t="s">
        <v>776</v>
      </c>
      <c r="R1049" s="494"/>
      <c r="S1049" s="487"/>
      <c r="T1049" s="412"/>
      <c r="U1049" s="488" t="s">
        <v>799</v>
      </c>
      <c r="V1049" s="396" t="s">
        <v>502</v>
      </c>
      <c r="W1049" s="486"/>
    </row>
    <row r="1050" spans="1:23" ht="14.25" customHeight="1">
      <c r="A1050" s="504" t="s">
        <v>2647</v>
      </c>
      <c r="B1050" s="514" t="s">
        <v>337</v>
      </c>
      <c r="C1050" s="452" t="s">
        <v>909</v>
      </c>
      <c r="D1050" s="485" t="s">
        <v>1656</v>
      </c>
      <c r="E1050" s="396">
        <v>197585</v>
      </c>
      <c r="F1050" s="482"/>
      <c r="G1050" s="396"/>
      <c r="H1050" s="396"/>
      <c r="I1050" s="396"/>
      <c r="J1050" s="396" t="s">
        <v>794</v>
      </c>
      <c r="K1050" s="396" t="s">
        <v>794</v>
      </c>
      <c r="L1050" s="396" t="s">
        <v>794</v>
      </c>
      <c r="M1050" s="396" t="s">
        <v>294</v>
      </c>
      <c r="N1050" s="396">
        <v>20.585840229999999</v>
      </c>
      <c r="O1050" s="396">
        <v>92.670722960000006</v>
      </c>
      <c r="P1050" s="396" t="s">
        <v>795</v>
      </c>
      <c r="Q1050" s="396"/>
      <c r="R1050" s="494"/>
      <c r="S1050" s="487"/>
      <c r="T1050" s="412"/>
      <c r="U1050" s="488"/>
      <c r="V1050" s="396" t="s">
        <v>909</v>
      </c>
      <c r="W1050" s="486"/>
    </row>
    <row r="1051" spans="1:23" ht="14.25" customHeight="1">
      <c r="A1051" s="514" t="s">
        <v>2647</v>
      </c>
      <c r="B1051" s="514" t="s">
        <v>337</v>
      </c>
      <c r="C1051" s="452" t="s">
        <v>2801</v>
      </c>
      <c r="D1051" s="485"/>
      <c r="E1051" s="396">
        <v>197581</v>
      </c>
      <c r="F1051" s="484"/>
      <c r="G1051" s="396"/>
      <c r="H1051" s="396"/>
      <c r="I1051" s="482"/>
      <c r="J1051" s="396" t="s">
        <v>2652</v>
      </c>
      <c r="K1051" s="396" t="s">
        <v>2622</v>
      </c>
      <c r="L1051" s="396" t="s">
        <v>2622</v>
      </c>
      <c r="M1051" s="396"/>
      <c r="N1051" s="396">
        <v>20.631229400634801</v>
      </c>
      <c r="O1051" s="396">
        <v>92.641532897949205</v>
      </c>
      <c r="P1051" s="396"/>
      <c r="Q1051" s="396"/>
      <c r="R1051" s="494"/>
      <c r="S1051" s="487"/>
      <c r="T1051" s="412">
        <v>43591</v>
      </c>
      <c r="U1051" s="494"/>
      <c r="V1051" s="396" t="s">
        <v>2767</v>
      </c>
      <c r="W1051" s="486"/>
    </row>
    <row r="1052" spans="1:23" ht="14.25" customHeight="1">
      <c r="A1052" s="504" t="s">
        <v>2647</v>
      </c>
      <c r="B1052" s="504" t="s">
        <v>337</v>
      </c>
      <c r="C1052" s="504" t="s">
        <v>578</v>
      </c>
      <c r="D1052" s="485" t="s">
        <v>1656</v>
      </c>
      <c r="E1052" s="396">
        <v>197616</v>
      </c>
      <c r="F1052" s="482" t="s">
        <v>482</v>
      </c>
      <c r="G1052" s="396"/>
      <c r="H1052" s="396"/>
      <c r="I1052" s="396"/>
      <c r="J1052" s="396" t="s">
        <v>794</v>
      </c>
      <c r="K1052" s="396" t="s">
        <v>794</v>
      </c>
      <c r="L1052" s="396" t="s">
        <v>794</v>
      </c>
      <c r="M1052" s="396" t="s">
        <v>294</v>
      </c>
      <c r="N1052" s="396">
        <v>20.495670319999999</v>
      </c>
      <c r="O1052" s="396">
        <v>92.651496890000004</v>
      </c>
      <c r="P1052" s="396" t="s">
        <v>795</v>
      </c>
      <c r="Q1052" s="396" t="s">
        <v>798</v>
      </c>
      <c r="R1052" s="484"/>
      <c r="S1052" s="484"/>
      <c r="T1052" s="412">
        <v>42926</v>
      </c>
      <c r="U1052" s="401" t="s">
        <v>799</v>
      </c>
      <c r="V1052" s="396"/>
      <c r="W1052" s="486"/>
    </row>
    <row r="1053" spans="1:23" ht="14.25" customHeight="1">
      <c r="A1053" s="504" t="s">
        <v>2647</v>
      </c>
      <c r="B1053" s="504" t="s">
        <v>337</v>
      </c>
      <c r="C1053" s="504" t="s">
        <v>537</v>
      </c>
      <c r="D1053" s="431" t="s">
        <v>1656</v>
      </c>
      <c r="E1053" s="396">
        <v>197670</v>
      </c>
      <c r="F1053" s="484"/>
      <c r="G1053" s="396"/>
      <c r="H1053" s="396"/>
      <c r="I1053" s="396"/>
      <c r="J1053" s="396" t="s">
        <v>794</v>
      </c>
      <c r="K1053" s="396" t="s">
        <v>794</v>
      </c>
      <c r="L1053" s="396" t="s">
        <v>794</v>
      </c>
      <c r="M1053" s="396" t="s">
        <v>791</v>
      </c>
      <c r="N1053" s="396">
        <v>20.6833992</v>
      </c>
      <c r="O1053" s="396">
        <v>92.656608579999997</v>
      </c>
      <c r="P1053" s="396" t="s">
        <v>795</v>
      </c>
      <c r="Q1053" s="396" t="s">
        <v>776</v>
      </c>
      <c r="R1053" s="490"/>
      <c r="S1053" s="491"/>
      <c r="T1053" s="412" t="s">
        <v>801</v>
      </c>
      <c r="U1053" s="488"/>
      <c r="V1053" s="484"/>
      <c r="W1053" s="486"/>
    </row>
    <row r="1054" spans="1:23" ht="14.25" customHeight="1">
      <c r="A1054" s="504" t="s">
        <v>2647</v>
      </c>
      <c r="B1054" s="504" t="s">
        <v>337</v>
      </c>
      <c r="C1054" s="504" t="s">
        <v>469</v>
      </c>
      <c r="D1054" s="431" t="s">
        <v>1656</v>
      </c>
      <c r="E1054" s="396" t="s">
        <v>1388</v>
      </c>
      <c r="F1054" s="396"/>
      <c r="G1054" s="396"/>
      <c r="H1054" s="396" t="s">
        <v>40</v>
      </c>
      <c r="I1054" s="482"/>
      <c r="J1054" s="396" t="s">
        <v>794</v>
      </c>
      <c r="K1054" s="396" t="s">
        <v>794</v>
      </c>
      <c r="L1054" s="396" t="s">
        <v>1656</v>
      </c>
      <c r="M1054" s="396" t="s">
        <v>791</v>
      </c>
      <c r="N1054" s="396">
        <v>20.447261000000001</v>
      </c>
      <c r="O1054" s="396">
        <v>92.639589000000001</v>
      </c>
      <c r="P1054" s="396" t="s">
        <v>795</v>
      </c>
      <c r="Q1054" s="396" t="s">
        <v>776</v>
      </c>
      <c r="R1054" s="399"/>
      <c r="S1054" s="486"/>
      <c r="T1054" s="412"/>
      <c r="U1054" s="401" t="s">
        <v>1897</v>
      </c>
      <c r="V1054" s="484" t="s">
        <v>469</v>
      </c>
      <c r="W1054" s="486"/>
    </row>
    <row r="1055" spans="1:23" ht="14.25" customHeight="1">
      <c r="A1055" s="504" t="s">
        <v>2647</v>
      </c>
      <c r="B1055" s="504" t="s">
        <v>337</v>
      </c>
      <c r="C1055" s="504" t="s">
        <v>893</v>
      </c>
      <c r="D1055" s="431" t="s">
        <v>1656</v>
      </c>
      <c r="E1055" s="396">
        <v>197654</v>
      </c>
      <c r="F1055" s="482"/>
      <c r="G1055" s="396"/>
      <c r="H1055" s="396"/>
      <c r="I1055" s="482"/>
      <c r="J1055" s="396" t="s">
        <v>875</v>
      </c>
      <c r="K1055" s="396" t="s">
        <v>794</v>
      </c>
      <c r="L1055" s="396" t="s">
        <v>794</v>
      </c>
      <c r="M1055" s="396" t="s">
        <v>294</v>
      </c>
      <c r="N1055" s="396">
        <v>20.447399140000002</v>
      </c>
      <c r="O1055" s="396">
        <v>92.630462649999998</v>
      </c>
      <c r="P1055" s="396" t="s">
        <v>795</v>
      </c>
      <c r="Q1055" s="396"/>
      <c r="R1055" s="490"/>
      <c r="S1055" s="491"/>
      <c r="T1055" s="412">
        <v>42849</v>
      </c>
      <c r="U1055" s="488" t="s">
        <v>889</v>
      </c>
      <c r="V1055" s="482" t="s">
        <v>469</v>
      </c>
      <c r="W1055" s="486"/>
    </row>
    <row r="1056" spans="1:23" ht="14.25" customHeight="1">
      <c r="A1056" s="504" t="s">
        <v>2647</v>
      </c>
      <c r="B1056" s="504" t="s">
        <v>337</v>
      </c>
      <c r="C1056" s="504" t="s">
        <v>518</v>
      </c>
      <c r="D1056" s="431" t="s">
        <v>1656</v>
      </c>
      <c r="E1056" s="482">
        <v>197695</v>
      </c>
      <c r="F1056" s="396" t="s">
        <v>2695</v>
      </c>
      <c r="G1056" s="396"/>
      <c r="H1056" s="482"/>
      <c r="I1056" s="482"/>
      <c r="J1056" s="482" t="s">
        <v>794</v>
      </c>
      <c r="K1056" s="482" t="s">
        <v>794</v>
      </c>
      <c r="L1056" s="482" t="s">
        <v>794</v>
      </c>
      <c r="M1056" s="482" t="s">
        <v>294</v>
      </c>
      <c r="N1056" s="482">
        <v>20.651939389999999</v>
      </c>
      <c r="O1056" s="482">
        <v>92.684577939999997</v>
      </c>
      <c r="P1056" s="396" t="s">
        <v>795</v>
      </c>
      <c r="Q1056" s="482" t="s">
        <v>798</v>
      </c>
      <c r="R1056" s="490"/>
      <c r="S1056" s="491"/>
      <c r="T1056" s="506">
        <v>42926</v>
      </c>
      <c r="U1056" s="488" t="s">
        <v>799</v>
      </c>
      <c r="V1056" s="396"/>
      <c r="W1056" s="486"/>
    </row>
    <row r="1057" spans="1:23" ht="14.25" customHeight="1">
      <c r="A1057" s="504" t="s">
        <v>2647</v>
      </c>
      <c r="B1057" s="504" t="s">
        <v>337</v>
      </c>
      <c r="C1057" s="504" t="s">
        <v>473</v>
      </c>
      <c r="D1057" s="431" t="s">
        <v>1656</v>
      </c>
      <c r="E1057" s="396">
        <v>197629</v>
      </c>
      <c r="F1057" s="484" t="s">
        <v>473</v>
      </c>
      <c r="G1057" s="396"/>
      <c r="H1057" s="396"/>
      <c r="I1057" s="396"/>
      <c r="J1057" s="396" t="s">
        <v>794</v>
      </c>
      <c r="K1057" s="396" t="s">
        <v>794</v>
      </c>
      <c r="L1057" s="396" t="s">
        <v>794</v>
      </c>
      <c r="M1057" s="396" t="s">
        <v>294</v>
      </c>
      <c r="N1057" s="396">
        <v>20.463909149999999</v>
      </c>
      <c r="O1057" s="396">
        <v>92.675468440000003</v>
      </c>
      <c r="P1057" s="396" t="s">
        <v>795</v>
      </c>
      <c r="Q1057" s="396" t="s">
        <v>798</v>
      </c>
      <c r="R1057" s="486"/>
      <c r="S1057" s="486"/>
      <c r="T1057" s="412">
        <v>42926</v>
      </c>
      <c r="U1057" s="401" t="s">
        <v>799</v>
      </c>
      <c r="V1057" s="396"/>
      <c r="W1057" s="486"/>
    </row>
    <row r="1058" spans="1:23" ht="14.25" customHeight="1">
      <c r="A1058" s="504" t="s">
        <v>2647</v>
      </c>
      <c r="B1058" s="504" t="s">
        <v>337</v>
      </c>
      <c r="C1058" s="699" t="s">
        <v>513</v>
      </c>
      <c r="D1058" s="431" t="s">
        <v>1656</v>
      </c>
      <c r="E1058" s="396">
        <v>197706</v>
      </c>
      <c r="F1058" s="482" t="s">
        <v>513</v>
      </c>
      <c r="G1058" s="396"/>
      <c r="H1058" s="396"/>
      <c r="I1058" s="496"/>
      <c r="J1058" s="396" t="s">
        <v>794</v>
      </c>
      <c r="K1058" s="482" t="s">
        <v>794</v>
      </c>
      <c r="L1058" s="496" t="s">
        <v>794</v>
      </c>
      <c r="M1058" s="396" t="s">
        <v>294</v>
      </c>
      <c r="N1058" s="396">
        <v>20.643590929999998</v>
      </c>
      <c r="O1058" s="396">
        <v>92.722618100000005</v>
      </c>
      <c r="P1058" s="396" t="s">
        <v>795</v>
      </c>
      <c r="Q1058" s="396" t="s">
        <v>776</v>
      </c>
      <c r="R1058" s="486"/>
      <c r="S1058" s="486"/>
      <c r="T1058" s="412" t="s">
        <v>801</v>
      </c>
      <c r="U1058" s="401"/>
      <c r="V1058" s="482"/>
      <c r="W1058" s="516"/>
    </row>
    <row r="1059" spans="1:23" ht="14.25" customHeight="1">
      <c r="A1059" s="504" t="s">
        <v>2647</v>
      </c>
      <c r="B1059" s="519" t="s">
        <v>337</v>
      </c>
      <c r="C1059" s="700" t="s">
        <v>911</v>
      </c>
      <c r="D1059" s="431" t="s">
        <v>1656</v>
      </c>
      <c r="E1059" s="517">
        <v>197583</v>
      </c>
      <c r="F1059" s="520"/>
      <c r="G1059" s="520"/>
      <c r="H1059" s="520"/>
      <c r="I1059" s="496"/>
      <c r="J1059" s="520" t="s">
        <v>794</v>
      </c>
      <c r="K1059" s="520" t="s">
        <v>794</v>
      </c>
      <c r="L1059" s="496" t="s">
        <v>794</v>
      </c>
      <c r="M1059" s="520"/>
      <c r="N1059" s="520">
        <v>20.598709110000001</v>
      </c>
      <c r="O1059" s="520">
        <v>92.664337160000002</v>
      </c>
      <c r="P1059" s="520" t="s">
        <v>795</v>
      </c>
      <c r="Q1059" s="520"/>
      <c r="R1059" s="486"/>
      <c r="S1059" s="486"/>
      <c r="T1059" s="521"/>
      <c r="U1059" s="522"/>
      <c r="V1059" s="520" t="s">
        <v>911</v>
      </c>
      <c r="W1059" s="516"/>
    </row>
    <row r="1060" spans="1:23" ht="14.25" customHeight="1">
      <c r="A1060" s="504" t="s">
        <v>2647</v>
      </c>
      <c r="B1060" s="504" t="s">
        <v>337</v>
      </c>
      <c r="C1060" s="504" t="s">
        <v>485</v>
      </c>
      <c r="D1060" s="431" t="s">
        <v>1656</v>
      </c>
      <c r="E1060" s="396">
        <v>197615</v>
      </c>
      <c r="F1060" s="482"/>
      <c r="G1060" s="396"/>
      <c r="H1060" s="396"/>
      <c r="I1060" s="396"/>
      <c r="J1060" s="396" t="s">
        <v>794</v>
      </c>
      <c r="K1060" s="396" t="s">
        <v>794</v>
      </c>
      <c r="L1060" s="396" t="s">
        <v>794</v>
      </c>
      <c r="M1060" s="396" t="s">
        <v>294</v>
      </c>
      <c r="N1060" s="396">
        <v>20.502599719999999</v>
      </c>
      <c r="O1060" s="396">
        <v>92.6474762</v>
      </c>
      <c r="P1060" s="396" t="s">
        <v>795</v>
      </c>
      <c r="Q1060" s="396" t="s">
        <v>798</v>
      </c>
      <c r="R1060" s="490"/>
      <c r="S1060" s="491"/>
      <c r="T1060" s="412">
        <v>42926</v>
      </c>
      <c r="U1060" s="401" t="s">
        <v>799</v>
      </c>
      <c r="V1060" s="396"/>
      <c r="W1060" s="486"/>
    </row>
    <row r="1061" spans="1:23" ht="14.25" customHeight="1">
      <c r="A1061" s="504" t="s">
        <v>2647</v>
      </c>
      <c r="B1061" s="504" t="s">
        <v>337</v>
      </c>
      <c r="C1061" s="504" t="s">
        <v>902</v>
      </c>
      <c r="D1061" s="431" t="s">
        <v>1656</v>
      </c>
      <c r="E1061" s="396">
        <v>197608</v>
      </c>
      <c r="F1061" s="396"/>
      <c r="G1061" s="396"/>
      <c r="H1061" s="396"/>
      <c r="I1061" s="396"/>
      <c r="J1061" s="396" t="s">
        <v>794</v>
      </c>
      <c r="K1061" s="396" t="s">
        <v>794</v>
      </c>
      <c r="L1061" s="396" t="s">
        <v>794</v>
      </c>
      <c r="M1061" s="396" t="s">
        <v>294</v>
      </c>
      <c r="N1061" s="396">
        <v>20.521270749999999</v>
      </c>
      <c r="O1061" s="396">
        <v>92.686096190000001</v>
      </c>
      <c r="P1061" s="396" t="s">
        <v>795</v>
      </c>
      <c r="Q1061" s="396"/>
      <c r="R1061" s="490"/>
      <c r="S1061" s="491"/>
      <c r="T1061" s="412"/>
      <c r="U1061" s="401"/>
      <c r="V1061" s="396" t="s">
        <v>902</v>
      </c>
      <c r="W1061" s="486"/>
    </row>
    <row r="1062" spans="1:23" ht="14.25" customHeight="1">
      <c r="A1062" s="504" t="s">
        <v>2647</v>
      </c>
      <c r="B1062" s="504" t="s">
        <v>337</v>
      </c>
      <c r="C1062" s="504" t="s">
        <v>480</v>
      </c>
      <c r="D1062" s="431" t="s">
        <v>1656</v>
      </c>
      <c r="E1062" s="396">
        <v>197618</v>
      </c>
      <c r="F1062" s="484"/>
      <c r="G1062" s="396"/>
      <c r="H1062" s="396"/>
      <c r="I1062" s="396"/>
      <c r="J1062" s="396" t="s">
        <v>794</v>
      </c>
      <c r="K1062" s="396" t="s">
        <v>794</v>
      </c>
      <c r="L1062" s="396" t="s">
        <v>794</v>
      </c>
      <c r="M1062" s="396" t="s">
        <v>294</v>
      </c>
      <c r="N1062" s="396">
        <v>20.480100629999999</v>
      </c>
      <c r="O1062" s="396">
        <v>92.70481873</v>
      </c>
      <c r="P1062" s="396" t="s">
        <v>795</v>
      </c>
      <c r="Q1062" s="396" t="s">
        <v>798</v>
      </c>
      <c r="R1062" s="399"/>
      <c r="S1062" s="486"/>
      <c r="T1062" s="412">
        <v>42926</v>
      </c>
      <c r="U1062" s="401" t="s">
        <v>799</v>
      </c>
      <c r="V1062" s="396"/>
      <c r="W1062" s="486"/>
    </row>
    <row r="1063" spans="1:23" ht="14.25" customHeight="1">
      <c r="A1063" s="504" t="s">
        <v>2647</v>
      </c>
      <c r="B1063" s="504" t="s">
        <v>337</v>
      </c>
      <c r="C1063" s="504" t="s">
        <v>512</v>
      </c>
      <c r="D1063" s="431" t="s">
        <v>1656</v>
      </c>
      <c r="E1063" s="482">
        <v>197707</v>
      </c>
      <c r="F1063" s="482"/>
      <c r="G1063" s="396"/>
      <c r="H1063" s="396"/>
      <c r="I1063" s="482"/>
      <c r="J1063" s="396" t="s">
        <v>794</v>
      </c>
      <c r="K1063" s="396" t="s">
        <v>794</v>
      </c>
      <c r="L1063" s="396" t="s">
        <v>794</v>
      </c>
      <c r="M1063" s="396" t="s">
        <v>294</v>
      </c>
      <c r="N1063" s="396">
        <v>20.639530180000001</v>
      </c>
      <c r="O1063" s="396">
        <v>92.721908569999997</v>
      </c>
      <c r="P1063" s="396" t="s">
        <v>795</v>
      </c>
      <c r="Q1063" s="396" t="s">
        <v>776</v>
      </c>
      <c r="R1063" s="486"/>
      <c r="S1063" s="486"/>
      <c r="T1063" s="412" t="s">
        <v>801</v>
      </c>
      <c r="U1063" s="488"/>
      <c r="V1063" s="482"/>
      <c r="W1063" s="486"/>
    </row>
    <row r="1064" spans="1:23" ht="14.25" customHeight="1">
      <c r="A1064" s="504" t="s">
        <v>2647</v>
      </c>
      <c r="B1064" s="504" t="s">
        <v>337</v>
      </c>
      <c r="C1064" s="504" t="s">
        <v>504</v>
      </c>
      <c r="D1064" s="431" t="s">
        <v>1656</v>
      </c>
      <c r="E1064" s="482">
        <v>197580</v>
      </c>
      <c r="F1064" s="396"/>
      <c r="G1064" s="396"/>
      <c r="H1064" s="396"/>
      <c r="I1064" s="396"/>
      <c r="J1064" s="396" t="s">
        <v>794</v>
      </c>
      <c r="K1064" s="396" t="s">
        <v>794</v>
      </c>
      <c r="L1064" s="396" t="s">
        <v>794</v>
      </c>
      <c r="M1064" s="396" t="s">
        <v>294</v>
      </c>
      <c r="N1064" s="396">
        <v>20.582699999999999</v>
      </c>
      <c r="O1064" s="396">
        <v>92.664699999999996</v>
      </c>
      <c r="P1064" s="396" t="s">
        <v>795</v>
      </c>
      <c r="Q1064" s="396" t="s">
        <v>776</v>
      </c>
      <c r="R1064" s="399"/>
      <c r="S1064" s="486"/>
      <c r="T1064" s="412"/>
      <c r="U1064" s="401"/>
      <c r="V1064" s="396" t="s">
        <v>504</v>
      </c>
      <c r="W1064" s="486"/>
    </row>
    <row r="1065" spans="1:23" ht="14.25" customHeight="1">
      <c r="A1065" s="504" t="s">
        <v>2647</v>
      </c>
      <c r="B1065" s="504" t="s">
        <v>337</v>
      </c>
      <c r="C1065" s="504" t="s">
        <v>477</v>
      </c>
      <c r="D1065" s="431" t="s">
        <v>1656</v>
      </c>
      <c r="E1065" s="396">
        <v>197630</v>
      </c>
      <c r="F1065" s="396"/>
      <c r="G1065" s="396"/>
      <c r="H1065" s="396"/>
      <c r="I1065" s="396"/>
      <c r="J1065" s="396" t="s">
        <v>794</v>
      </c>
      <c r="K1065" s="396" t="s">
        <v>794</v>
      </c>
      <c r="L1065" s="396" t="s">
        <v>794</v>
      </c>
      <c r="M1065" s="396" t="s">
        <v>294</v>
      </c>
      <c r="N1065" s="396">
        <v>20.470119480000001</v>
      </c>
      <c r="O1065" s="396">
        <v>92.672653199999999</v>
      </c>
      <c r="P1065" s="396" t="s">
        <v>795</v>
      </c>
      <c r="Q1065" s="396" t="s">
        <v>798</v>
      </c>
      <c r="R1065" s="490"/>
      <c r="S1065" s="491"/>
      <c r="T1065" s="412">
        <v>42926</v>
      </c>
      <c r="U1065" s="488" t="s">
        <v>799</v>
      </c>
      <c r="V1065" s="482"/>
      <c r="W1065" s="486"/>
    </row>
    <row r="1066" spans="1:23" ht="14.25" customHeight="1">
      <c r="A1066" s="504" t="s">
        <v>2647</v>
      </c>
      <c r="B1066" s="504" t="s">
        <v>337</v>
      </c>
      <c r="C1066" s="504" t="s">
        <v>1907</v>
      </c>
      <c r="D1066" s="431"/>
      <c r="E1066" s="396">
        <v>197611</v>
      </c>
      <c r="F1066" s="482" t="s">
        <v>1907</v>
      </c>
      <c r="G1066" s="396"/>
      <c r="H1066" s="396"/>
      <c r="I1066" s="482"/>
      <c r="J1066" s="396" t="s">
        <v>794</v>
      </c>
      <c r="K1066" s="396" t="s">
        <v>794</v>
      </c>
      <c r="L1066" s="396" t="s">
        <v>794</v>
      </c>
      <c r="M1066" s="396" t="s">
        <v>294</v>
      </c>
      <c r="N1066" s="482">
        <v>20.504730219999999</v>
      </c>
      <c r="O1066" s="482">
        <v>92.6831131</v>
      </c>
      <c r="P1066" s="396" t="s">
        <v>795</v>
      </c>
      <c r="Q1066" s="396" t="s">
        <v>1904</v>
      </c>
      <c r="R1066" s="486"/>
      <c r="S1066" s="486"/>
      <c r="T1066" s="412">
        <v>43245</v>
      </c>
      <c r="U1066" s="401"/>
      <c r="V1066" s="482"/>
      <c r="W1066" s="486"/>
    </row>
    <row r="1067" spans="1:23" ht="14.25" customHeight="1">
      <c r="A1067" s="504" t="s">
        <v>2647</v>
      </c>
      <c r="B1067" s="504" t="s">
        <v>337</v>
      </c>
      <c r="C1067" s="504" t="s">
        <v>1908</v>
      </c>
      <c r="D1067" s="431"/>
      <c r="E1067" s="396">
        <v>197613</v>
      </c>
      <c r="F1067" s="484"/>
      <c r="G1067" s="396"/>
      <c r="H1067" s="396"/>
      <c r="I1067" s="396"/>
      <c r="J1067" s="396" t="s">
        <v>794</v>
      </c>
      <c r="K1067" s="482" t="s">
        <v>794</v>
      </c>
      <c r="L1067" s="482" t="s">
        <v>794</v>
      </c>
      <c r="M1067" s="396" t="s">
        <v>294</v>
      </c>
      <c r="N1067" s="482">
        <v>20.49729919</v>
      </c>
      <c r="O1067" s="482">
        <v>92.683097840000002</v>
      </c>
      <c r="P1067" s="396" t="s">
        <v>795</v>
      </c>
      <c r="Q1067" s="396" t="s">
        <v>1904</v>
      </c>
      <c r="R1067" s="486"/>
      <c r="S1067" s="486"/>
      <c r="T1067" s="412">
        <v>43245</v>
      </c>
      <c r="U1067" s="401"/>
      <c r="V1067" s="396"/>
      <c r="W1067" s="486"/>
    </row>
    <row r="1068" spans="1:23" ht="14.25" customHeight="1">
      <c r="A1068" s="504" t="s">
        <v>2647</v>
      </c>
      <c r="B1068" s="504" t="s">
        <v>337</v>
      </c>
      <c r="C1068" s="504" t="s">
        <v>488</v>
      </c>
      <c r="D1068" s="431" t="s">
        <v>1656</v>
      </c>
      <c r="E1068" s="396">
        <v>197596</v>
      </c>
      <c r="F1068" s="482"/>
      <c r="G1068" s="396"/>
      <c r="H1068" s="396"/>
      <c r="I1068" s="396"/>
      <c r="J1068" s="396" t="s">
        <v>794</v>
      </c>
      <c r="K1068" s="396" t="s">
        <v>794</v>
      </c>
      <c r="L1068" s="396" t="s">
        <v>794</v>
      </c>
      <c r="M1068" s="396" t="s">
        <v>294</v>
      </c>
      <c r="N1068" s="396">
        <v>20.511900000000001</v>
      </c>
      <c r="O1068" s="396">
        <v>92.645300000000006</v>
      </c>
      <c r="P1068" s="396" t="s">
        <v>795</v>
      </c>
      <c r="Q1068" s="396" t="s">
        <v>776</v>
      </c>
      <c r="R1068" s="486"/>
      <c r="S1068" s="486"/>
      <c r="T1068" s="412"/>
      <c r="U1068" s="401"/>
      <c r="V1068" s="396" t="s">
        <v>488</v>
      </c>
      <c r="W1068" s="486"/>
    </row>
    <row r="1069" spans="1:23" ht="14.25" customHeight="1">
      <c r="A1069" s="504" t="s">
        <v>2647</v>
      </c>
      <c r="B1069" s="504" t="s">
        <v>337</v>
      </c>
      <c r="C1069" s="504" t="s">
        <v>470</v>
      </c>
      <c r="D1069" s="431" t="s">
        <v>1656</v>
      </c>
      <c r="E1069" s="396">
        <v>197621</v>
      </c>
      <c r="F1069" s="396"/>
      <c r="G1069" s="396"/>
      <c r="H1069" s="396"/>
      <c r="I1069" s="396"/>
      <c r="J1069" s="396" t="s">
        <v>794</v>
      </c>
      <c r="K1069" s="396" t="s">
        <v>794</v>
      </c>
      <c r="L1069" s="396" t="s">
        <v>794</v>
      </c>
      <c r="M1069" s="396" t="s">
        <v>294</v>
      </c>
      <c r="N1069" s="396">
        <v>20.453830719999999</v>
      </c>
      <c r="O1069" s="396">
        <v>92.683090210000003</v>
      </c>
      <c r="P1069" s="396" t="s">
        <v>795</v>
      </c>
      <c r="Q1069" s="396" t="s">
        <v>798</v>
      </c>
      <c r="R1069" s="490"/>
      <c r="S1069" s="491"/>
      <c r="T1069" s="412">
        <v>42926</v>
      </c>
      <c r="U1069" s="488" t="s">
        <v>799</v>
      </c>
      <c r="V1069" s="396"/>
      <c r="W1069" s="486"/>
    </row>
    <row r="1070" spans="1:23" ht="14.25" customHeight="1">
      <c r="A1070" s="504" t="s">
        <v>2647</v>
      </c>
      <c r="B1070" s="504" t="s">
        <v>337</v>
      </c>
      <c r="C1070" s="504" t="s">
        <v>511</v>
      </c>
      <c r="D1070" s="431" t="s">
        <v>1656</v>
      </c>
      <c r="E1070" s="396">
        <v>197690</v>
      </c>
      <c r="F1070" s="396"/>
      <c r="G1070" s="396"/>
      <c r="H1070" s="396"/>
      <c r="I1070" s="396"/>
      <c r="J1070" s="396" t="s">
        <v>794</v>
      </c>
      <c r="K1070" s="482" t="s">
        <v>794</v>
      </c>
      <c r="L1070" s="482" t="s">
        <v>794</v>
      </c>
      <c r="M1070" s="396" t="s">
        <v>294</v>
      </c>
      <c r="N1070" s="396">
        <v>20.636510850000001</v>
      </c>
      <c r="O1070" s="396">
        <v>92.713378910000003</v>
      </c>
      <c r="P1070" s="396" t="s">
        <v>795</v>
      </c>
      <c r="Q1070" s="396" t="s">
        <v>776</v>
      </c>
      <c r="R1070" s="486"/>
      <c r="S1070" s="486"/>
      <c r="T1070" s="412" t="s">
        <v>801</v>
      </c>
      <c r="U1070" s="401"/>
      <c r="V1070" s="396"/>
      <c r="W1070" s="486"/>
    </row>
    <row r="1071" spans="1:23" ht="14.25" customHeight="1">
      <c r="A1071" s="504" t="s">
        <v>2647</v>
      </c>
      <c r="B1071" s="504" t="s">
        <v>337</v>
      </c>
      <c r="C1071" s="504" t="s">
        <v>497</v>
      </c>
      <c r="D1071" s="431" t="s">
        <v>1656</v>
      </c>
      <c r="E1071" s="396">
        <v>197597</v>
      </c>
      <c r="F1071" s="484"/>
      <c r="G1071" s="396"/>
      <c r="H1071" s="396"/>
      <c r="I1071" s="396"/>
      <c r="J1071" s="396" t="s">
        <v>794</v>
      </c>
      <c r="K1071" s="396" t="s">
        <v>794</v>
      </c>
      <c r="L1071" s="396" t="s">
        <v>794</v>
      </c>
      <c r="M1071" s="396" t="s">
        <v>791</v>
      </c>
      <c r="N1071" s="396">
        <v>20.550769809999998</v>
      </c>
      <c r="O1071" s="396">
        <v>92.650512699999993</v>
      </c>
      <c r="P1071" s="396" t="s">
        <v>795</v>
      </c>
      <c r="Q1071" s="396" t="s">
        <v>776</v>
      </c>
      <c r="R1071" s="486"/>
      <c r="S1071" s="486"/>
      <c r="T1071" s="412"/>
      <c r="U1071" s="401"/>
      <c r="V1071" s="396" t="s">
        <v>497</v>
      </c>
      <c r="W1071" s="486"/>
    </row>
    <row r="1072" spans="1:23" ht="14.25" customHeight="1">
      <c r="A1072" s="504" t="s">
        <v>2647</v>
      </c>
      <c r="B1072" s="504" t="s">
        <v>337</v>
      </c>
      <c r="C1072" s="504" t="s">
        <v>457</v>
      </c>
      <c r="D1072" s="431" t="s">
        <v>2288</v>
      </c>
      <c r="E1072" s="482" t="s">
        <v>1380</v>
      </c>
      <c r="F1072" s="482"/>
      <c r="G1072" s="396"/>
      <c r="H1072" s="396"/>
      <c r="I1072" s="482"/>
      <c r="J1072" s="396" t="s">
        <v>794</v>
      </c>
      <c r="K1072" s="396" t="s">
        <v>794</v>
      </c>
      <c r="L1072" s="396" t="s">
        <v>879</v>
      </c>
      <c r="M1072" s="396" t="s">
        <v>791</v>
      </c>
      <c r="N1072" s="396">
        <v>20.335864000000001</v>
      </c>
      <c r="O1072" s="396">
        <v>92.785706000000005</v>
      </c>
      <c r="P1072" s="396" t="s">
        <v>795</v>
      </c>
      <c r="Q1072" s="396" t="s">
        <v>776</v>
      </c>
      <c r="R1072" s="486">
        <v>56</v>
      </c>
      <c r="S1072" s="487">
        <v>332</v>
      </c>
      <c r="T1072" s="412"/>
      <c r="U1072" s="401"/>
      <c r="V1072" s="396" t="s">
        <v>880</v>
      </c>
      <c r="W1072" s="486"/>
    </row>
    <row r="1073" spans="1:23" ht="14.25" customHeight="1">
      <c r="A1073" s="504" t="s">
        <v>2647</v>
      </c>
      <c r="B1073" s="504" t="s">
        <v>337</v>
      </c>
      <c r="C1073" s="504" t="s">
        <v>458</v>
      </c>
      <c r="D1073" s="431" t="s">
        <v>1656</v>
      </c>
      <c r="E1073" s="396">
        <v>197779</v>
      </c>
      <c r="F1073" s="396"/>
      <c r="G1073" s="396"/>
      <c r="H1073" s="396"/>
      <c r="I1073" s="482"/>
      <c r="J1073" s="396" t="s">
        <v>794</v>
      </c>
      <c r="K1073" s="396" t="s">
        <v>794</v>
      </c>
      <c r="L1073" s="396" t="s">
        <v>794</v>
      </c>
      <c r="M1073" s="396" t="s">
        <v>294</v>
      </c>
      <c r="N1073" s="396">
        <v>20.339799880000001</v>
      </c>
      <c r="O1073" s="396">
        <v>92.782653809999999</v>
      </c>
      <c r="P1073" s="396" t="s">
        <v>795</v>
      </c>
      <c r="Q1073" s="396" t="s">
        <v>776</v>
      </c>
      <c r="R1073" s="490"/>
      <c r="S1073" s="491"/>
      <c r="T1073" s="412"/>
      <c r="U1073" s="488"/>
      <c r="V1073" s="396"/>
      <c r="W1073" s="486"/>
    </row>
    <row r="1074" spans="1:23" ht="14.25" customHeight="1">
      <c r="A1074" s="504" t="s">
        <v>2647</v>
      </c>
      <c r="B1074" s="504" t="s">
        <v>337</v>
      </c>
      <c r="C1074" s="504" t="s">
        <v>546</v>
      </c>
      <c r="D1074" s="431" t="s">
        <v>1656</v>
      </c>
      <c r="E1074" s="396">
        <v>197671</v>
      </c>
      <c r="F1074" s="396"/>
      <c r="G1074" s="396"/>
      <c r="H1074" s="396"/>
      <c r="I1074" s="396"/>
      <c r="J1074" s="396" t="s">
        <v>794</v>
      </c>
      <c r="K1074" s="396" t="s">
        <v>794</v>
      </c>
      <c r="L1074" s="396" t="s">
        <v>794</v>
      </c>
      <c r="M1074" s="396" t="s">
        <v>294</v>
      </c>
      <c r="N1074" s="396">
        <v>20.694499969999999</v>
      </c>
      <c r="O1074" s="396">
        <v>92.647750849999994</v>
      </c>
      <c r="P1074" s="396" t="s">
        <v>795</v>
      </c>
      <c r="Q1074" s="396" t="s">
        <v>776</v>
      </c>
      <c r="R1074" s="486"/>
      <c r="S1074" s="486"/>
      <c r="T1074" s="412" t="s">
        <v>776</v>
      </c>
      <c r="U1074" s="401"/>
      <c r="V1074" s="482"/>
      <c r="W1074" s="486"/>
    </row>
    <row r="1075" spans="1:23" ht="14.25" customHeight="1">
      <c r="A1075" s="504" t="s">
        <v>2647</v>
      </c>
      <c r="B1075" s="504" t="s">
        <v>337</v>
      </c>
      <c r="C1075" s="504" t="s">
        <v>539</v>
      </c>
      <c r="D1075" s="431" t="s">
        <v>1656</v>
      </c>
      <c r="E1075" s="482">
        <v>197672</v>
      </c>
      <c r="F1075" s="396" t="s">
        <v>539</v>
      </c>
      <c r="G1075" s="396"/>
      <c r="H1075" s="396"/>
      <c r="I1075" s="482"/>
      <c r="J1075" s="396" t="s">
        <v>794</v>
      </c>
      <c r="K1075" s="482" t="s">
        <v>794</v>
      </c>
      <c r="L1075" s="482" t="s">
        <v>794</v>
      </c>
      <c r="M1075" s="396" t="s">
        <v>294</v>
      </c>
      <c r="N1075" s="482">
        <v>20.686460490000002</v>
      </c>
      <c r="O1075" s="482">
        <v>92.682327270000002</v>
      </c>
      <c r="P1075" s="396" t="s">
        <v>795</v>
      </c>
      <c r="Q1075" s="396" t="s">
        <v>776</v>
      </c>
      <c r="R1075" s="486"/>
      <c r="S1075" s="486"/>
      <c r="T1075" s="412" t="s">
        <v>776</v>
      </c>
      <c r="U1075" s="488"/>
      <c r="V1075" s="484"/>
      <c r="W1075" s="486"/>
    </row>
    <row r="1076" spans="1:23" ht="14.25" customHeight="1">
      <c r="A1076" s="504" t="s">
        <v>2647</v>
      </c>
      <c r="B1076" s="504" t="s">
        <v>337</v>
      </c>
      <c r="C1076" s="504" t="s">
        <v>543</v>
      </c>
      <c r="D1076" s="431" t="s">
        <v>1656</v>
      </c>
      <c r="E1076" s="396">
        <v>197669</v>
      </c>
      <c r="F1076" s="484"/>
      <c r="G1076" s="396"/>
      <c r="H1076" s="396"/>
      <c r="I1076" s="482"/>
      <c r="J1076" s="396" t="s">
        <v>2652</v>
      </c>
      <c r="K1076" s="396" t="s">
        <v>2622</v>
      </c>
      <c r="L1076" s="396" t="s">
        <v>2622</v>
      </c>
      <c r="M1076" s="396" t="s">
        <v>294</v>
      </c>
      <c r="N1076" s="396">
        <v>20.688629150000001</v>
      </c>
      <c r="O1076" s="396">
        <v>92.652481080000001</v>
      </c>
      <c r="P1076" s="396" t="s">
        <v>795</v>
      </c>
      <c r="Q1076" s="396" t="s">
        <v>776</v>
      </c>
      <c r="R1076" s="486"/>
      <c r="S1076" s="486"/>
      <c r="T1076" s="412" t="s">
        <v>801</v>
      </c>
      <c r="U1076" s="401"/>
      <c r="V1076" s="396"/>
      <c r="W1076" s="486"/>
    </row>
    <row r="1077" spans="1:23" ht="14.25" customHeight="1">
      <c r="A1077" s="504" t="s">
        <v>2647</v>
      </c>
      <c r="B1077" s="511" t="s">
        <v>337</v>
      </c>
      <c r="C1077" s="511" t="s">
        <v>489</v>
      </c>
      <c r="D1077" s="431" t="s">
        <v>1656</v>
      </c>
      <c r="E1077" s="496">
        <v>197609</v>
      </c>
      <c r="F1077" s="482"/>
      <c r="G1077" s="482"/>
      <c r="H1077" s="496"/>
      <c r="I1077" s="496"/>
      <c r="J1077" s="496" t="s">
        <v>794</v>
      </c>
      <c r="K1077" s="496" t="s">
        <v>794</v>
      </c>
      <c r="L1077" s="496" t="s">
        <v>794</v>
      </c>
      <c r="M1077" s="496" t="s">
        <v>294</v>
      </c>
      <c r="N1077" s="496">
        <v>20.5177002</v>
      </c>
      <c r="O1077" s="496">
        <v>92.660263060000005</v>
      </c>
      <c r="P1077" s="482" t="s">
        <v>795</v>
      </c>
      <c r="Q1077" s="497" t="s">
        <v>776</v>
      </c>
      <c r="R1077" s="486"/>
      <c r="S1077" s="486"/>
      <c r="T1077" s="508"/>
      <c r="U1077" s="496"/>
      <c r="V1077" s="482" t="s">
        <v>489</v>
      </c>
      <c r="W1077" s="486"/>
    </row>
    <row r="1078" spans="1:23" ht="14.25" customHeight="1">
      <c r="A1078" s="504" t="s">
        <v>2647</v>
      </c>
      <c r="B1078" s="504" t="s">
        <v>337</v>
      </c>
      <c r="C1078" s="504" t="s">
        <v>493</v>
      </c>
      <c r="D1078" s="431" t="s">
        <v>1656</v>
      </c>
      <c r="E1078" s="482">
        <v>197599</v>
      </c>
      <c r="F1078" s="482"/>
      <c r="G1078" s="482"/>
      <c r="H1078" s="482"/>
      <c r="I1078" s="482"/>
      <c r="J1078" s="482" t="s">
        <v>794</v>
      </c>
      <c r="K1078" s="482" t="s">
        <v>794</v>
      </c>
      <c r="L1078" s="482" t="s">
        <v>794</v>
      </c>
      <c r="M1078" s="482" t="s">
        <v>294</v>
      </c>
      <c r="N1078" s="482">
        <v>20.543479919999999</v>
      </c>
      <c r="O1078" s="482">
        <v>92.676979059999994</v>
      </c>
      <c r="P1078" s="482" t="s">
        <v>795</v>
      </c>
      <c r="Q1078" s="482" t="s">
        <v>776</v>
      </c>
      <c r="R1078" s="486"/>
      <c r="S1078" s="486"/>
      <c r="T1078" s="506"/>
      <c r="U1078" s="488"/>
      <c r="V1078" s="482" t="s">
        <v>493</v>
      </c>
      <c r="W1078" s="486"/>
    </row>
    <row r="1079" spans="1:23" ht="14.25" customHeight="1">
      <c r="A1079" s="504" t="s">
        <v>2647</v>
      </c>
      <c r="B1079" s="504" t="s">
        <v>337</v>
      </c>
      <c r="C1079" s="504" t="s">
        <v>534</v>
      </c>
      <c r="D1079" s="485" t="s">
        <v>1656</v>
      </c>
      <c r="E1079" s="482">
        <v>197683</v>
      </c>
      <c r="F1079" s="484"/>
      <c r="G1079" s="482"/>
      <c r="H1079" s="482"/>
      <c r="I1079" s="482"/>
      <c r="J1079" s="482" t="s">
        <v>2652</v>
      </c>
      <c r="K1079" s="482" t="s">
        <v>2622</v>
      </c>
      <c r="L1079" s="482" t="s">
        <v>2622</v>
      </c>
      <c r="M1079" s="482" t="s">
        <v>294</v>
      </c>
      <c r="N1079" s="482">
        <v>20.678159709999999</v>
      </c>
      <c r="O1079" s="482">
        <v>92.713821409999994</v>
      </c>
      <c r="P1079" s="482" t="s">
        <v>795</v>
      </c>
      <c r="Q1079" s="482" t="s">
        <v>776</v>
      </c>
      <c r="R1079" s="484"/>
      <c r="S1079" s="484"/>
      <c r="T1079" s="506" t="s">
        <v>776</v>
      </c>
      <c r="U1079" s="488"/>
      <c r="V1079" s="482"/>
      <c r="W1079" s="486"/>
    </row>
    <row r="1080" spans="1:23" ht="14.25" customHeight="1">
      <c r="A1080" s="504" t="s">
        <v>2647</v>
      </c>
      <c r="B1080" s="514" t="s">
        <v>337</v>
      </c>
      <c r="C1080" s="452" t="s">
        <v>906</v>
      </c>
      <c r="D1080" s="485" t="s">
        <v>1656</v>
      </c>
      <c r="E1080" s="482">
        <v>220694</v>
      </c>
      <c r="F1080" s="482"/>
      <c r="G1080" s="482"/>
      <c r="H1080" s="482"/>
      <c r="I1080" s="482"/>
      <c r="J1080" s="482" t="s">
        <v>794</v>
      </c>
      <c r="K1080" s="482" t="s">
        <v>794</v>
      </c>
      <c r="L1080" s="484" t="s">
        <v>794</v>
      </c>
      <c r="M1080" s="482" t="s">
        <v>294</v>
      </c>
      <c r="N1080" s="482">
        <v>20.581470490000001</v>
      </c>
      <c r="O1080" s="482">
        <v>92.643272400000001</v>
      </c>
      <c r="P1080" s="482" t="s">
        <v>795</v>
      </c>
      <c r="Q1080" s="482"/>
      <c r="R1080" s="494"/>
      <c r="S1080" s="487"/>
      <c r="T1080" s="506"/>
      <c r="U1080" s="488"/>
      <c r="V1080" s="482" t="s">
        <v>907</v>
      </c>
      <c r="W1080" s="486"/>
    </row>
    <row r="1081" spans="1:23" ht="14.25" customHeight="1">
      <c r="A1081" s="504" t="s">
        <v>2647</v>
      </c>
      <c r="B1081" s="504" t="s">
        <v>337</v>
      </c>
      <c r="C1081" s="504" t="s">
        <v>338</v>
      </c>
      <c r="D1081" s="431" t="s">
        <v>1656</v>
      </c>
      <c r="E1081" s="482"/>
      <c r="F1081" s="482"/>
      <c r="G1081" s="482"/>
      <c r="H1081" s="482"/>
      <c r="I1081" s="482"/>
      <c r="J1081" s="482" t="s">
        <v>794</v>
      </c>
      <c r="K1081" s="482" t="s">
        <v>794</v>
      </c>
      <c r="L1081" s="482" t="s">
        <v>794</v>
      </c>
      <c r="M1081" s="482" t="s">
        <v>294</v>
      </c>
      <c r="N1081" s="482"/>
      <c r="O1081" s="482"/>
      <c r="P1081" s="482" t="s">
        <v>795</v>
      </c>
      <c r="Q1081" s="482" t="s">
        <v>776</v>
      </c>
      <c r="R1081" s="490"/>
      <c r="S1081" s="491"/>
      <c r="T1081" s="506" t="s">
        <v>801</v>
      </c>
      <c r="U1081" s="488"/>
      <c r="V1081" s="482"/>
      <c r="W1081" s="486"/>
    </row>
    <row r="1082" spans="1:23" ht="14.25" customHeight="1">
      <c r="A1082" s="504" t="s">
        <v>2647</v>
      </c>
      <c r="B1082" s="504" t="s">
        <v>337</v>
      </c>
      <c r="C1082" s="504" t="s">
        <v>2696</v>
      </c>
      <c r="D1082" s="431" t="s">
        <v>1656</v>
      </c>
      <c r="E1082" s="482">
        <v>197586</v>
      </c>
      <c r="F1082" s="482" t="s">
        <v>2007</v>
      </c>
      <c r="G1082" s="482"/>
      <c r="H1082" s="482"/>
      <c r="I1082" s="482"/>
      <c r="J1082" s="482" t="s">
        <v>794</v>
      </c>
      <c r="K1082" s="482" t="s">
        <v>794</v>
      </c>
      <c r="L1082" s="482" t="s">
        <v>794</v>
      </c>
      <c r="M1082" s="482" t="s">
        <v>294</v>
      </c>
      <c r="N1082" s="482">
        <v>20.58996964</v>
      </c>
      <c r="O1082" s="482">
        <v>92.691757199999998</v>
      </c>
      <c r="P1082" s="482" t="s">
        <v>795</v>
      </c>
      <c r="Q1082" s="482" t="s">
        <v>776</v>
      </c>
      <c r="R1082" s="486"/>
      <c r="S1082" s="486"/>
      <c r="T1082" s="506"/>
      <c r="U1082" s="488"/>
      <c r="V1082" s="482" t="s">
        <v>506</v>
      </c>
      <c r="W1082" s="518"/>
    </row>
    <row r="1083" spans="1:23" ht="14.25" customHeight="1">
      <c r="A1083" s="504" t="s">
        <v>2647</v>
      </c>
      <c r="B1083" s="504" t="s">
        <v>337</v>
      </c>
      <c r="C1083" s="504" t="s">
        <v>2800</v>
      </c>
      <c r="D1083" s="431" t="s">
        <v>1656</v>
      </c>
      <c r="E1083" s="482">
        <v>197589</v>
      </c>
      <c r="F1083" s="482" t="s">
        <v>904</v>
      </c>
      <c r="G1083" s="482"/>
      <c r="H1083" s="482"/>
      <c r="I1083" s="482"/>
      <c r="J1083" s="482" t="s">
        <v>2652</v>
      </c>
      <c r="K1083" s="482" t="s">
        <v>2622</v>
      </c>
      <c r="L1083" s="482" t="s">
        <v>2622</v>
      </c>
      <c r="M1083" s="482"/>
      <c r="N1083" s="482">
        <v>20.575780868530298</v>
      </c>
      <c r="O1083" s="482">
        <v>92.670402526855497</v>
      </c>
      <c r="P1083" s="482"/>
      <c r="Q1083" s="482"/>
      <c r="R1083" s="486"/>
      <c r="S1083" s="487"/>
      <c r="T1083" s="506"/>
      <c r="U1083" s="488"/>
      <c r="V1083" s="482" t="s">
        <v>2765</v>
      </c>
      <c r="W1083" s="486"/>
    </row>
    <row r="1084" spans="1:23" ht="14.25" customHeight="1">
      <c r="A1084" s="514" t="s">
        <v>2647</v>
      </c>
      <c r="B1084" s="514" t="s">
        <v>337</v>
      </c>
      <c r="C1084" s="452" t="s">
        <v>2771</v>
      </c>
      <c r="D1084" s="485"/>
      <c r="E1084" s="396"/>
      <c r="F1084" s="396"/>
      <c r="G1084" s="396"/>
      <c r="H1084" s="396"/>
      <c r="I1084" s="482"/>
      <c r="J1084" s="396" t="s">
        <v>2652</v>
      </c>
      <c r="K1084" s="396" t="s">
        <v>2622</v>
      </c>
      <c r="L1084" s="396" t="s">
        <v>2622</v>
      </c>
      <c r="M1084" s="396"/>
      <c r="N1084" s="396"/>
      <c r="O1084" s="396"/>
      <c r="P1084" s="396"/>
      <c r="Q1084" s="396"/>
      <c r="R1084" s="494"/>
      <c r="S1084" s="487"/>
      <c r="T1084" s="412">
        <v>43591</v>
      </c>
      <c r="U1084" s="494"/>
      <c r="V1084" s="491" t="s">
        <v>2771</v>
      </c>
      <c r="W1084" s="486"/>
    </row>
    <row r="1085" spans="1:23" ht="14.25" customHeight="1">
      <c r="A1085" s="504" t="s">
        <v>2647</v>
      </c>
      <c r="B1085" s="504" t="s">
        <v>337</v>
      </c>
      <c r="C1085" s="504" t="s">
        <v>883</v>
      </c>
      <c r="D1085" s="431" t="s">
        <v>1656</v>
      </c>
      <c r="E1085" s="482">
        <v>197765</v>
      </c>
      <c r="F1085" s="482"/>
      <c r="G1085" s="482"/>
      <c r="H1085" s="482"/>
      <c r="I1085" s="482"/>
      <c r="J1085" s="482" t="s">
        <v>794</v>
      </c>
      <c r="K1085" s="482" t="s">
        <v>794</v>
      </c>
      <c r="L1085" s="482" t="s">
        <v>794</v>
      </c>
      <c r="M1085" s="482" t="s">
        <v>294</v>
      </c>
      <c r="N1085" s="482">
        <v>20.3917</v>
      </c>
      <c r="O1085" s="482">
        <v>92.770899999999997</v>
      </c>
      <c r="P1085" s="482" t="s">
        <v>795</v>
      </c>
      <c r="Q1085" s="482"/>
      <c r="R1085" s="486"/>
      <c r="S1085" s="486"/>
      <c r="T1085" s="506"/>
      <c r="U1085" s="488"/>
      <c r="V1085" s="482" t="s">
        <v>883</v>
      </c>
      <c r="W1085" s="486"/>
    </row>
    <row r="1086" spans="1:23" ht="14.25" customHeight="1">
      <c r="A1086" s="514" t="s">
        <v>2647</v>
      </c>
      <c r="B1086" s="514" t="s">
        <v>337</v>
      </c>
      <c r="C1086" s="452" t="s">
        <v>2772</v>
      </c>
      <c r="D1086" s="485"/>
      <c r="E1086" s="482"/>
      <c r="F1086" s="482"/>
      <c r="G1086" s="482"/>
      <c r="H1086" s="482"/>
      <c r="I1086" s="482"/>
      <c r="J1086" s="482" t="s">
        <v>2652</v>
      </c>
      <c r="K1086" s="482" t="s">
        <v>2622</v>
      </c>
      <c r="L1086" s="482" t="s">
        <v>2622</v>
      </c>
      <c r="M1086" s="482"/>
      <c r="N1086" s="482"/>
      <c r="O1086" s="482"/>
      <c r="P1086" s="482"/>
      <c r="Q1086" s="482"/>
      <c r="R1086" s="494"/>
      <c r="S1086" s="487"/>
      <c r="T1086" s="506">
        <v>43591</v>
      </c>
      <c r="U1086" s="494"/>
      <c r="V1086" s="482"/>
      <c r="W1086" s="486"/>
    </row>
    <row r="1087" spans="1:23" ht="14.25" customHeight="1">
      <c r="A1087" s="504" t="s">
        <v>2647</v>
      </c>
      <c r="B1087" s="504" t="s">
        <v>337</v>
      </c>
      <c r="C1087" s="504" t="s">
        <v>561</v>
      </c>
      <c r="D1087" s="431" t="s">
        <v>1656</v>
      </c>
      <c r="E1087" s="482">
        <v>197666</v>
      </c>
      <c r="F1087" s="484"/>
      <c r="G1087" s="482"/>
      <c r="H1087" s="482"/>
      <c r="I1087" s="482"/>
      <c r="J1087" s="482" t="s">
        <v>794</v>
      </c>
      <c r="K1087" s="482" t="s">
        <v>794</v>
      </c>
      <c r="L1087" s="482" t="s">
        <v>794</v>
      </c>
      <c r="M1087" s="482" t="s">
        <v>791</v>
      </c>
      <c r="N1087" s="482">
        <v>20.716560359999999</v>
      </c>
      <c r="O1087" s="482">
        <v>92.645408630000006</v>
      </c>
      <c r="P1087" s="482" t="s">
        <v>795</v>
      </c>
      <c r="Q1087" s="482" t="s">
        <v>776</v>
      </c>
      <c r="R1087" s="490"/>
      <c r="S1087" s="491"/>
      <c r="T1087" s="506" t="s">
        <v>801</v>
      </c>
      <c r="U1087" s="488"/>
      <c r="V1087" s="482"/>
      <c r="W1087" s="486"/>
    </row>
    <row r="1088" spans="1:23" ht="14.25" customHeight="1">
      <c r="A1088" s="504" t="s">
        <v>2647</v>
      </c>
      <c r="B1088" s="504" t="s">
        <v>337</v>
      </c>
      <c r="C1088" s="504" t="s">
        <v>571</v>
      </c>
      <c r="D1088" s="431" t="s">
        <v>1656</v>
      </c>
      <c r="E1088" s="482">
        <v>197665</v>
      </c>
      <c r="F1088" s="484"/>
      <c r="G1088" s="482"/>
      <c r="H1088" s="482"/>
      <c r="I1088" s="482"/>
      <c r="J1088" s="482" t="s">
        <v>794</v>
      </c>
      <c r="K1088" s="482" t="s">
        <v>794</v>
      </c>
      <c r="L1088" s="482" t="s">
        <v>794</v>
      </c>
      <c r="M1088" s="482" t="s">
        <v>294</v>
      </c>
      <c r="N1088" s="482">
        <v>20.72533035</v>
      </c>
      <c r="O1088" s="482">
        <v>92.64795685</v>
      </c>
      <c r="P1088" s="482" t="s">
        <v>795</v>
      </c>
      <c r="Q1088" s="482" t="s">
        <v>776</v>
      </c>
      <c r="R1088" s="490"/>
      <c r="S1088" s="491"/>
      <c r="T1088" s="506" t="s">
        <v>801</v>
      </c>
      <c r="U1088" s="488"/>
      <c r="V1088" s="482"/>
      <c r="W1088" s="486"/>
    </row>
    <row r="1089" spans="1:23" ht="14.25" customHeight="1">
      <c r="A1089" s="504" t="s">
        <v>2647</v>
      </c>
      <c r="B1089" s="504" t="s">
        <v>337</v>
      </c>
      <c r="C1089" s="504" t="s">
        <v>491</v>
      </c>
      <c r="D1089" s="431" t="s">
        <v>1656</v>
      </c>
      <c r="E1089" s="482">
        <v>197595</v>
      </c>
      <c r="F1089" s="482" t="s">
        <v>501</v>
      </c>
      <c r="G1089" s="482"/>
      <c r="H1089" s="482"/>
      <c r="I1089" s="482"/>
      <c r="J1089" s="482" t="s">
        <v>794</v>
      </c>
      <c r="K1089" s="482" t="s">
        <v>794</v>
      </c>
      <c r="L1089" s="482" t="s">
        <v>794</v>
      </c>
      <c r="M1089" s="482" t="s">
        <v>294</v>
      </c>
      <c r="N1089" s="482">
        <v>20.523090360000001</v>
      </c>
      <c r="O1089" s="482">
        <v>92.637947080000004</v>
      </c>
      <c r="P1089" s="482" t="s">
        <v>795</v>
      </c>
      <c r="Q1089" s="482" t="s">
        <v>776</v>
      </c>
      <c r="R1089" s="486"/>
      <c r="S1089" s="487"/>
      <c r="T1089" s="506"/>
      <c r="U1089" s="488"/>
      <c r="V1089" s="482" t="s">
        <v>491</v>
      </c>
      <c r="W1089" s="486"/>
    </row>
    <row r="1090" spans="1:23" ht="14.25" customHeight="1">
      <c r="A1090" s="514" t="s">
        <v>2647</v>
      </c>
      <c r="B1090" s="514" t="s">
        <v>337</v>
      </c>
      <c r="C1090" s="452" t="s">
        <v>2770</v>
      </c>
      <c r="D1090" s="485"/>
      <c r="E1090" s="482">
        <v>197677</v>
      </c>
      <c r="F1090" s="482"/>
      <c r="G1090" s="482"/>
      <c r="H1090" s="482"/>
      <c r="I1090" s="482"/>
      <c r="J1090" s="482" t="s">
        <v>2652</v>
      </c>
      <c r="K1090" s="482" t="s">
        <v>2622</v>
      </c>
      <c r="L1090" s="482" t="s">
        <v>2622</v>
      </c>
      <c r="M1090" s="482"/>
      <c r="N1090" s="482">
        <v>20.660871505737301</v>
      </c>
      <c r="O1090" s="482">
        <v>92.683090209960895</v>
      </c>
      <c r="P1090" s="482"/>
      <c r="Q1090" s="482"/>
      <c r="R1090" s="494"/>
      <c r="S1090" s="487"/>
      <c r="T1090" s="506">
        <v>43591</v>
      </c>
      <c r="U1090" s="494"/>
      <c r="V1090" s="482"/>
      <c r="W1090" s="486"/>
    </row>
    <row r="1091" spans="1:23" ht="14.25" customHeight="1">
      <c r="A1091" s="504" t="s">
        <v>2647</v>
      </c>
      <c r="B1091" s="504" t="s">
        <v>337</v>
      </c>
      <c r="C1091" s="504" t="s">
        <v>496</v>
      </c>
      <c r="D1091" s="431" t="s">
        <v>1656</v>
      </c>
      <c r="E1091" s="482">
        <v>197600</v>
      </c>
      <c r="F1091" s="482"/>
      <c r="G1091" s="482"/>
      <c r="H1091" s="482"/>
      <c r="I1091" s="482"/>
      <c r="J1091" s="482" t="s">
        <v>794</v>
      </c>
      <c r="K1091" s="482" t="s">
        <v>794</v>
      </c>
      <c r="L1091" s="482" t="s">
        <v>794</v>
      </c>
      <c r="M1091" s="482" t="s">
        <v>791</v>
      </c>
      <c r="N1091" s="482">
        <v>20.550130840000001</v>
      </c>
      <c r="O1091" s="482">
        <v>92.656723020000001</v>
      </c>
      <c r="P1091" s="482" t="s">
        <v>795</v>
      </c>
      <c r="Q1091" s="482" t="s">
        <v>776</v>
      </c>
      <c r="R1091" s="486"/>
      <c r="S1091" s="487"/>
      <c r="T1091" s="506"/>
      <c r="U1091" s="488"/>
      <c r="V1091" s="482" t="s">
        <v>496</v>
      </c>
      <c r="W1091" s="486"/>
    </row>
    <row r="1092" spans="1:23" ht="14.25" customHeight="1">
      <c r="A1092" s="504" t="s">
        <v>2647</v>
      </c>
      <c r="B1092" s="504" t="s">
        <v>337</v>
      </c>
      <c r="C1092" s="504" t="s">
        <v>482</v>
      </c>
      <c r="D1092" s="431" t="s">
        <v>1656</v>
      </c>
      <c r="E1092" s="482">
        <v>197614</v>
      </c>
      <c r="F1092" s="482" t="s">
        <v>482</v>
      </c>
      <c r="G1092" s="482"/>
      <c r="H1092" s="482"/>
      <c r="I1092" s="482"/>
      <c r="J1092" s="482" t="s">
        <v>794</v>
      </c>
      <c r="K1092" s="482" t="s">
        <v>794</v>
      </c>
      <c r="L1092" s="482" t="s">
        <v>794</v>
      </c>
      <c r="M1092" s="482" t="s">
        <v>294</v>
      </c>
      <c r="N1092" s="482">
        <v>20.48693085</v>
      </c>
      <c r="O1092" s="482">
        <v>92.662757869999993</v>
      </c>
      <c r="P1092" s="482" t="s">
        <v>795</v>
      </c>
      <c r="Q1092" s="482" t="s">
        <v>798</v>
      </c>
      <c r="R1092" s="486"/>
      <c r="S1092" s="486"/>
      <c r="T1092" s="506">
        <v>42926</v>
      </c>
      <c r="U1092" s="488" t="s">
        <v>799</v>
      </c>
      <c r="V1092" s="482"/>
      <c r="W1092" s="486"/>
    </row>
    <row r="1093" spans="1:23" ht="14.25" customHeight="1">
      <c r="A1093" s="504" t="s">
        <v>2647</v>
      </c>
      <c r="B1093" s="504" t="s">
        <v>337</v>
      </c>
      <c r="C1093" s="504" t="s">
        <v>479</v>
      </c>
      <c r="D1093" s="431" t="s">
        <v>1656</v>
      </c>
      <c r="E1093" s="482">
        <v>197617</v>
      </c>
      <c r="F1093" s="484" t="s">
        <v>479</v>
      </c>
      <c r="G1093" s="482"/>
      <c r="H1093" s="482"/>
      <c r="I1093" s="482"/>
      <c r="J1093" s="482" t="s">
        <v>794</v>
      </c>
      <c r="K1093" s="482" t="s">
        <v>794</v>
      </c>
      <c r="L1093" s="482" t="s">
        <v>794</v>
      </c>
      <c r="M1093" s="482" t="s">
        <v>294</v>
      </c>
      <c r="N1093" s="482">
        <v>20.47896957</v>
      </c>
      <c r="O1093" s="482">
        <v>92.683746339999999</v>
      </c>
      <c r="P1093" s="482" t="s">
        <v>795</v>
      </c>
      <c r="Q1093" s="482" t="s">
        <v>798</v>
      </c>
      <c r="R1093" s="486"/>
      <c r="S1093" s="487"/>
      <c r="T1093" s="506">
        <v>42926</v>
      </c>
      <c r="U1093" s="488" t="s">
        <v>799</v>
      </c>
      <c r="V1093" s="482"/>
      <c r="W1093" s="486"/>
    </row>
    <row r="1094" spans="1:23" ht="14.25" customHeight="1">
      <c r="A1094" s="514" t="s">
        <v>2647</v>
      </c>
      <c r="B1094" s="514" t="s">
        <v>337</v>
      </c>
      <c r="C1094" s="452" t="s">
        <v>2766</v>
      </c>
      <c r="D1094" s="485"/>
      <c r="E1094" s="482"/>
      <c r="F1094" s="482"/>
      <c r="G1094" s="482"/>
      <c r="H1094" s="482"/>
      <c r="I1094" s="482"/>
      <c r="J1094" s="482" t="s">
        <v>2652</v>
      </c>
      <c r="K1094" s="482" t="s">
        <v>2622</v>
      </c>
      <c r="L1094" s="482" t="s">
        <v>2622</v>
      </c>
      <c r="M1094" s="482"/>
      <c r="N1094" s="482"/>
      <c r="O1094" s="482"/>
      <c r="P1094" s="482"/>
      <c r="Q1094" s="482"/>
      <c r="R1094" s="494"/>
      <c r="S1094" s="487"/>
      <c r="T1094" s="506">
        <v>43591</v>
      </c>
      <c r="U1094" s="494"/>
      <c r="V1094" s="482"/>
      <c r="W1094" s="486"/>
    </row>
    <row r="1095" spans="1:23" ht="14.25" customHeight="1">
      <c r="A1095" s="504" t="s">
        <v>2647</v>
      </c>
      <c r="B1095" s="504" t="s">
        <v>337</v>
      </c>
      <c r="C1095" s="504" t="s">
        <v>523</v>
      </c>
      <c r="D1095" s="431" t="s">
        <v>1656</v>
      </c>
      <c r="E1095" s="482">
        <v>197673</v>
      </c>
      <c r="F1095" s="482"/>
      <c r="G1095" s="482"/>
      <c r="H1095" s="482"/>
      <c r="I1095" s="482"/>
      <c r="J1095" s="482" t="s">
        <v>2652</v>
      </c>
      <c r="K1095" s="482" t="s">
        <v>2622</v>
      </c>
      <c r="L1095" s="482" t="s">
        <v>2622</v>
      </c>
      <c r="M1095" s="482" t="s">
        <v>294</v>
      </c>
      <c r="N1095" s="482">
        <v>20.66592979</v>
      </c>
      <c r="O1095" s="482">
        <v>92.672691349999994</v>
      </c>
      <c r="P1095" s="482" t="s">
        <v>795</v>
      </c>
      <c r="Q1095" s="482" t="s">
        <v>776</v>
      </c>
      <c r="R1095" s="486"/>
      <c r="S1095" s="487"/>
      <c r="T1095" s="506" t="s">
        <v>776</v>
      </c>
      <c r="U1095" s="488"/>
      <c r="V1095" s="482"/>
      <c r="W1095" s="486"/>
    </row>
    <row r="1096" spans="1:23" ht="14.25" customHeight="1">
      <c r="A1096" s="514" t="s">
        <v>2647</v>
      </c>
      <c r="B1096" s="514" t="s">
        <v>337</v>
      </c>
      <c r="C1096" s="452" t="s">
        <v>527</v>
      </c>
      <c r="D1096" s="485"/>
      <c r="E1096" s="482">
        <v>197675</v>
      </c>
      <c r="F1096" s="482"/>
      <c r="G1096" s="482"/>
      <c r="H1096" s="482"/>
      <c r="I1096" s="482"/>
      <c r="J1096" s="482" t="s">
        <v>2652</v>
      </c>
      <c r="K1096" s="482" t="s">
        <v>2622</v>
      </c>
      <c r="L1096" s="482" t="s">
        <v>2622</v>
      </c>
      <c r="M1096" s="482" t="s">
        <v>294</v>
      </c>
      <c r="N1096" s="482">
        <v>20.670539860000002</v>
      </c>
      <c r="O1096" s="482">
        <v>92.703033450000007</v>
      </c>
      <c r="P1096" s="482" t="s">
        <v>795</v>
      </c>
      <c r="Q1096" s="482"/>
      <c r="R1096" s="494"/>
      <c r="S1096" s="487"/>
      <c r="T1096" s="506">
        <v>43591</v>
      </c>
      <c r="U1096" s="494"/>
      <c r="V1096" s="482"/>
      <c r="W1096" s="486"/>
    </row>
    <row r="1097" spans="1:23" ht="14.25" customHeight="1">
      <c r="A1097" s="504" t="s">
        <v>2647</v>
      </c>
      <c r="B1097" s="504" t="s">
        <v>337</v>
      </c>
      <c r="C1097" s="504" t="s">
        <v>476</v>
      </c>
      <c r="D1097" s="431" t="s">
        <v>1656</v>
      </c>
      <c r="E1097" s="482">
        <v>197632</v>
      </c>
      <c r="F1097" s="482"/>
      <c r="G1097" s="482"/>
      <c r="H1097" s="482"/>
      <c r="I1097" s="482"/>
      <c r="J1097" s="482" t="s">
        <v>794</v>
      </c>
      <c r="K1097" s="482" t="s">
        <v>794</v>
      </c>
      <c r="L1097" s="482" t="s">
        <v>794</v>
      </c>
      <c r="M1097" s="482" t="s">
        <v>294</v>
      </c>
      <c r="N1097" s="482">
        <v>20.469949719999999</v>
      </c>
      <c r="O1097" s="482">
        <v>92.676437379999996</v>
      </c>
      <c r="P1097" s="482" t="s">
        <v>795</v>
      </c>
      <c r="Q1097" s="482" t="s">
        <v>798</v>
      </c>
      <c r="R1097" s="486"/>
      <c r="S1097" s="487"/>
      <c r="T1097" s="506">
        <v>42926</v>
      </c>
      <c r="U1097" s="488" t="s">
        <v>799</v>
      </c>
      <c r="V1097" s="482"/>
      <c r="W1097" s="486"/>
    </row>
    <row r="1098" spans="1:23" ht="14.25" customHeight="1">
      <c r="A1098" s="504" t="s">
        <v>294</v>
      </c>
      <c r="B1098" s="504" t="s">
        <v>325</v>
      </c>
      <c r="C1098" s="504" t="s">
        <v>384</v>
      </c>
      <c r="D1098" s="431" t="s">
        <v>1656</v>
      </c>
      <c r="E1098" s="482">
        <v>199157</v>
      </c>
      <c r="F1098" s="482"/>
      <c r="G1098" s="482"/>
      <c r="H1098" s="482"/>
      <c r="I1098" s="482"/>
      <c r="J1098" s="482" t="s">
        <v>800</v>
      </c>
      <c r="K1098" s="482" t="s">
        <v>794</v>
      </c>
      <c r="L1098" s="482" t="s">
        <v>800</v>
      </c>
      <c r="M1098" s="482" t="s">
        <v>803</v>
      </c>
      <c r="N1098" s="482">
        <v>19.726810459999999</v>
      </c>
      <c r="O1098" s="482">
        <v>94.028686519999994</v>
      </c>
      <c r="P1098" s="482" t="s">
        <v>919</v>
      </c>
      <c r="Q1098" s="482" t="s">
        <v>776</v>
      </c>
      <c r="R1098" s="486"/>
      <c r="S1098" s="487"/>
      <c r="T1098" s="506" t="s">
        <v>801</v>
      </c>
      <c r="U1098" s="488"/>
      <c r="V1098" s="482" t="s">
        <v>384</v>
      </c>
      <c r="W1098" s="482"/>
    </row>
    <row r="1099" spans="1:23" ht="14.25" customHeight="1">
      <c r="A1099" s="504" t="s">
        <v>294</v>
      </c>
      <c r="B1099" s="504" t="s">
        <v>325</v>
      </c>
      <c r="C1099" s="504" t="s">
        <v>396</v>
      </c>
      <c r="D1099" s="431" t="s">
        <v>1656</v>
      </c>
      <c r="E1099" s="482">
        <v>199233</v>
      </c>
      <c r="F1099" s="482"/>
      <c r="G1099" s="482"/>
      <c r="H1099" s="482"/>
      <c r="I1099" s="482"/>
      <c r="J1099" s="482" t="s">
        <v>800</v>
      </c>
      <c r="K1099" s="482" t="s">
        <v>794</v>
      </c>
      <c r="L1099" s="482" t="s">
        <v>800</v>
      </c>
      <c r="M1099" s="482" t="s">
        <v>294</v>
      </c>
      <c r="N1099" s="482">
        <v>19.994710919999999</v>
      </c>
      <c r="O1099" s="482">
        <v>93.836921689999997</v>
      </c>
      <c r="P1099" s="482" t="s">
        <v>919</v>
      </c>
      <c r="Q1099" s="482" t="s">
        <v>776</v>
      </c>
      <c r="R1099" s="486"/>
      <c r="S1099" s="487"/>
      <c r="T1099" s="506" t="s">
        <v>801</v>
      </c>
      <c r="U1099" s="488"/>
      <c r="V1099" s="482" t="s">
        <v>396</v>
      </c>
      <c r="W1099" s="482"/>
    </row>
    <row r="1100" spans="1:23" ht="14.25" customHeight="1">
      <c r="A1100" s="504" t="s">
        <v>294</v>
      </c>
      <c r="B1100" s="504" t="s">
        <v>325</v>
      </c>
      <c r="C1100" s="504" t="s">
        <v>391</v>
      </c>
      <c r="D1100" s="431" t="s">
        <v>1656</v>
      </c>
      <c r="E1100" s="482">
        <v>199235</v>
      </c>
      <c r="F1100" s="482"/>
      <c r="G1100" s="482"/>
      <c r="H1100" s="482"/>
      <c r="I1100" s="482"/>
      <c r="J1100" s="482" t="s">
        <v>800</v>
      </c>
      <c r="K1100" s="482" t="s">
        <v>794</v>
      </c>
      <c r="L1100" s="482" t="s">
        <v>800</v>
      </c>
      <c r="M1100" s="482" t="s">
        <v>294</v>
      </c>
      <c r="N1100" s="482">
        <v>19.98567963</v>
      </c>
      <c r="O1100" s="482">
        <v>93.843322749999999</v>
      </c>
      <c r="P1100" s="482" t="s">
        <v>919</v>
      </c>
      <c r="Q1100" s="482" t="s">
        <v>776</v>
      </c>
      <c r="R1100" s="486"/>
      <c r="S1100" s="487"/>
      <c r="T1100" s="506" t="s">
        <v>801</v>
      </c>
      <c r="U1100" s="488"/>
      <c r="V1100" s="482" t="s">
        <v>391</v>
      </c>
      <c r="W1100" s="482"/>
    </row>
    <row r="1101" spans="1:23" ht="14.25" customHeight="1">
      <c r="A1101" s="504" t="s">
        <v>294</v>
      </c>
      <c r="B1101" s="504" t="s">
        <v>325</v>
      </c>
      <c r="C1101" s="504" t="s">
        <v>393</v>
      </c>
      <c r="D1101" s="431" t="s">
        <v>1656</v>
      </c>
      <c r="E1101" s="482">
        <v>199236</v>
      </c>
      <c r="F1101" s="482"/>
      <c r="G1101" s="482"/>
      <c r="H1101" s="482"/>
      <c r="I1101" s="482"/>
      <c r="J1101" s="482" t="s">
        <v>800</v>
      </c>
      <c r="K1101" s="482" t="s">
        <v>794</v>
      </c>
      <c r="L1101" s="482" t="s">
        <v>800</v>
      </c>
      <c r="M1101" s="482" t="s">
        <v>294</v>
      </c>
      <c r="N1101" s="482">
        <v>19.98868942</v>
      </c>
      <c r="O1101" s="482">
        <v>93.842460630000005</v>
      </c>
      <c r="P1101" s="482" t="s">
        <v>919</v>
      </c>
      <c r="Q1101" s="482" t="s">
        <v>776</v>
      </c>
      <c r="R1101" s="486"/>
      <c r="S1101" s="487"/>
      <c r="T1101" s="506" t="s">
        <v>801</v>
      </c>
      <c r="U1101" s="488"/>
      <c r="V1101" s="482" t="s">
        <v>393</v>
      </c>
      <c r="W1101" s="482"/>
    </row>
    <row r="1102" spans="1:23" ht="14.25" customHeight="1">
      <c r="A1102" s="504" t="s">
        <v>294</v>
      </c>
      <c r="B1102" s="504" t="s">
        <v>325</v>
      </c>
      <c r="C1102" s="504" t="s">
        <v>373</v>
      </c>
      <c r="D1102" s="431" t="s">
        <v>1656</v>
      </c>
      <c r="E1102" s="482">
        <v>199264</v>
      </c>
      <c r="F1102" s="482"/>
      <c r="G1102" s="482"/>
      <c r="H1102" s="482"/>
      <c r="I1102" s="482"/>
      <c r="J1102" s="482" t="s">
        <v>800</v>
      </c>
      <c r="K1102" s="482" t="s">
        <v>794</v>
      </c>
      <c r="L1102" s="482" t="s">
        <v>800</v>
      </c>
      <c r="M1102" s="482" t="s">
        <v>294</v>
      </c>
      <c r="N1102" s="482">
        <v>19.61097908</v>
      </c>
      <c r="O1102" s="482">
        <v>93.984741209999996</v>
      </c>
      <c r="P1102" s="482" t="s">
        <v>919</v>
      </c>
      <c r="Q1102" s="482" t="s">
        <v>776</v>
      </c>
      <c r="R1102" s="486"/>
      <c r="S1102" s="487"/>
      <c r="T1102" s="506" t="s">
        <v>801</v>
      </c>
      <c r="U1102" s="488"/>
      <c r="V1102" s="482" t="s">
        <v>373</v>
      </c>
      <c r="W1102" s="482"/>
    </row>
    <row r="1103" spans="1:23" ht="14.25" customHeight="1">
      <c r="A1103" s="504" t="s">
        <v>294</v>
      </c>
      <c r="B1103" s="504" t="s">
        <v>325</v>
      </c>
      <c r="C1103" s="504" t="s">
        <v>382</v>
      </c>
      <c r="D1103" s="431" t="s">
        <v>1656</v>
      </c>
      <c r="E1103" s="482">
        <v>199159</v>
      </c>
      <c r="F1103" s="482"/>
      <c r="G1103" s="482"/>
      <c r="H1103" s="482"/>
      <c r="I1103" s="482"/>
      <c r="J1103" s="482" t="s">
        <v>800</v>
      </c>
      <c r="K1103" s="482" t="s">
        <v>794</v>
      </c>
      <c r="L1103" s="482" t="s">
        <v>800</v>
      </c>
      <c r="M1103" s="482" t="s">
        <v>294</v>
      </c>
      <c r="N1103" s="482">
        <v>19.721389769999998</v>
      </c>
      <c r="O1103" s="482">
        <v>94.019851680000002</v>
      </c>
      <c r="P1103" s="482" t="s">
        <v>919</v>
      </c>
      <c r="Q1103" s="482" t="s">
        <v>776</v>
      </c>
      <c r="R1103" s="486"/>
      <c r="S1103" s="487"/>
      <c r="T1103" s="506" t="s">
        <v>801</v>
      </c>
      <c r="U1103" s="488"/>
      <c r="V1103" s="482" t="s">
        <v>382</v>
      </c>
      <c r="W1103" s="482"/>
    </row>
    <row r="1104" spans="1:23" ht="14.25" customHeight="1">
      <c r="A1104" s="504" t="s">
        <v>294</v>
      </c>
      <c r="B1104" s="504" t="s">
        <v>325</v>
      </c>
      <c r="C1104" s="636" t="s">
        <v>397</v>
      </c>
      <c r="D1104" s="431" t="s">
        <v>1656</v>
      </c>
      <c r="E1104" s="482">
        <v>199240</v>
      </c>
      <c r="F1104" s="482"/>
      <c r="G1104" s="482"/>
      <c r="H1104" s="482"/>
      <c r="I1104" s="482"/>
      <c r="J1104" s="482" t="s">
        <v>800</v>
      </c>
      <c r="K1104" s="482" t="s">
        <v>794</v>
      </c>
      <c r="L1104" s="482" t="s">
        <v>800</v>
      </c>
      <c r="M1104" s="482" t="s">
        <v>294</v>
      </c>
      <c r="N1104" s="482">
        <v>20.008769990000001</v>
      </c>
      <c r="O1104" s="482">
        <v>93.816879270000001</v>
      </c>
      <c r="P1104" s="482" t="s">
        <v>919</v>
      </c>
      <c r="Q1104" s="482" t="s">
        <v>776</v>
      </c>
      <c r="R1104" s="486"/>
      <c r="S1104" s="487"/>
      <c r="T1104" s="506" t="s">
        <v>801</v>
      </c>
      <c r="U1104" s="488"/>
      <c r="V1104" s="391" t="s">
        <v>397</v>
      </c>
      <c r="W1104" s="482"/>
    </row>
    <row r="1105" spans="1:23" ht="14.25" customHeight="1">
      <c r="A1105" s="504" t="s">
        <v>294</v>
      </c>
      <c r="B1105" s="504" t="s">
        <v>325</v>
      </c>
      <c r="C1105" s="504" t="s">
        <v>389</v>
      </c>
      <c r="D1105" s="431" t="s">
        <v>1656</v>
      </c>
      <c r="E1105" s="482">
        <v>199134</v>
      </c>
      <c r="F1105" s="482"/>
      <c r="G1105" s="482"/>
      <c r="H1105" s="482"/>
      <c r="I1105" s="482"/>
      <c r="J1105" s="482" t="s">
        <v>800</v>
      </c>
      <c r="K1105" s="482" t="s">
        <v>794</v>
      </c>
      <c r="L1105" s="482" t="s">
        <v>800</v>
      </c>
      <c r="M1105" s="482" t="s">
        <v>807</v>
      </c>
      <c r="N1105" s="482">
        <v>19.95569038</v>
      </c>
      <c r="O1105" s="482">
        <v>93.80155182</v>
      </c>
      <c r="P1105" s="482" t="s">
        <v>919</v>
      </c>
      <c r="Q1105" s="482" t="s">
        <v>776</v>
      </c>
      <c r="R1105" s="486"/>
      <c r="S1105" s="487"/>
      <c r="T1105" s="506" t="s">
        <v>801</v>
      </c>
      <c r="U1105" s="488"/>
      <c r="V1105" s="482" t="s">
        <v>808</v>
      </c>
      <c r="W1105" s="482"/>
    </row>
    <row r="1106" spans="1:23" ht="14.25" customHeight="1">
      <c r="A1106" s="504" t="s">
        <v>294</v>
      </c>
      <c r="B1106" s="504" t="s">
        <v>325</v>
      </c>
      <c r="C1106" s="504" t="s">
        <v>381</v>
      </c>
      <c r="D1106" s="431" t="s">
        <v>1656</v>
      </c>
      <c r="E1106" s="482">
        <v>199161</v>
      </c>
      <c r="F1106" s="482"/>
      <c r="G1106" s="482"/>
      <c r="H1106" s="482"/>
      <c r="I1106" s="482"/>
      <c r="J1106" s="482" t="s">
        <v>800</v>
      </c>
      <c r="K1106" s="482" t="s">
        <v>794</v>
      </c>
      <c r="L1106" s="482" t="s">
        <v>800</v>
      </c>
      <c r="M1106" s="482" t="s">
        <v>803</v>
      </c>
      <c r="N1106" s="482">
        <v>19.70627975</v>
      </c>
      <c r="O1106" s="482">
        <v>94.016433719999995</v>
      </c>
      <c r="P1106" s="482" t="s">
        <v>919</v>
      </c>
      <c r="Q1106" s="482" t="s">
        <v>776</v>
      </c>
      <c r="R1106" s="486"/>
      <c r="S1106" s="487"/>
      <c r="T1106" s="506" t="s">
        <v>801</v>
      </c>
      <c r="U1106" s="488"/>
      <c r="V1106" s="482" t="s">
        <v>381</v>
      </c>
      <c r="W1106" s="482"/>
    </row>
    <row r="1107" spans="1:23" ht="14.25" customHeight="1">
      <c r="A1107" s="484" t="s">
        <v>294</v>
      </c>
      <c r="B1107" s="504" t="s">
        <v>325</v>
      </c>
      <c r="C1107" s="504" t="s">
        <v>376</v>
      </c>
      <c r="D1107" s="431" t="s">
        <v>1656</v>
      </c>
      <c r="E1107" s="482">
        <v>199266</v>
      </c>
      <c r="F1107" s="482"/>
      <c r="G1107" s="482"/>
      <c r="H1107" s="482"/>
      <c r="I1107" s="482"/>
      <c r="J1107" s="482" t="s">
        <v>800</v>
      </c>
      <c r="K1107" s="482" t="s">
        <v>794</v>
      </c>
      <c r="L1107" s="482" t="s">
        <v>800</v>
      </c>
      <c r="M1107" s="482" t="s">
        <v>803</v>
      </c>
      <c r="N1107" s="482">
        <v>19.6192894</v>
      </c>
      <c r="O1107" s="482">
        <v>93.95968628</v>
      </c>
      <c r="P1107" s="482" t="s">
        <v>919</v>
      </c>
      <c r="Q1107" s="482" t="s">
        <v>776</v>
      </c>
      <c r="R1107" s="486"/>
      <c r="S1107" s="487"/>
      <c r="T1107" s="506" t="s">
        <v>801</v>
      </c>
      <c r="U1107" s="488"/>
      <c r="V1107" s="482" t="s">
        <v>376</v>
      </c>
      <c r="W1107" s="482"/>
    </row>
    <row r="1108" spans="1:23" ht="14.25" customHeight="1">
      <c r="A1108" s="484" t="s">
        <v>294</v>
      </c>
      <c r="B1108" s="504" t="s">
        <v>325</v>
      </c>
      <c r="C1108" s="504" t="s">
        <v>371</v>
      </c>
      <c r="D1108" s="431" t="s">
        <v>1656</v>
      </c>
      <c r="E1108" s="482">
        <v>199191</v>
      </c>
      <c r="F1108" s="482"/>
      <c r="G1108" s="482"/>
      <c r="H1108" s="482"/>
      <c r="I1108" s="482"/>
      <c r="J1108" s="482" t="s">
        <v>800</v>
      </c>
      <c r="K1108" s="482" t="s">
        <v>794</v>
      </c>
      <c r="L1108" s="482" t="s">
        <v>800</v>
      </c>
      <c r="M1108" s="482" t="s">
        <v>294</v>
      </c>
      <c r="N1108" s="482">
        <v>19.484790799999999</v>
      </c>
      <c r="O1108" s="482">
        <v>94.007926940000004</v>
      </c>
      <c r="P1108" s="482" t="s">
        <v>919</v>
      </c>
      <c r="Q1108" s="482" t="s">
        <v>776</v>
      </c>
      <c r="R1108" s="486"/>
      <c r="S1108" s="487"/>
      <c r="T1108" s="506" t="s">
        <v>801</v>
      </c>
      <c r="U1108" s="488"/>
      <c r="V1108" s="482" t="s">
        <v>371</v>
      </c>
      <c r="W1108" s="482"/>
    </row>
    <row r="1109" spans="1:23" ht="14.25" customHeight="1">
      <c r="A1109" s="484" t="s">
        <v>294</v>
      </c>
      <c r="B1109" s="504" t="s">
        <v>325</v>
      </c>
      <c r="C1109" s="504" t="s">
        <v>326</v>
      </c>
      <c r="D1109" s="431" t="s">
        <v>1656</v>
      </c>
      <c r="E1109" s="482"/>
      <c r="F1109" s="484"/>
      <c r="G1109" s="482"/>
      <c r="H1109" s="482"/>
      <c r="I1109" s="482"/>
      <c r="J1109" s="482" t="s">
        <v>800</v>
      </c>
      <c r="K1109" s="482" t="s">
        <v>794</v>
      </c>
      <c r="L1109" s="482" t="s">
        <v>800</v>
      </c>
      <c r="M1109" s="482" t="s">
        <v>807</v>
      </c>
      <c r="N1109" s="482"/>
      <c r="O1109" s="482"/>
      <c r="P1109" s="482" t="s">
        <v>919</v>
      </c>
      <c r="Q1109" s="482" t="s">
        <v>776</v>
      </c>
      <c r="R1109" s="486"/>
      <c r="S1109" s="487"/>
      <c r="T1109" s="506" t="s">
        <v>801</v>
      </c>
      <c r="U1109" s="488"/>
      <c r="V1109" s="482" t="s">
        <v>326</v>
      </c>
      <c r="W1109" s="482"/>
    </row>
    <row r="1110" spans="1:23" ht="14.25" customHeight="1">
      <c r="A1110" s="484" t="s">
        <v>294</v>
      </c>
      <c r="B1110" s="504" t="s">
        <v>325</v>
      </c>
      <c r="C1110" s="504" t="s">
        <v>394</v>
      </c>
      <c r="D1110" s="431" t="s">
        <v>1656</v>
      </c>
      <c r="E1110" s="482">
        <v>199250</v>
      </c>
      <c r="F1110" s="482"/>
      <c r="G1110" s="482"/>
      <c r="H1110" s="482"/>
      <c r="I1110" s="482"/>
      <c r="J1110" s="482" t="s">
        <v>800</v>
      </c>
      <c r="K1110" s="482" t="s">
        <v>794</v>
      </c>
      <c r="L1110" s="482" t="s">
        <v>800</v>
      </c>
      <c r="M1110" s="482" t="s">
        <v>294</v>
      </c>
      <c r="N1110" s="482">
        <v>19.989589689999999</v>
      </c>
      <c r="O1110" s="482">
        <v>93.823867800000002</v>
      </c>
      <c r="P1110" s="482" t="s">
        <v>919</v>
      </c>
      <c r="Q1110" s="482" t="s">
        <v>776</v>
      </c>
      <c r="R1110" s="486"/>
      <c r="S1110" s="487"/>
      <c r="T1110" s="506" t="s">
        <v>801</v>
      </c>
      <c r="U1110" s="488"/>
      <c r="V1110" s="482" t="s">
        <v>810</v>
      </c>
      <c r="W1110" s="482"/>
    </row>
    <row r="1111" spans="1:23" ht="14.25" customHeight="1">
      <c r="A1111" s="484" t="s">
        <v>294</v>
      </c>
      <c r="B1111" s="504" t="s">
        <v>325</v>
      </c>
      <c r="C1111" s="504" t="s">
        <v>383</v>
      </c>
      <c r="D1111" s="431" t="s">
        <v>1656</v>
      </c>
      <c r="E1111" s="482">
        <v>199158</v>
      </c>
      <c r="F1111" s="482"/>
      <c r="G1111" s="482"/>
      <c r="H1111" s="482"/>
      <c r="I1111" s="482"/>
      <c r="J1111" s="482" t="s">
        <v>800</v>
      </c>
      <c r="K1111" s="482" t="s">
        <v>794</v>
      </c>
      <c r="L1111" s="482" t="s">
        <v>800</v>
      </c>
      <c r="M1111" s="482" t="s">
        <v>294</v>
      </c>
      <c r="N1111" s="482">
        <v>19.725629810000001</v>
      </c>
      <c r="O1111" s="482">
        <v>94.03105927</v>
      </c>
      <c r="P1111" s="482" t="s">
        <v>919</v>
      </c>
      <c r="Q1111" s="482" t="s">
        <v>776</v>
      </c>
      <c r="R1111" s="486"/>
      <c r="S1111" s="487"/>
      <c r="T1111" s="506" t="s">
        <v>801</v>
      </c>
      <c r="U1111" s="488"/>
      <c r="V1111" s="482" t="s">
        <v>804</v>
      </c>
      <c r="W1111" s="482"/>
    </row>
    <row r="1112" spans="1:23" ht="14.25" customHeight="1">
      <c r="A1112" s="484" t="s">
        <v>294</v>
      </c>
      <c r="B1112" s="504" t="s">
        <v>325</v>
      </c>
      <c r="C1112" s="504" t="s">
        <v>372</v>
      </c>
      <c r="D1112" s="431" t="s">
        <v>1656</v>
      </c>
      <c r="E1112" s="482">
        <v>199195</v>
      </c>
      <c r="F1112" s="482"/>
      <c r="G1112" s="482"/>
      <c r="H1112" s="482"/>
      <c r="I1112" s="482"/>
      <c r="J1112" s="482" t="s">
        <v>800</v>
      </c>
      <c r="K1112" s="482" t="s">
        <v>794</v>
      </c>
      <c r="L1112" s="482" t="s">
        <v>800</v>
      </c>
      <c r="M1112" s="482" t="s">
        <v>294</v>
      </c>
      <c r="N1112" s="482">
        <v>19.591590879999998</v>
      </c>
      <c r="O1112" s="482">
        <v>93.80825806</v>
      </c>
      <c r="P1112" s="482" t="s">
        <v>919</v>
      </c>
      <c r="Q1112" s="482" t="s">
        <v>776</v>
      </c>
      <c r="R1112" s="486"/>
      <c r="S1112" s="487"/>
      <c r="T1112" s="506">
        <v>42745</v>
      </c>
      <c r="U1112" s="488"/>
      <c r="V1112" s="482"/>
      <c r="W1112" s="482"/>
    </row>
    <row r="1113" spans="1:23" ht="14.25" customHeight="1">
      <c r="A1113" s="484" t="s">
        <v>294</v>
      </c>
      <c r="B1113" s="504" t="s">
        <v>325</v>
      </c>
      <c r="C1113" s="504" t="s">
        <v>378</v>
      </c>
      <c r="D1113" s="431" t="s">
        <v>1656</v>
      </c>
      <c r="E1113" s="482">
        <v>199223</v>
      </c>
      <c r="F1113" s="482"/>
      <c r="G1113" s="482"/>
      <c r="H1113" s="482"/>
      <c r="I1113" s="482"/>
      <c r="J1113" s="482" t="s">
        <v>800</v>
      </c>
      <c r="K1113" s="482" t="s">
        <v>794</v>
      </c>
      <c r="L1113" s="482" t="s">
        <v>800</v>
      </c>
      <c r="M1113" s="482" t="s">
        <v>803</v>
      </c>
      <c r="N1113" s="482">
        <v>19.639009479999999</v>
      </c>
      <c r="O1113" s="482">
        <v>94.036079409999999</v>
      </c>
      <c r="P1113" s="482" t="s">
        <v>919</v>
      </c>
      <c r="Q1113" s="482" t="s">
        <v>776</v>
      </c>
      <c r="R1113" s="486"/>
      <c r="S1113" s="487"/>
      <c r="T1113" s="506" t="s">
        <v>801</v>
      </c>
      <c r="U1113" s="488"/>
      <c r="V1113" s="482" t="s">
        <v>378</v>
      </c>
      <c r="W1113" s="482"/>
    </row>
    <row r="1114" spans="1:23" ht="14.25" customHeight="1">
      <c r="A1114" s="484" t="s">
        <v>294</v>
      </c>
      <c r="B1114" s="504" t="s">
        <v>325</v>
      </c>
      <c r="C1114" s="504" t="s">
        <v>385</v>
      </c>
      <c r="D1114" s="431" t="s">
        <v>1656</v>
      </c>
      <c r="E1114" s="482">
        <v>199160</v>
      </c>
      <c r="F1114" s="482"/>
      <c r="G1114" s="482"/>
      <c r="H1114" s="482"/>
      <c r="I1114" s="482"/>
      <c r="J1114" s="482" t="s">
        <v>800</v>
      </c>
      <c r="K1114" s="482" t="s">
        <v>794</v>
      </c>
      <c r="L1114" s="482" t="s">
        <v>800</v>
      </c>
      <c r="M1114" s="482" t="s">
        <v>294</v>
      </c>
      <c r="N1114" s="482">
        <v>19.738719939999999</v>
      </c>
      <c r="O1114" s="482">
        <v>94.03549194</v>
      </c>
      <c r="P1114" s="482" t="s">
        <v>919</v>
      </c>
      <c r="Q1114" s="482" t="s">
        <v>776</v>
      </c>
      <c r="R1114" s="486"/>
      <c r="S1114" s="487"/>
      <c r="T1114" s="506" t="s">
        <v>801</v>
      </c>
      <c r="U1114" s="488"/>
      <c r="V1114" s="482" t="s">
        <v>385</v>
      </c>
      <c r="W1114" s="482"/>
    </row>
    <row r="1115" spans="1:23" ht="14.25" customHeight="1">
      <c r="A1115" s="484" t="s">
        <v>294</v>
      </c>
      <c r="B1115" s="504" t="s">
        <v>325</v>
      </c>
      <c r="C1115" s="504" t="s">
        <v>379</v>
      </c>
      <c r="D1115" s="431" t="s">
        <v>1656</v>
      </c>
      <c r="E1115" s="482">
        <v>199218</v>
      </c>
      <c r="F1115" s="482"/>
      <c r="G1115" s="482"/>
      <c r="H1115" s="482"/>
      <c r="I1115" s="482"/>
      <c r="J1115" s="482" t="s">
        <v>800</v>
      </c>
      <c r="K1115" s="482" t="s">
        <v>794</v>
      </c>
      <c r="L1115" s="482" t="s">
        <v>800</v>
      </c>
      <c r="M1115" s="482" t="s">
        <v>294</v>
      </c>
      <c r="N1115" s="482">
        <v>19.646549220000001</v>
      </c>
      <c r="O1115" s="482">
        <v>94.004188540000001</v>
      </c>
      <c r="P1115" s="482" t="s">
        <v>919</v>
      </c>
      <c r="Q1115" s="482" t="s">
        <v>776</v>
      </c>
      <c r="R1115" s="490"/>
      <c r="S1115" s="491"/>
      <c r="T1115" s="506" t="s">
        <v>801</v>
      </c>
      <c r="U1115" s="488"/>
      <c r="V1115" s="482" t="s">
        <v>379</v>
      </c>
      <c r="W1115" s="482"/>
    </row>
    <row r="1116" spans="1:23" ht="14.25" customHeight="1">
      <c r="A1116" s="484" t="s">
        <v>294</v>
      </c>
      <c r="B1116" s="504" t="s">
        <v>325</v>
      </c>
      <c r="C1116" s="504" t="s">
        <v>395</v>
      </c>
      <c r="D1116" s="431" t="s">
        <v>1656</v>
      </c>
      <c r="E1116" s="482">
        <v>199248</v>
      </c>
      <c r="F1116" s="482"/>
      <c r="G1116" s="482"/>
      <c r="H1116" s="482"/>
      <c r="I1116" s="482"/>
      <c r="J1116" s="482" t="s">
        <v>800</v>
      </c>
      <c r="K1116" s="484" t="s">
        <v>794</v>
      </c>
      <c r="L1116" s="484" t="s">
        <v>800</v>
      </c>
      <c r="M1116" s="482" t="s">
        <v>803</v>
      </c>
      <c r="N1116" s="482">
        <v>19.991359710000001</v>
      </c>
      <c r="O1116" s="482">
        <v>93.834663390000003</v>
      </c>
      <c r="P1116" s="482" t="s">
        <v>919</v>
      </c>
      <c r="Q1116" s="482" t="s">
        <v>776</v>
      </c>
      <c r="R1116" s="486"/>
      <c r="S1116" s="487"/>
      <c r="T1116" s="506" t="s">
        <v>801</v>
      </c>
      <c r="U1116" s="488"/>
      <c r="V1116" s="482" t="s">
        <v>395</v>
      </c>
      <c r="W1116" s="482"/>
    </row>
    <row r="1117" spans="1:23" ht="14.25" customHeight="1">
      <c r="A1117" s="484" t="s">
        <v>294</v>
      </c>
      <c r="B1117" s="504" t="s">
        <v>325</v>
      </c>
      <c r="C1117" s="504" t="s">
        <v>386</v>
      </c>
      <c r="D1117" s="431" t="s">
        <v>1656</v>
      </c>
      <c r="E1117" s="482">
        <v>199137</v>
      </c>
      <c r="F1117" s="484"/>
      <c r="G1117" s="482"/>
      <c r="H1117" s="482"/>
      <c r="I1117" s="482"/>
      <c r="J1117" s="482" t="s">
        <v>800</v>
      </c>
      <c r="K1117" s="482" t="s">
        <v>794</v>
      </c>
      <c r="L1117" s="482" t="s">
        <v>800</v>
      </c>
      <c r="M1117" s="482" t="s">
        <v>294</v>
      </c>
      <c r="N1117" s="482">
        <v>19.904430390000002</v>
      </c>
      <c r="O1117" s="482">
        <v>93.79277802</v>
      </c>
      <c r="P1117" s="482" t="s">
        <v>919</v>
      </c>
      <c r="Q1117" s="482" t="s">
        <v>776</v>
      </c>
      <c r="R1117" s="486"/>
      <c r="S1117" s="487"/>
      <c r="T1117" s="506" t="s">
        <v>801</v>
      </c>
      <c r="U1117" s="488"/>
      <c r="V1117" s="482" t="s">
        <v>386</v>
      </c>
      <c r="W1117" s="482"/>
    </row>
    <row r="1118" spans="1:23" ht="14.25" customHeight="1">
      <c r="A1118" s="484" t="s">
        <v>294</v>
      </c>
      <c r="B1118" s="504" t="s">
        <v>325</v>
      </c>
      <c r="C1118" s="504" t="s">
        <v>388</v>
      </c>
      <c r="D1118" s="431" t="s">
        <v>1656</v>
      </c>
      <c r="E1118" s="482">
        <v>199135</v>
      </c>
      <c r="F1118" s="489"/>
      <c r="G1118" s="482"/>
      <c r="H1118" s="482"/>
      <c r="I1118" s="482"/>
      <c r="J1118" s="482" t="s">
        <v>800</v>
      </c>
      <c r="K1118" s="482" t="s">
        <v>794</v>
      </c>
      <c r="L1118" s="482" t="s">
        <v>800</v>
      </c>
      <c r="M1118" s="482" t="s">
        <v>803</v>
      </c>
      <c r="N1118" s="482">
        <v>19.930080409999999</v>
      </c>
      <c r="O1118" s="482">
        <v>93.787002560000005</v>
      </c>
      <c r="P1118" s="482" t="s">
        <v>919</v>
      </c>
      <c r="Q1118" s="482" t="s">
        <v>776</v>
      </c>
      <c r="R1118" s="486"/>
      <c r="S1118" s="487"/>
      <c r="T1118" s="506" t="s">
        <v>801</v>
      </c>
      <c r="U1118" s="488"/>
      <c r="V1118" s="482" t="s">
        <v>388</v>
      </c>
      <c r="W1118" s="482"/>
    </row>
    <row r="1119" spans="1:23" ht="14.25" customHeight="1">
      <c r="A1119" s="484" t="s">
        <v>294</v>
      </c>
      <c r="B1119" s="504" t="s">
        <v>325</v>
      </c>
      <c r="C1119" s="504" t="s">
        <v>374</v>
      </c>
      <c r="D1119" s="431" t="s">
        <v>1656</v>
      </c>
      <c r="E1119" s="482">
        <v>199261</v>
      </c>
      <c r="F1119" s="482"/>
      <c r="G1119" s="482"/>
      <c r="H1119" s="482"/>
      <c r="I1119" s="482"/>
      <c r="J1119" s="482" t="s">
        <v>800</v>
      </c>
      <c r="K1119" s="482" t="s">
        <v>794</v>
      </c>
      <c r="L1119" s="482" t="s">
        <v>800</v>
      </c>
      <c r="M1119" s="482" t="s">
        <v>294</v>
      </c>
      <c r="N1119" s="482">
        <v>19.61120987</v>
      </c>
      <c r="O1119" s="482">
        <v>93.995933530000002</v>
      </c>
      <c r="P1119" s="482" t="s">
        <v>919</v>
      </c>
      <c r="Q1119" s="482" t="s">
        <v>776</v>
      </c>
      <c r="R1119" s="486"/>
      <c r="S1119" s="487"/>
      <c r="T1119" s="506" t="s">
        <v>801</v>
      </c>
      <c r="U1119" s="488"/>
      <c r="V1119" s="482" t="s">
        <v>802</v>
      </c>
      <c r="W1119" s="482"/>
    </row>
    <row r="1120" spans="1:23" ht="14.25" customHeight="1">
      <c r="A1120" s="484" t="s">
        <v>294</v>
      </c>
      <c r="B1120" s="504" t="s">
        <v>325</v>
      </c>
      <c r="C1120" s="504" t="s">
        <v>380</v>
      </c>
      <c r="D1120" s="431" t="s">
        <v>1656</v>
      </c>
      <c r="E1120" s="482">
        <v>199156</v>
      </c>
      <c r="F1120" s="482"/>
      <c r="G1120" s="482"/>
      <c r="H1120" s="482"/>
      <c r="I1120" s="482"/>
      <c r="J1120" s="482" t="s">
        <v>800</v>
      </c>
      <c r="K1120" s="482" t="s">
        <v>794</v>
      </c>
      <c r="L1120" s="482" t="s">
        <v>800</v>
      </c>
      <c r="M1120" s="482" t="s">
        <v>803</v>
      </c>
      <c r="N1120" s="482">
        <v>19.686580660000001</v>
      </c>
      <c r="O1120" s="482">
        <v>94.048843379999994</v>
      </c>
      <c r="P1120" s="482" t="s">
        <v>919</v>
      </c>
      <c r="Q1120" s="482" t="s">
        <v>776</v>
      </c>
      <c r="R1120" s="486"/>
      <c r="S1120" s="487"/>
      <c r="T1120" s="506" t="s">
        <v>801</v>
      </c>
      <c r="U1120" s="488"/>
      <c r="V1120" s="503" t="s">
        <v>380</v>
      </c>
      <c r="W1120" s="482"/>
    </row>
    <row r="1121" spans="1:23" ht="14.25" customHeight="1">
      <c r="A1121" s="484" t="s">
        <v>294</v>
      </c>
      <c r="B1121" s="504" t="s">
        <v>325</v>
      </c>
      <c r="C1121" s="504" t="s">
        <v>377</v>
      </c>
      <c r="D1121" s="431" t="s">
        <v>1656</v>
      </c>
      <c r="E1121" s="484">
        <v>199265</v>
      </c>
      <c r="F1121" s="482"/>
      <c r="G1121" s="482"/>
      <c r="H1121" s="482"/>
      <c r="I1121" s="482"/>
      <c r="J1121" s="482" t="s">
        <v>800</v>
      </c>
      <c r="K1121" s="482" t="s">
        <v>794</v>
      </c>
      <c r="L1121" s="482" t="s">
        <v>800</v>
      </c>
      <c r="M1121" s="482" t="s">
        <v>294</v>
      </c>
      <c r="N1121" s="482">
        <v>19.627199170000001</v>
      </c>
      <c r="O1121" s="482">
        <v>93.962989809999996</v>
      </c>
      <c r="P1121" s="482" t="s">
        <v>919</v>
      </c>
      <c r="Q1121" s="482" t="s">
        <v>776</v>
      </c>
      <c r="R1121" s="486"/>
      <c r="S1121" s="487"/>
      <c r="T1121" s="506" t="s">
        <v>801</v>
      </c>
      <c r="U1121" s="488"/>
      <c r="V1121" s="482" t="s">
        <v>377</v>
      </c>
      <c r="W1121" s="482"/>
    </row>
    <row r="1122" spans="1:23" ht="14.25" customHeight="1">
      <c r="A1122" s="484" t="s">
        <v>294</v>
      </c>
      <c r="B1122" s="504" t="s">
        <v>325</v>
      </c>
      <c r="C1122" s="504" t="s">
        <v>375</v>
      </c>
      <c r="D1122" s="431" t="s">
        <v>1656</v>
      </c>
      <c r="E1122" s="482">
        <v>199262</v>
      </c>
      <c r="F1122" s="482"/>
      <c r="G1122" s="482"/>
      <c r="H1122" s="482"/>
      <c r="I1122" s="482"/>
      <c r="J1122" s="482" t="s">
        <v>800</v>
      </c>
      <c r="K1122" s="482" t="s">
        <v>794</v>
      </c>
      <c r="L1122" s="482" t="s">
        <v>800</v>
      </c>
      <c r="M1122" s="482" t="s">
        <v>294</v>
      </c>
      <c r="N1122" s="482">
        <v>19.61580086</v>
      </c>
      <c r="O1122" s="482">
        <v>94.000473020000001</v>
      </c>
      <c r="P1122" s="482" t="s">
        <v>919</v>
      </c>
      <c r="Q1122" s="482" t="s">
        <v>776</v>
      </c>
      <c r="R1122" s="486"/>
      <c r="S1122" s="487"/>
      <c r="T1122" s="506" t="s">
        <v>801</v>
      </c>
      <c r="U1122" s="488"/>
      <c r="V1122" s="482" t="s">
        <v>375</v>
      </c>
      <c r="W1122" s="482"/>
    </row>
    <row r="1123" spans="1:23" ht="14.25" customHeight="1">
      <c r="A1123" s="484" t="s">
        <v>294</v>
      </c>
      <c r="B1123" s="504" t="s">
        <v>325</v>
      </c>
      <c r="C1123" s="504" t="s">
        <v>392</v>
      </c>
      <c r="D1123" s="431" t="s">
        <v>1656</v>
      </c>
      <c r="E1123" s="482">
        <v>199241</v>
      </c>
      <c r="F1123" s="482"/>
      <c r="G1123" s="482"/>
      <c r="H1123" s="482"/>
      <c r="I1123" s="482"/>
      <c r="J1123" s="482" t="s">
        <v>800</v>
      </c>
      <c r="K1123" s="482" t="s">
        <v>794</v>
      </c>
      <c r="L1123" s="482" t="s">
        <v>800</v>
      </c>
      <c r="M1123" s="482" t="s">
        <v>803</v>
      </c>
      <c r="N1123" s="482">
        <v>19.988599780000001</v>
      </c>
      <c r="O1123" s="482">
        <v>93.803939819999997</v>
      </c>
      <c r="P1123" s="482" t="s">
        <v>919</v>
      </c>
      <c r="Q1123" s="482" t="s">
        <v>776</v>
      </c>
      <c r="R1123" s="486"/>
      <c r="S1123" s="487"/>
      <c r="T1123" s="506" t="s">
        <v>801</v>
      </c>
      <c r="U1123" s="488"/>
      <c r="V1123" s="391" t="s">
        <v>809</v>
      </c>
      <c r="W1123" s="482"/>
    </row>
    <row r="1124" spans="1:23" ht="14.25" customHeight="1">
      <c r="A1124" s="484" t="s">
        <v>294</v>
      </c>
      <c r="B1124" s="504" t="s">
        <v>325</v>
      </c>
      <c r="C1124" s="504" t="s">
        <v>390</v>
      </c>
      <c r="D1124" s="431" t="s">
        <v>1656</v>
      </c>
      <c r="E1124" s="482">
        <v>220838</v>
      </c>
      <c r="F1124" s="482"/>
      <c r="G1124" s="482"/>
      <c r="H1124" s="482"/>
      <c r="I1124" s="482"/>
      <c r="J1124" s="482" t="s">
        <v>800</v>
      </c>
      <c r="K1124" s="482" t="s">
        <v>794</v>
      </c>
      <c r="L1124" s="482" t="s">
        <v>800</v>
      </c>
      <c r="M1124" s="482" t="s">
        <v>803</v>
      </c>
      <c r="N1124" s="498">
        <v>19.962713239999999</v>
      </c>
      <c r="O1124" s="498">
        <v>93.885574340000005</v>
      </c>
      <c r="P1124" s="482" t="s">
        <v>919</v>
      </c>
      <c r="Q1124" s="482" t="s">
        <v>776</v>
      </c>
      <c r="R1124" s="486"/>
      <c r="S1124" s="487"/>
      <c r="T1124" s="506" t="s">
        <v>801</v>
      </c>
      <c r="U1124" s="488"/>
      <c r="V1124" s="482" t="s">
        <v>390</v>
      </c>
      <c r="W1124" s="482"/>
    </row>
    <row r="1125" spans="1:23" ht="14.25" customHeight="1">
      <c r="A1125" s="484" t="s">
        <v>294</v>
      </c>
      <c r="B1125" s="504" t="s">
        <v>325</v>
      </c>
      <c r="C1125" s="504" t="s">
        <v>387</v>
      </c>
      <c r="D1125" s="431" t="s">
        <v>1656</v>
      </c>
      <c r="E1125" s="482">
        <v>199133</v>
      </c>
      <c r="F1125" s="482"/>
      <c r="G1125" s="482"/>
      <c r="H1125" s="482"/>
      <c r="I1125" s="482"/>
      <c r="J1125" s="482" t="s">
        <v>800</v>
      </c>
      <c r="K1125" s="482" t="s">
        <v>794</v>
      </c>
      <c r="L1125" s="482" t="s">
        <v>800</v>
      </c>
      <c r="M1125" s="482" t="s">
        <v>294</v>
      </c>
      <c r="N1125" s="482">
        <v>19.925739289999999</v>
      </c>
      <c r="O1125" s="482">
        <v>93.792991639999997</v>
      </c>
      <c r="P1125" s="482" t="s">
        <v>919</v>
      </c>
      <c r="Q1125" s="482" t="s">
        <v>776</v>
      </c>
      <c r="R1125" s="486"/>
      <c r="S1125" s="487"/>
      <c r="T1125" s="506" t="s">
        <v>801</v>
      </c>
      <c r="U1125" s="488"/>
      <c r="V1125" s="482" t="s">
        <v>805</v>
      </c>
      <c r="W1125" s="482"/>
    </row>
    <row r="1126" spans="1:23" ht="14.25" customHeight="1">
      <c r="A1126" s="668" t="s">
        <v>698</v>
      </c>
      <c r="B1126" s="657" t="s">
        <v>1234</v>
      </c>
      <c r="C1126" s="658" t="s">
        <v>2997</v>
      </c>
      <c r="D1126" s="485"/>
      <c r="E1126" s="659"/>
      <c r="F1126" s="659"/>
      <c r="G1126" s="659"/>
      <c r="H1126" s="659"/>
      <c r="I1126" s="659"/>
      <c r="J1126" s="659" t="s">
        <v>794</v>
      </c>
      <c r="K1126" s="659" t="s">
        <v>794</v>
      </c>
      <c r="L1126" s="659" t="s">
        <v>794</v>
      </c>
      <c r="M1126" s="659"/>
      <c r="N1126" s="659"/>
      <c r="O1126" s="659"/>
      <c r="P1126" s="659"/>
      <c r="Q1126" s="659" t="s">
        <v>3102</v>
      </c>
      <c r="R1126" s="660"/>
      <c r="S1126" s="656"/>
      <c r="T1126" s="661">
        <v>43843</v>
      </c>
      <c r="U1126" s="660"/>
      <c r="V1126" s="659"/>
      <c r="W1126" s="486"/>
    </row>
    <row r="1127" spans="1:23" ht="14.25" customHeight="1">
      <c r="A1127" s="668" t="s">
        <v>698</v>
      </c>
      <c r="B1127" s="657" t="s">
        <v>1234</v>
      </c>
      <c r="C1127" s="658" t="s">
        <v>2998</v>
      </c>
      <c r="D1127" s="485"/>
      <c r="E1127" s="659"/>
      <c r="F1127" s="659"/>
      <c r="G1127" s="659"/>
      <c r="H1127" s="659"/>
      <c r="I1127" s="659"/>
      <c r="J1127" s="659" t="s">
        <v>794</v>
      </c>
      <c r="K1127" s="659" t="s">
        <v>794</v>
      </c>
      <c r="L1127" s="659" t="s">
        <v>794</v>
      </c>
      <c r="M1127" s="659"/>
      <c r="N1127" s="659"/>
      <c r="O1127" s="659"/>
      <c r="P1127" s="659"/>
      <c r="Q1127" s="659" t="s">
        <v>3102</v>
      </c>
      <c r="R1127" s="660"/>
      <c r="S1127" s="656"/>
      <c r="T1127" s="661">
        <v>43843</v>
      </c>
      <c r="U1127" s="660"/>
      <c r="V1127" s="659"/>
      <c r="W1127" s="486"/>
    </row>
    <row r="1128" spans="1:23" ht="14.25" customHeight="1">
      <c r="A1128" s="668" t="s">
        <v>698</v>
      </c>
      <c r="B1128" s="657" t="s">
        <v>1234</v>
      </c>
      <c r="C1128" s="658" t="s">
        <v>2995</v>
      </c>
      <c r="D1128" s="485"/>
      <c r="E1128" s="659"/>
      <c r="F1128" s="659"/>
      <c r="G1128" s="659"/>
      <c r="H1128" s="659"/>
      <c r="I1128" s="659"/>
      <c r="J1128" s="659" t="s">
        <v>794</v>
      </c>
      <c r="K1128" s="659" t="s">
        <v>794</v>
      </c>
      <c r="L1128" s="659" t="s">
        <v>794</v>
      </c>
      <c r="M1128" s="659"/>
      <c r="N1128" s="659"/>
      <c r="O1128" s="659"/>
      <c r="P1128" s="659"/>
      <c r="Q1128" s="659" t="s">
        <v>3102</v>
      </c>
      <c r="R1128" s="660"/>
      <c r="S1128" s="656"/>
      <c r="T1128" s="661">
        <v>43843</v>
      </c>
      <c r="U1128" s="660"/>
      <c r="V1128" s="659"/>
      <c r="W1128" s="486"/>
    </row>
    <row r="1129" spans="1:23" ht="14.25" customHeight="1">
      <c r="A1129" s="668" t="s">
        <v>698</v>
      </c>
      <c r="B1129" s="657" t="s">
        <v>1234</v>
      </c>
      <c r="C1129" s="658" t="s">
        <v>2996</v>
      </c>
      <c r="D1129" s="485"/>
      <c r="E1129" s="659"/>
      <c r="F1129" s="659"/>
      <c r="G1129" s="659"/>
      <c r="H1129" s="659"/>
      <c r="I1129" s="659"/>
      <c r="J1129" s="659" t="s">
        <v>794</v>
      </c>
      <c r="K1129" s="659" t="s">
        <v>794</v>
      </c>
      <c r="L1129" s="659" t="s">
        <v>794</v>
      </c>
      <c r="M1129" s="659"/>
      <c r="N1129" s="659"/>
      <c r="O1129" s="659"/>
      <c r="P1129" s="659"/>
      <c r="Q1129" s="659" t="s">
        <v>3102</v>
      </c>
      <c r="R1129" s="660"/>
      <c r="S1129" s="656"/>
      <c r="T1129" s="661">
        <v>43843</v>
      </c>
      <c r="U1129" s="660"/>
      <c r="V1129" s="659"/>
      <c r="W1129" s="486"/>
    </row>
    <row r="1130" spans="1:23" ht="14.25" customHeight="1">
      <c r="A1130" s="491" t="s">
        <v>698</v>
      </c>
      <c r="B1130" s="514" t="s">
        <v>717</v>
      </c>
      <c r="C1130" s="452" t="s">
        <v>718</v>
      </c>
      <c r="D1130" s="431" t="s">
        <v>2817</v>
      </c>
      <c r="E1130" s="482" t="s">
        <v>1425</v>
      </c>
      <c r="F1130" s="482" t="s">
        <v>718</v>
      </c>
      <c r="G1130" s="482" t="s">
        <v>718</v>
      </c>
      <c r="H1130" s="482" t="s">
        <v>40</v>
      </c>
      <c r="I1130" s="482" t="s">
        <v>2662</v>
      </c>
      <c r="J1130" s="482" t="s">
        <v>42</v>
      </c>
      <c r="K1130" s="482" t="s">
        <v>42</v>
      </c>
      <c r="L1130" s="482" t="s">
        <v>42</v>
      </c>
      <c r="M1130" s="482" t="s">
        <v>43</v>
      </c>
      <c r="N1130" s="482">
        <v>23.354268999999999</v>
      </c>
      <c r="O1130" s="482">
        <v>98.218626999999998</v>
      </c>
      <c r="P1130" s="482" t="s">
        <v>757</v>
      </c>
      <c r="Q1130" s="482" t="s">
        <v>776</v>
      </c>
      <c r="R1130" s="486">
        <v>35</v>
      </c>
      <c r="S1130" s="486">
        <v>183</v>
      </c>
      <c r="T1130" s="506"/>
      <c r="U1130" s="488"/>
      <c r="V1130" s="482" t="s">
        <v>718</v>
      </c>
      <c r="W1130" s="392" t="s">
        <v>2167</v>
      </c>
    </row>
    <row r="1131" spans="1:23" ht="14.25" customHeight="1">
      <c r="A1131" s="491" t="s">
        <v>698</v>
      </c>
      <c r="B1131" s="514" t="s">
        <v>717</v>
      </c>
      <c r="C1131" s="452" t="s">
        <v>741</v>
      </c>
      <c r="D1131" s="485" t="s">
        <v>1734</v>
      </c>
      <c r="E1131" s="482" t="s">
        <v>1426</v>
      </c>
      <c r="F1131" s="482" t="s">
        <v>1761</v>
      </c>
      <c r="G1131" s="482" t="s">
        <v>1761</v>
      </c>
      <c r="H1131" s="482"/>
      <c r="I1131" s="482" t="s">
        <v>2116</v>
      </c>
      <c r="J1131" s="482" t="s">
        <v>42</v>
      </c>
      <c r="K1131" s="482" t="s">
        <v>964</v>
      </c>
      <c r="L1131" s="482" t="s">
        <v>756</v>
      </c>
      <c r="M1131" s="482" t="s">
        <v>774</v>
      </c>
      <c r="N1131" s="482">
        <v>23.372409999999999</v>
      </c>
      <c r="O1131" s="482">
        <v>98.352670000000003</v>
      </c>
      <c r="P1131" s="482" t="s">
        <v>769</v>
      </c>
      <c r="Q1131" s="482" t="s">
        <v>776</v>
      </c>
      <c r="R1131" s="494"/>
      <c r="S1131" s="487"/>
      <c r="T1131" s="506">
        <v>43276</v>
      </c>
      <c r="U1131" s="488" t="s">
        <v>1965</v>
      </c>
      <c r="V1131" s="482" t="s">
        <v>741</v>
      </c>
      <c r="W1131" s="392" t="s">
        <v>2168</v>
      </c>
    </row>
    <row r="1132" spans="1:23" ht="14.25" customHeight="1">
      <c r="A1132" s="491" t="s">
        <v>698</v>
      </c>
      <c r="B1132" s="514" t="s">
        <v>717</v>
      </c>
      <c r="C1132" s="452" t="s">
        <v>747</v>
      </c>
      <c r="D1132" s="485" t="s">
        <v>1657</v>
      </c>
      <c r="E1132" s="482" t="s">
        <v>1424</v>
      </c>
      <c r="F1132" s="482" t="s">
        <v>1668</v>
      </c>
      <c r="G1132" s="482" t="s">
        <v>1668</v>
      </c>
      <c r="H1132" s="482"/>
      <c r="I1132" s="482">
        <v>0</v>
      </c>
      <c r="J1132" s="482" t="s">
        <v>42</v>
      </c>
      <c r="K1132" s="482" t="s">
        <v>42</v>
      </c>
      <c r="L1132" s="482" t="s">
        <v>756</v>
      </c>
      <c r="M1132" s="482" t="s">
        <v>43</v>
      </c>
      <c r="N1132" s="482">
        <v>23.353999999999999</v>
      </c>
      <c r="O1132" s="482">
        <v>98.221000000000004</v>
      </c>
      <c r="P1132" s="482" t="s">
        <v>757</v>
      </c>
      <c r="Q1132" s="482" t="s">
        <v>758</v>
      </c>
      <c r="R1132" s="494"/>
      <c r="S1132" s="487"/>
      <c r="T1132" s="506"/>
      <c r="U1132" s="488"/>
      <c r="V1132" s="482"/>
      <c r="W1132" s="392" t="s">
        <v>2169</v>
      </c>
    </row>
    <row r="1133" spans="1:23" ht="14.25" customHeight="1">
      <c r="A1133" s="491" t="s">
        <v>698</v>
      </c>
      <c r="B1133" s="514" t="s">
        <v>739</v>
      </c>
      <c r="C1133" s="452" t="s">
        <v>2641</v>
      </c>
      <c r="D1133" s="485"/>
      <c r="E1133" s="482"/>
      <c r="F1133" s="482"/>
      <c r="G1133" s="482"/>
      <c r="H1133" s="482"/>
      <c r="I1133" s="482"/>
      <c r="J1133" s="482" t="s">
        <v>2652</v>
      </c>
      <c r="K1133" s="482" t="s">
        <v>2622</v>
      </c>
      <c r="L1133" s="482" t="s">
        <v>2622</v>
      </c>
      <c r="M1133" s="482" t="s">
        <v>43</v>
      </c>
      <c r="N1133" s="482"/>
      <c r="O1133" s="482"/>
      <c r="P1133" s="482" t="s">
        <v>1972</v>
      </c>
      <c r="Q1133" s="482"/>
      <c r="R1133" s="494"/>
      <c r="S1133" s="487"/>
      <c r="T1133" s="506">
        <v>43567</v>
      </c>
      <c r="U1133" s="488"/>
      <c r="V1133" s="482"/>
      <c r="W1133" s="486"/>
    </row>
    <row r="1134" spans="1:23" ht="14.25" customHeight="1">
      <c r="A1134" s="491" t="s">
        <v>698</v>
      </c>
      <c r="B1134" s="514" t="s">
        <v>739</v>
      </c>
      <c r="C1134" s="452" t="s">
        <v>740</v>
      </c>
      <c r="D1134" s="431" t="s">
        <v>2817</v>
      </c>
      <c r="E1134" s="482" t="s">
        <v>1416</v>
      </c>
      <c r="F1134" s="482" t="s">
        <v>1757</v>
      </c>
      <c r="G1134" s="482" t="s">
        <v>1758</v>
      </c>
      <c r="H1134" s="482"/>
      <c r="I1134" s="484" t="s">
        <v>2116</v>
      </c>
      <c r="J1134" s="482" t="s">
        <v>42</v>
      </c>
      <c r="K1134" s="482" t="s">
        <v>42</v>
      </c>
      <c r="L1134" s="482" t="s">
        <v>772</v>
      </c>
      <c r="M1134" s="482" t="s">
        <v>43</v>
      </c>
      <c r="N1134" s="482">
        <v>22.677008000000001</v>
      </c>
      <c r="O1134" s="482">
        <v>97.314762999999999</v>
      </c>
      <c r="P1134" s="482" t="s">
        <v>757</v>
      </c>
      <c r="Q1134" s="482" t="s">
        <v>758</v>
      </c>
      <c r="R1134" s="486">
        <v>37</v>
      </c>
      <c r="S1134" s="486">
        <v>120</v>
      </c>
      <c r="T1134" s="506"/>
      <c r="U1134" s="488" t="s">
        <v>958</v>
      </c>
      <c r="V1134" s="482" t="s">
        <v>959</v>
      </c>
      <c r="W1134" s="392" t="s">
        <v>2170</v>
      </c>
    </row>
    <row r="1135" spans="1:23" ht="14.25" customHeight="1">
      <c r="A1135" s="491" t="s">
        <v>698</v>
      </c>
      <c r="B1135" s="514" t="s">
        <v>739</v>
      </c>
      <c r="C1135" s="452" t="s">
        <v>2642</v>
      </c>
      <c r="D1135" s="485"/>
      <c r="E1135" s="482"/>
      <c r="F1135" s="482"/>
      <c r="G1135" s="482"/>
      <c r="H1135" s="482"/>
      <c r="I1135" s="482"/>
      <c r="J1135" s="482" t="s">
        <v>2652</v>
      </c>
      <c r="K1135" s="482" t="s">
        <v>2622</v>
      </c>
      <c r="L1135" s="482" t="s">
        <v>2622</v>
      </c>
      <c r="M1135" s="482" t="s">
        <v>43</v>
      </c>
      <c r="N1135" s="482"/>
      <c r="O1135" s="482"/>
      <c r="P1135" s="482" t="s">
        <v>1972</v>
      </c>
      <c r="Q1135" s="482"/>
      <c r="R1135" s="494"/>
      <c r="S1135" s="487"/>
      <c r="T1135" s="506">
        <v>43567</v>
      </c>
      <c r="U1135" s="488"/>
      <c r="V1135" s="482"/>
      <c r="W1135" s="486"/>
    </row>
    <row r="1136" spans="1:23" ht="14.25" customHeight="1">
      <c r="A1136" s="491" t="s">
        <v>698</v>
      </c>
      <c r="B1136" s="514" t="s">
        <v>739</v>
      </c>
      <c r="C1136" s="452" t="s">
        <v>2643</v>
      </c>
      <c r="D1136" s="485"/>
      <c r="E1136" s="482"/>
      <c r="F1136" s="482"/>
      <c r="G1136" s="482"/>
      <c r="H1136" s="482"/>
      <c r="I1136" s="482"/>
      <c r="J1136" s="482" t="s">
        <v>2652</v>
      </c>
      <c r="K1136" s="482" t="s">
        <v>2622</v>
      </c>
      <c r="L1136" s="482" t="s">
        <v>2622</v>
      </c>
      <c r="M1136" s="482" t="s">
        <v>43</v>
      </c>
      <c r="N1136" s="482"/>
      <c r="O1136" s="482"/>
      <c r="P1136" s="482" t="s">
        <v>1972</v>
      </c>
      <c r="Q1136" s="482"/>
      <c r="R1136" s="494"/>
      <c r="S1136" s="487"/>
      <c r="T1136" s="506">
        <v>43567</v>
      </c>
      <c r="U1136" s="488"/>
      <c r="V1136" s="482"/>
      <c r="W1136" s="486"/>
    </row>
    <row r="1137" spans="1:23" ht="14.25" customHeight="1">
      <c r="A1137" s="668" t="s">
        <v>698</v>
      </c>
      <c r="B1137" s="657" t="s">
        <v>1246</v>
      </c>
      <c r="C1137" s="658" t="s">
        <v>3010</v>
      </c>
      <c r="D1137" s="485"/>
      <c r="E1137" s="659"/>
      <c r="F1137" s="659"/>
      <c r="G1137" s="659"/>
      <c r="H1137" s="659"/>
      <c r="I1137" s="659"/>
      <c r="J1137" s="659" t="s">
        <v>794</v>
      </c>
      <c r="K1137" s="659" t="s">
        <v>794</v>
      </c>
      <c r="L1137" s="659" t="s">
        <v>794</v>
      </c>
      <c r="M1137" s="659"/>
      <c r="N1137" s="659"/>
      <c r="O1137" s="659"/>
      <c r="P1137" s="659"/>
      <c r="Q1137" s="659" t="s">
        <v>3102</v>
      </c>
      <c r="R1137" s="660"/>
      <c r="S1137" s="656"/>
      <c r="T1137" s="661">
        <v>43843</v>
      </c>
      <c r="U1137" s="660"/>
      <c r="V1137" s="659"/>
      <c r="W1137" s="486"/>
    </row>
    <row r="1138" spans="1:23" ht="14.25" customHeight="1">
      <c r="A1138" s="668" t="s">
        <v>698</v>
      </c>
      <c r="B1138" s="657" t="s">
        <v>1246</v>
      </c>
      <c r="C1138" s="658" t="s">
        <v>3009</v>
      </c>
      <c r="D1138" s="485"/>
      <c r="E1138" s="659"/>
      <c r="F1138" s="659"/>
      <c r="G1138" s="659"/>
      <c r="H1138" s="659"/>
      <c r="I1138" s="659"/>
      <c r="J1138" s="659" t="s">
        <v>794</v>
      </c>
      <c r="K1138" s="659" t="s">
        <v>794</v>
      </c>
      <c r="L1138" s="659" t="s">
        <v>794</v>
      </c>
      <c r="M1138" s="659"/>
      <c r="N1138" s="659"/>
      <c r="O1138" s="659"/>
      <c r="P1138" s="659"/>
      <c r="Q1138" s="659" t="s">
        <v>3102</v>
      </c>
      <c r="R1138" s="660"/>
      <c r="S1138" s="656"/>
      <c r="T1138" s="661">
        <v>43843</v>
      </c>
      <c r="U1138" s="660"/>
      <c r="V1138" s="659"/>
      <c r="W1138" s="486"/>
    </row>
    <row r="1139" spans="1:23" ht="14.25" customHeight="1">
      <c r="A1139" s="668" t="s">
        <v>698</v>
      </c>
      <c r="B1139" s="657" t="s">
        <v>3068</v>
      </c>
      <c r="C1139" s="658" t="s">
        <v>3081</v>
      </c>
      <c r="D1139" s="485"/>
      <c r="E1139" s="659"/>
      <c r="F1139" s="670"/>
      <c r="G1139" s="659"/>
      <c r="H1139" s="659"/>
      <c r="I1139" s="659"/>
      <c r="J1139" s="659" t="s">
        <v>794</v>
      </c>
      <c r="K1139" s="659" t="s">
        <v>794</v>
      </c>
      <c r="L1139" s="659" t="s">
        <v>794</v>
      </c>
      <c r="M1139" s="659"/>
      <c r="N1139" s="659"/>
      <c r="O1139" s="659"/>
      <c r="P1139" s="659"/>
      <c r="Q1139" s="659" t="s">
        <v>3102</v>
      </c>
      <c r="R1139" s="660"/>
      <c r="S1139" s="656"/>
      <c r="T1139" s="661">
        <v>43843</v>
      </c>
      <c r="U1139" s="660"/>
      <c r="V1139" s="659"/>
      <c r="W1139" s="486"/>
    </row>
    <row r="1140" spans="1:23" ht="14.25" customHeight="1">
      <c r="A1140" s="668" t="s">
        <v>698</v>
      </c>
      <c r="B1140" s="657" t="s">
        <v>3068</v>
      </c>
      <c r="C1140" s="658" t="s">
        <v>3092</v>
      </c>
      <c r="D1140" s="485"/>
      <c r="E1140" s="659"/>
      <c r="F1140" s="659"/>
      <c r="G1140" s="659"/>
      <c r="H1140" s="659"/>
      <c r="I1140" s="659"/>
      <c r="J1140" s="659" t="s">
        <v>794</v>
      </c>
      <c r="K1140" s="659" t="s">
        <v>794</v>
      </c>
      <c r="L1140" s="659" t="s">
        <v>794</v>
      </c>
      <c r="M1140" s="659"/>
      <c r="N1140" s="659"/>
      <c r="O1140" s="659"/>
      <c r="P1140" s="659"/>
      <c r="Q1140" s="659" t="s">
        <v>3102</v>
      </c>
      <c r="R1140" s="660"/>
      <c r="S1140" s="656"/>
      <c r="T1140" s="661">
        <v>43843</v>
      </c>
      <c r="U1140" s="660"/>
      <c r="V1140" s="659"/>
      <c r="W1140" s="486"/>
    </row>
    <row r="1141" spans="1:23" ht="14.25" customHeight="1">
      <c r="A1141" s="668" t="s">
        <v>698</v>
      </c>
      <c r="B1141" s="657" t="s">
        <v>3068</v>
      </c>
      <c r="C1141" s="658" t="s">
        <v>3077</v>
      </c>
      <c r="D1141" s="485"/>
      <c r="E1141" s="659"/>
      <c r="F1141" s="659"/>
      <c r="G1141" s="659"/>
      <c r="H1141" s="659"/>
      <c r="I1141" s="659"/>
      <c r="J1141" s="659" t="s">
        <v>794</v>
      </c>
      <c r="K1141" s="659" t="s">
        <v>794</v>
      </c>
      <c r="L1141" s="659" t="s">
        <v>794</v>
      </c>
      <c r="M1141" s="659"/>
      <c r="N1141" s="659"/>
      <c r="O1141" s="659"/>
      <c r="P1141" s="659"/>
      <c r="Q1141" s="659" t="s">
        <v>3102</v>
      </c>
      <c r="R1141" s="660"/>
      <c r="S1141" s="656"/>
      <c r="T1141" s="661">
        <v>43843</v>
      </c>
      <c r="U1141" s="660"/>
      <c r="V1141" s="670"/>
      <c r="W1141" s="486"/>
    </row>
    <row r="1142" spans="1:23" ht="14.25" customHeight="1">
      <c r="A1142" s="668" t="s">
        <v>698</v>
      </c>
      <c r="B1142" s="657" t="s">
        <v>3068</v>
      </c>
      <c r="C1142" s="658" t="s">
        <v>3100</v>
      </c>
      <c r="D1142" s="485"/>
      <c r="E1142" s="659"/>
      <c r="F1142" s="659"/>
      <c r="G1142" s="659"/>
      <c r="H1142" s="659"/>
      <c r="I1142" s="659"/>
      <c r="J1142" s="659" t="s">
        <v>794</v>
      </c>
      <c r="K1142" s="659" t="s">
        <v>794</v>
      </c>
      <c r="L1142" s="659" t="s">
        <v>794</v>
      </c>
      <c r="M1142" s="659"/>
      <c r="N1142" s="659"/>
      <c r="O1142" s="659"/>
      <c r="P1142" s="659"/>
      <c r="Q1142" s="659" t="s">
        <v>3102</v>
      </c>
      <c r="R1142" s="660"/>
      <c r="S1142" s="656"/>
      <c r="T1142" s="661">
        <v>43843</v>
      </c>
      <c r="U1142" s="660"/>
      <c r="V1142" s="659"/>
      <c r="W1142" s="486"/>
    </row>
    <row r="1143" spans="1:23" ht="14.25" customHeight="1">
      <c r="A1143" s="668" t="s">
        <v>698</v>
      </c>
      <c r="B1143" s="657" t="s">
        <v>3068</v>
      </c>
      <c r="C1143" s="658" t="s">
        <v>3093</v>
      </c>
      <c r="D1143" s="485"/>
      <c r="E1143" s="659"/>
      <c r="F1143" s="659"/>
      <c r="G1143" s="659"/>
      <c r="H1143" s="659"/>
      <c r="I1143" s="659"/>
      <c r="J1143" s="659" t="s">
        <v>794</v>
      </c>
      <c r="K1143" s="659" t="s">
        <v>794</v>
      </c>
      <c r="L1143" s="659" t="s">
        <v>794</v>
      </c>
      <c r="M1143" s="659"/>
      <c r="N1143" s="659"/>
      <c r="O1143" s="659"/>
      <c r="P1143" s="659"/>
      <c r="Q1143" s="659" t="s">
        <v>3102</v>
      </c>
      <c r="R1143" s="660"/>
      <c r="S1143" s="656"/>
      <c r="T1143" s="661">
        <v>43843</v>
      </c>
      <c r="U1143" s="660"/>
      <c r="V1143" s="659"/>
      <c r="W1143" s="486"/>
    </row>
    <row r="1144" spans="1:23" ht="14.25" customHeight="1">
      <c r="A1144" s="668" t="s">
        <v>698</v>
      </c>
      <c r="B1144" s="657" t="s">
        <v>3068</v>
      </c>
      <c r="C1144" s="658" t="s">
        <v>3094</v>
      </c>
      <c r="D1144" s="485"/>
      <c r="E1144" s="659"/>
      <c r="F1144" s="659"/>
      <c r="G1144" s="659"/>
      <c r="H1144" s="659"/>
      <c r="I1144" s="659"/>
      <c r="J1144" s="659" t="s">
        <v>794</v>
      </c>
      <c r="K1144" s="659" t="s">
        <v>794</v>
      </c>
      <c r="L1144" s="659" t="s">
        <v>794</v>
      </c>
      <c r="M1144" s="659"/>
      <c r="N1144" s="659"/>
      <c r="O1144" s="659"/>
      <c r="P1144" s="659"/>
      <c r="Q1144" s="659" t="s">
        <v>3102</v>
      </c>
      <c r="R1144" s="660"/>
      <c r="S1144" s="656"/>
      <c r="T1144" s="661">
        <v>43843</v>
      </c>
      <c r="U1144" s="660"/>
      <c r="V1144" s="659"/>
      <c r="W1144" s="486"/>
    </row>
    <row r="1145" spans="1:23" ht="14.25" customHeight="1">
      <c r="A1145" s="668" t="s">
        <v>698</v>
      </c>
      <c r="B1145" s="657" t="s">
        <v>3068</v>
      </c>
      <c r="C1145" s="658" t="s">
        <v>3087</v>
      </c>
      <c r="D1145" s="485"/>
      <c r="E1145" s="659"/>
      <c r="F1145" s="659"/>
      <c r="G1145" s="659"/>
      <c r="H1145" s="659"/>
      <c r="I1145" s="659"/>
      <c r="J1145" s="659" t="s">
        <v>794</v>
      </c>
      <c r="K1145" s="659" t="s">
        <v>794</v>
      </c>
      <c r="L1145" s="659" t="s">
        <v>794</v>
      </c>
      <c r="M1145" s="659"/>
      <c r="N1145" s="659"/>
      <c r="O1145" s="659"/>
      <c r="P1145" s="659"/>
      <c r="Q1145" s="659" t="s">
        <v>3102</v>
      </c>
      <c r="R1145" s="660"/>
      <c r="S1145" s="656"/>
      <c r="T1145" s="661">
        <v>43843</v>
      </c>
      <c r="U1145" s="660"/>
      <c r="V1145" s="659"/>
      <c r="W1145" s="486"/>
    </row>
    <row r="1146" spans="1:23" ht="14.25" customHeight="1">
      <c r="A1146" s="668" t="s">
        <v>698</v>
      </c>
      <c r="B1146" s="657" t="s">
        <v>3068</v>
      </c>
      <c r="C1146" s="658" t="s">
        <v>3076</v>
      </c>
      <c r="D1146" s="485"/>
      <c r="E1146" s="659"/>
      <c r="F1146" s="659"/>
      <c r="G1146" s="659"/>
      <c r="H1146" s="659"/>
      <c r="I1146" s="659"/>
      <c r="J1146" s="659" t="s">
        <v>794</v>
      </c>
      <c r="K1146" s="659" t="s">
        <v>794</v>
      </c>
      <c r="L1146" s="659" t="s">
        <v>794</v>
      </c>
      <c r="M1146" s="659"/>
      <c r="N1146" s="659"/>
      <c r="O1146" s="659"/>
      <c r="P1146" s="659"/>
      <c r="Q1146" s="659" t="s">
        <v>3102</v>
      </c>
      <c r="R1146" s="660"/>
      <c r="S1146" s="656"/>
      <c r="T1146" s="661">
        <v>43843</v>
      </c>
      <c r="U1146" s="660"/>
      <c r="V1146" s="659"/>
      <c r="W1146" s="486"/>
    </row>
    <row r="1147" spans="1:23" ht="14.25" customHeight="1">
      <c r="A1147" s="668" t="s">
        <v>698</v>
      </c>
      <c r="B1147" s="657" t="s">
        <v>3068</v>
      </c>
      <c r="C1147" s="658" t="s">
        <v>3096</v>
      </c>
      <c r="D1147" s="485"/>
      <c r="E1147" s="659"/>
      <c r="F1147" s="659"/>
      <c r="G1147" s="659"/>
      <c r="H1147" s="659"/>
      <c r="I1147" s="659"/>
      <c r="J1147" s="659" t="s">
        <v>794</v>
      </c>
      <c r="K1147" s="659" t="s">
        <v>794</v>
      </c>
      <c r="L1147" s="659" t="s">
        <v>794</v>
      </c>
      <c r="M1147" s="659"/>
      <c r="N1147" s="659"/>
      <c r="O1147" s="659"/>
      <c r="P1147" s="659"/>
      <c r="Q1147" s="659" t="s">
        <v>3102</v>
      </c>
      <c r="R1147" s="660"/>
      <c r="S1147" s="656"/>
      <c r="T1147" s="661">
        <v>43843</v>
      </c>
      <c r="U1147" s="660"/>
      <c r="V1147" s="659"/>
      <c r="W1147" s="486"/>
    </row>
    <row r="1148" spans="1:23" ht="14.25" customHeight="1">
      <c r="A1148" s="668" t="s">
        <v>698</v>
      </c>
      <c r="B1148" s="657" t="s">
        <v>3068</v>
      </c>
      <c r="C1148" s="658" t="s">
        <v>3079</v>
      </c>
      <c r="D1148" s="485"/>
      <c r="E1148" s="659"/>
      <c r="F1148" s="659"/>
      <c r="G1148" s="659"/>
      <c r="H1148" s="659"/>
      <c r="I1148" s="659"/>
      <c r="J1148" s="659" t="s">
        <v>794</v>
      </c>
      <c r="K1148" s="659" t="s">
        <v>794</v>
      </c>
      <c r="L1148" s="659" t="s">
        <v>794</v>
      </c>
      <c r="M1148" s="659"/>
      <c r="N1148" s="659"/>
      <c r="O1148" s="659"/>
      <c r="P1148" s="659"/>
      <c r="Q1148" s="659" t="s">
        <v>3102</v>
      </c>
      <c r="R1148" s="660"/>
      <c r="S1148" s="656"/>
      <c r="T1148" s="661">
        <v>43843</v>
      </c>
      <c r="U1148" s="660"/>
      <c r="V1148" s="659"/>
      <c r="W1148" s="486"/>
    </row>
    <row r="1149" spans="1:23" ht="14.25" customHeight="1">
      <c r="A1149" s="668" t="s">
        <v>698</v>
      </c>
      <c r="B1149" s="657" t="s">
        <v>3068</v>
      </c>
      <c r="C1149" s="658" t="s">
        <v>3095</v>
      </c>
      <c r="D1149" s="485"/>
      <c r="E1149" s="659"/>
      <c r="F1149" s="659"/>
      <c r="G1149" s="659"/>
      <c r="H1149" s="659"/>
      <c r="I1149" s="659"/>
      <c r="J1149" s="659" t="s">
        <v>794</v>
      </c>
      <c r="K1149" s="659" t="s">
        <v>794</v>
      </c>
      <c r="L1149" s="659" t="s">
        <v>794</v>
      </c>
      <c r="M1149" s="659"/>
      <c r="N1149" s="659"/>
      <c r="O1149" s="659"/>
      <c r="P1149" s="659"/>
      <c r="Q1149" s="659" t="s">
        <v>3102</v>
      </c>
      <c r="R1149" s="660"/>
      <c r="S1149" s="656"/>
      <c r="T1149" s="661">
        <v>43843</v>
      </c>
      <c r="U1149" s="660"/>
      <c r="V1149" s="659"/>
      <c r="W1149" s="486"/>
    </row>
    <row r="1150" spans="1:23" ht="14.25" customHeight="1">
      <c r="A1150" s="668" t="s">
        <v>698</v>
      </c>
      <c r="B1150" s="657" t="s">
        <v>3068</v>
      </c>
      <c r="C1150" s="658" t="s">
        <v>3069</v>
      </c>
      <c r="D1150" s="485"/>
      <c r="E1150" s="659"/>
      <c r="F1150" s="659"/>
      <c r="G1150" s="659"/>
      <c r="H1150" s="659"/>
      <c r="I1150" s="659"/>
      <c r="J1150" s="659" t="s">
        <v>794</v>
      </c>
      <c r="K1150" s="659" t="s">
        <v>794</v>
      </c>
      <c r="L1150" s="659" t="s">
        <v>794</v>
      </c>
      <c r="M1150" s="659"/>
      <c r="N1150" s="659"/>
      <c r="O1150" s="659"/>
      <c r="P1150" s="659"/>
      <c r="Q1150" s="659" t="s">
        <v>3102</v>
      </c>
      <c r="R1150" s="660"/>
      <c r="S1150" s="656"/>
      <c r="T1150" s="661">
        <v>43843</v>
      </c>
      <c r="U1150" s="660"/>
      <c r="V1150" s="659"/>
      <c r="W1150" s="486"/>
    </row>
    <row r="1151" spans="1:23" ht="14.25" customHeight="1">
      <c r="A1151" s="668" t="s">
        <v>698</v>
      </c>
      <c r="B1151" s="657" t="s">
        <v>3068</v>
      </c>
      <c r="C1151" s="658" t="s">
        <v>3075</v>
      </c>
      <c r="D1151" s="485"/>
      <c r="E1151" s="659"/>
      <c r="F1151" s="659"/>
      <c r="G1151" s="659"/>
      <c r="H1151" s="659"/>
      <c r="I1151" s="659"/>
      <c r="J1151" s="659" t="s">
        <v>794</v>
      </c>
      <c r="K1151" s="659" t="s">
        <v>794</v>
      </c>
      <c r="L1151" s="659" t="s">
        <v>794</v>
      </c>
      <c r="M1151" s="659"/>
      <c r="N1151" s="659"/>
      <c r="O1151" s="659"/>
      <c r="P1151" s="659"/>
      <c r="Q1151" s="659" t="s">
        <v>3102</v>
      </c>
      <c r="R1151" s="660"/>
      <c r="S1151" s="656"/>
      <c r="T1151" s="661">
        <v>43843</v>
      </c>
      <c r="U1151" s="660"/>
      <c r="V1151" s="659"/>
      <c r="W1151" s="486"/>
    </row>
    <row r="1152" spans="1:23" ht="14.25" customHeight="1">
      <c r="A1152" s="668" t="s">
        <v>698</v>
      </c>
      <c r="B1152" s="657" t="s">
        <v>3068</v>
      </c>
      <c r="C1152" s="658" t="s">
        <v>3091</v>
      </c>
      <c r="D1152" s="485"/>
      <c r="E1152" s="659"/>
      <c r="F1152" s="659"/>
      <c r="G1152" s="659"/>
      <c r="H1152" s="659"/>
      <c r="I1152" s="659"/>
      <c r="J1152" s="659" t="s">
        <v>794</v>
      </c>
      <c r="K1152" s="659" t="s">
        <v>794</v>
      </c>
      <c r="L1152" s="659" t="s">
        <v>794</v>
      </c>
      <c r="M1152" s="659"/>
      <c r="N1152" s="659"/>
      <c r="O1152" s="659"/>
      <c r="P1152" s="659"/>
      <c r="Q1152" s="659" t="s">
        <v>3102</v>
      </c>
      <c r="R1152" s="660"/>
      <c r="S1152" s="656"/>
      <c r="T1152" s="661">
        <v>43843</v>
      </c>
      <c r="U1152" s="660"/>
      <c r="V1152" s="659"/>
      <c r="W1152" s="486"/>
    </row>
    <row r="1153" spans="1:23" ht="14.25" customHeight="1">
      <c r="A1153" s="668" t="s">
        <v>698</v>
      </c>
      <c r="B1153" s="657" t="s">
        <v>3068</v>
      </c>
      <c r="C1153" s="658" t="s">
        <v>3074</v>
      </c>
      <c r="D1153" s="485"/>
      <c r="E1153" s="659"/>
      <c r="F1153" s="659"/>
      <c r="G1153" s="659"/>
      <c r="H1153" s="659"/>
      <c r="I1153" s="659"/>
      <c r="J1153" s="659" t="s">
        <v>794</v>
      </c>
      <c r="K1153" s="659" t="s">
        <v>794</v>
      </c>
      <c r="L1153" s="659" t="s">
        <v>794</v>
      </c>
      <c r="M1153" s="659"/>
      <c r="N1153" s="659"/>
      <c r="O1153" s="659"/>
      <c r="P1153" s="659"/>
      <c r="Q1153" s="659" t="s">
        <v>3102</v>
      </c>
      <c r="R1153" s="660"/>
      <c r="S1153" s="656"/>
      <c r="T1153" s="661">
        <v>43843</v>
      </c>
      <c r="U1153" s="660"/>
      <c r="V1153" s="659"/>
      <c r="W1153" s="486"/>
    </row>
    <row r="1154" spans="1:23" ht="14.25" customHeight="1">
      <c r="A1154" s="668" t="s">
        <v>698</v>
      </c>
      <c r="B1154" s="657" t="s">
        <v>3068</v>
      </c>
      <c r="C1154" s="658" t="s">
        <v>3080</v>
      </c>
      <c r="D1154" s="485"/>
      <c r="E1154" s="659"/>
      <c r="F1154" s="659"/>
      <c r="G1154" s="659"/>
      <c r="H1154" s="659"/>
      <c r="I1154" s="659"/>
      <c r="J1154" s="659" t="s">
        <v>794</v>
      </c>
      <c r="K1154" s="659" t="s">
        <v>794</v>
      </c>
      <c r="L1154" s="659" t="s">
        <v>794</v>
      </c>
      <c r="M1154" s="659"/>
      <c r="N1154" s="659"/>
      <c r="O1154" s="659"/>
      <c r="P1154" s="659"/>
      <c r="Q1154" s="659" t="s">
        <v>3102</v>
      </c>
      <c r="R1154" s="660"/>
      <c r="S1154" s="656"/>
      <c r="T1154" s="661">
        <v>43843</v>
      </c>
      <c r="U1154" s="660"/>
      <c r="V1154" s="659"/>
      <c r="W1154" s="486"/>
    </row>
    <row r="1155" spans="1:23" ht="14.25" customHeight="1">
      <c r="A1155" s="668" t="s">
        <v>698</v>
      </c>
      <c r="B1155" s="657" t="s">
        <v>3068</v>
      </c>
      <c r="C1155" s="658" t="s">
        <v>3078</v>
      </c>
      <c r="D1155" s="485"/>
      <c r="E1155" s="659"/>
      <c r="F1155" s="659"/>
      <c r="G1155" s="659"/>
      <c r="H1155" s="659"/>
      <c r="I1155" s="659"/>
      <c r="J1155" s="659" t="s">
        <v>794</v>
      </c>
      <c r="K1155" s="659" t="s">
        <v>794</v>
      </c>
      <c r="L1155" s="659" t="s">
        <v>794</v>
      </c>
      <c r="M1155" s="659"/>
      <c r="N1155" s="659"/>
      <c r="O1155" s="659"/>
      <c r="P1155" s="659"/>
      <c r="Q1155" s="659" t="s">
        <v>3102</v>
      </c>
      <c r="R1155" s="660"/>
      <c r="S1155" s="656"/>
      <c r="T1155" s="661">
        <v>43843</v>
      </c>
      <c r="U1155" s="660"/>
      <c r="V1155" s="659"/>
      <c r="W1155" s="486"/>
    </row>
    <row r="1156" spans="1:23" ht="14.25" customHeight="1">
      <c r="A1156" s="656" t="s">
        <v>698</v>
      </c>
      <c r="B1156" s="657" t="s">
        <v>3068</v>
      </c>
      <c r="C1156" s="658" t="s">
        <v>3071</v>
      </c>
      <c r="D1156" s="485"/>
      <c r="E1156" s="659"/>
      <c r="F1156" s="659"/>
      <c r="G1156" s="659"/>
      <c r="H1156" s="659"/>
      <c r="I1156" s="659"/>
      <c r="J1156" s="659" t="s">
        <v>794</v>
      </c>
      <c r="K1156" s="659" t="s">
        <v>794</v>
      </c>
      <c r="L1156" s="659" t="s">
        <v>794</v>
      </c>
      <c r="M1156" s="659"/>
      <c r="N1156" s="659"/>
      <c r="O1156" s="659"/>
      <c r="P1156" s="659"/>
      <c r="Q1156" s="659" t="s">
        <v>3102</v>
      </c>
      <c r="R1156" s="660"/>
      <c r="S1156" s="656"/>
      <c r="T1156" s="661">
        <v>43843</v>
      </c>
      <c r="U1156" s="660"/>
      <c r="V1156" s="659"/>
      <c r="W1156" s="486"/>
    </row>
    <row r="1157" spans="1:23" ht="14.25" customHeight="1">
      <c r="A1157" s="656" t="s">
        <v>698</v>
      </c>
      <c r="B1157" s="657" t="s">
        <v>3068</v>
      </c>
      <c r="C1157" s="658" t="s">
        <v>3097</v>
      </c>
      <c r="D1157" s="485"/>
      <c r="E1157" s="659"/>
      <c r="F1157" s="659"/>
      <c r="G1157" s="659"/>
      <c r="H1157" s="659"/>
      <c r="I1157" s="659"/>
      <c r="J1157" s="659" t="s">
        <v>794</v>
      </c>
      <c r="K1157" s="659" t="s">
        <v>794</v>
      </c>
      <c r="L1157" s="659" t="s">
        <v>794</v>
      </c>
      <c r="M1157" s="659"/>
      <c r="N1157" s="659"/>
      <c r="O1157" s="659"/>
      <c r="P1157" s="659"/>
      <c r="Q1157" s="659" t="s">
        <v>3102</v>
      </c>
      <c r="R1157" s="660"/>
      <c r="S1157" s="656"/>
      <c r="T1157" s="661">
        <v>43843</v>
      </c>
      <c r="U1157" s="660"/>
      <c r="V1157" s="659"/>
      <c r="W1157" s="486"/>
    </row>
    <row r="1158" spans="1:23" ht="14.25" customHeight="1">
      <c r="A1158" s="656" t="s">
        <v>698</v>
      </c>
      <c r="B1158" s="657" t="s">
        <v>3068</v>
      </c>
      <c r="C1158" s="658" t="s">
        <v>3089</v>
      </c>
      <c r="D1158" s="485"/>
      <c r="E1158" s="659"/>
      <c r="F1158" s="659"/>
      <c r="G1158" s="659"/>
      <c r="H1158" s="659"/>
      <c r="I1158" s="659"/>
      <c r="J1158" s="659" t="s">
        <v>794</v>
      </c>
      <c r="K1158" s="659" t="s">
        <v>794</v>
      </c>
      <c r="L1158" s="659" t="s">
        <v>794</v>
      </c>
      <c r="M1158" s="659"/>
      <c r="N1158" s="659"/>
      <c r="O1158" s="659"/>
      <c r="P1158" s="659"/>
      <c r="Q1158" s="659" t="s">
        <v>3102</v>
      </c>
      <c r="R1158" s="660"/>
      <c r="S1158" s="656"/>
      <c r="T1158" s="661">
        <v>43843</v>
      </c>
      <c r="U1158" s="660"/>
      <c r="V1158" s="659"/>
      <c r="W1158" s="486"/>
    </row>
    <row r="1159" spans="1:23" ht="14.25" customHeight="1">
      <c r="A1159" s="656" t="s">
        <v>698</v>
      </c>
      <c r="B1159" s="657" t="s">
        <v>3068</v>
      </c>
      <c r="C1159" s="658" t="s">
        <v>3090</v>
      </c>
      <c r="D1159" s="485"/>
      <c r="E1159" s="659"/>
      <c r="F1159" s="670"/>
      <c r="G1159" s="659"/>
      <c r="H1159" s="659"/>
      <c r="I1159" s="659"/>
      <c r="J1159" s="659" t="s">
        <v>794</v>
      </c>
      <c r="K1159" s="659" t="s">
        <v>794</v>
      </c>
      <c r="L1159" s="659" t="s">
        <v>794</v>
      </c>
      <c r="M1159" s="659"/>
      <c r="N1159" s="659"/>
      <c r="O1159" s="659"/>
      <c r="P1159" s="659"/>
      <c r="Q1159" s="659" t="s">
        <v>3102</v>
      </c>
      <c r="R1159" s="660"/>
      <c r="S1159" s="656"/>
      <c r="T1159" s="661">
        <v>43843</v>
      </c>
      <c r="U1159" s="660"/>
      <c r="V1159" s="659"/>
      <c r="W1159" s="486"/>
    </row>
    <row r="1160" spans="1:23" ht="14.25" customHeight="1">
      <c r="A1160" s="656" t="s">
        <v>698</v>
      </c>
      <c r="B1160" s="657" t="s">
        <v>3068</v>
      </c>
      <c r="C1160" s="658" t="s">
        <v>3070</v>
      </c>
      <c r="D1160" s="485"/>
      <c r="E1160" s="659"/>
      <c r="F1160" s="659"/>
      <c r="G1160" s="659"/>
      <c r="H1160" s="659"/>
      <c r="I1160" s="659"/>
      <c r="J1160" s="659" t="s">
        <v>794</v>
      </c>
      <c r="K1160" s="659" t="s">
        <v>794</v>
      </c>
      <c r="L1160" s="659" t="s">
        <v>794</v>
      </c>
      <c r="M1160" s="659"/>
      <c r="N1160" s="659"/>
      <c r="O1160" s="659"/>
      <c r="P1160" s="659"/>
      <c r="Q1160" s="659" t="s">
        <v>3102</v>
      </c>
      <c r="R1160" s="660"/>
      <c r="S1160" s="656"/>
      <c r="T1160" s="661">
        <v>43843</v>
      </c>
      <c r="U1160" s="660"/>
      <c r="V1160" s="659"/>
      <c r="W1160" s="486"/>
    </row>
    <row r="1161" spans="1:23" ht="14.25" customHeight="1">
      <c r="A1161" s="656" t="s">
        <v>698</v>
      </c>
      <c r="B1161" s="657" t="s">
        <v>3068</v>
      </c>
      <c r="C1161" s="658" t="s">
        <v>3084</v>
      </c>
      <c r="D1161" s="485"/>
      <c r="E1161" s="659"/>
      <c r="F1161" s="659"/>
      <c r="G1161" s="659"/>
      <c r="H1161" s="659"/>
      <c r="I1161" s="659"/>
      <c r="J1161" s="659" t="s">
        <v>794</v>
      </c>
      <c r="K1161" s="659" t="s">
        <v>794</v>
      </c>
      <c r="L1161" s="659" t="s">
        <v>794</v>
      </c>
      <c r="M1161" s="659"/>
      <c r="N1161" s="659"/>
      <c r="O1161" s="659"/>
      <c r="P1161" s="659"/>
      <c r="Q1161" s="659" t="s">
        <v>3102</v>
      </c>
      <c r="R1161" s="660"/>
      <c r="S1161" s="656"/>
      <c r="T1161" s="661">
        <v>43843</v>
      </c>
      <c r="U1161" s="660"/>
      <c r="V1161" s="670"/>
      <c r="W1161" s="486"/>
    </row>
    <row r="1162" spans="1:23" ht="14.25" customHeight="1">
      <c r="A1162" s="656" t="s">
        <v>698</v>
      </c>
      <c r="B1162" s="657" t="s">
        <v>3068</v>
      </c>
      <c r="C1162" s="658" t="s">
        <v>3083</v>
      </c>
      <c r="D1162" s="485"/>
      <c r="E1162" s="659"/>
      <c r="F1162" s="659"/>
      <c r="G1162" s="659"/>
      <c r="H1162" s="659"/>
      <c r="I1162" s="659"/>
      <c r="J1162" s="659" t="s">
        <v>794</v>
      </c>
      <c r="K1162" s="659" t="s">
        <v>794</v>
      </c>
      <c r="L1162" s="659" t="s">
        <v>794</v>
      </c>
      <c r="M1162" s="659"/>
      <c r="N1162" s="659"/>
      <c r="O1162" s="659"/>
      <c r="P1162" s="659"/>
      <c r="Q1162" s="659" t="s">
        <v>3102</v>
      </c>
      <c r="R1162" s="660"/>
      <c r="S1162" s="656"/>
      <c r="T1162" s="661">
        <v>43843</v>
      </c>
      <c r="U1162" s="660"/>
      <c r="V1162" s="659"/>
      <c r="W1162" s="486"/>
    </row>
    <row r="1163" spans="1:23" ht="14.25" customHeight="1">
      <c r="A1163" s="656" t="s">
        <v>698</v>
      </c>
      <c r="B1163" s="657" t="s">
        <v>3068</v>
      </c>
      <c r="C1163" s="658" t="s">
        <v>3085</v>
      </c>
      <c r="D1163" s="485"/>
      <c r="E1163" s="659"/>
      <c r="F1163" s="659"/>
      <c r="G1163" s="659"/>
      <c r="H1163" s="659"/>
      <c r="I1163" s="659"/>
      <c r="J1163" s="659" t="s">
        <v>794</v>
      </c>
      <c r="K1163" s="659" t="s">
        <v>794</v>
      </c>
      <c r="L1163" s="659" t="s">
        <v>794</v>
      </c>
      <c r="M1163" s="659"/>
      <c r="N1163" s="659"/>
      <c r="O1163" s="659"/>
      <c r="P1163" s="659"/>
      <c r="Q1163" s="659" t="s">
        <v>3102</v>
      </c>
      <c r="R1163" s="660"/>
      <c r="S1163" s="656"/>
      <c r="T1163" s="661">
        <v>43843</v>
      </c>
      <c r="U1163" s="660"/>
      <c r="V1163" s="659"/>
      <c r="W1163" s="486"/>
    </row>
    <row r="1164" spans="1:23" ht="14.25" customHeight="1">
      <c r="A1164" s="656" t="s">
        <v>698</v>
      </c>
      <c r="B1164" s="657" t="s">
        <v>3068</v>
      </c>
      <c r="C1164" s="658" t="s">
        <v>3088</v>
      </c>
      <c r="D1164" s="485"/>
      <c r="E1164" s="659"/>
      <c r="F1164" s="670"/>
      <c r="G1164" s="659"/>
      <c r="H1164" s="659"/>
      <c r="I1164" s="659"/>
      <c r="J1164" s="659" t="s">
        <v>794</v>
      </c>
      <c r="K1164" s="659" t="s">
        <v>794</v>
      </c>
      <c r="L1164" s="659" t="s">
        <v>794</v>
      </c>
      <c r="M1164" s="659"/>
      <c r="N1164" s="659"/>
      <c r="O1164" s="659"/>
      <c r="P1164" s="659"/>
      <c r="Q1164" s="659" t="s">
        <v>3102</v>
      </c>
      <c r="R1164" s="660"/>
      <c r="S1164" s="656"/>
      <c r="T1164" s="661">
        <v>43843</v>
      </c>
      <c r="U1164" s="660"/>
      <c r="V1164" s="659"/>
      <c r="W1164" s="486"/>
    </row>
    <row r="1165" spans="1:23" ht="14.25" customHeight="1">
      <c r="A1165" s="656" t="s">
        <v>698</v>
      </c>
      <c r="B1165" s="657" t="s">
        <v>3068</v>
      </c>
      <c r="C1165" s="658" t="s">
        <v>3086</v>
      </c>
      <c r="D1165" s="485"/>
      <c r="E1165" s="659"/>
      <c r="F1165" s="659"/>
      <c r="G1165" s="659"/>
      <c r="H1165" s="659"/>
      <c r="I1165" s="659"/>
      <c r="J1165" s="659" t="s">
        <v>794</v>
      </c>
      <c r="K1165" s="659" t="s">
        <v>794</v>
      </c>
      <c r="L1165" s="659" t="s">
        <v>794</v>
      </c>
      <c r="M1165" s="659"/>
      <c r="N1165" s="659"/>
      <c r="O1165" s="659"/>
      <c r="P1165" s="659"/>
      <c r="Q1165" s="659" t="s">
        <v>3102</v>
      </c>
      <c r="R1165" s="660"/>
      <c r="S1165" s="656"/>
      <c r="T1165" s="661">
        <v>43843</v>
      </c>
      <c r="U1165" s="660"/>
      <c r="V1165" s="659"/>
      <c r="W1165" s="486"/>
    </row>
    <row r="1166" spans="1:23" ht="14.25" customHeight="1">
      <c r="A1166" s="656" t="s">
        <v>698</v>
      </c>
      <c r="B1166" s="657" t="s">
        <v>3068</v>
      </c>
      <c r="C1166" s="658" t="s">
        <v>3072</v>
      </c>
      <c r="D1166" s="485"/>
      <c r="E1166" s="659"/>
      <c r="F1166" s="659"/>
      <c r="G1166" s="659"/>
      <c r="H1166" s="659"/>
      <c r="I1166" s="659"/>
      <c r="J1166" s="659" t="s">
        <v>794</v>
      </c>
      <c r="K1166" s="659" t="s">
        <v>794</v>
      </c>
      <c r="L1166" s="659" t="s">
        <v>794</v>
      </c>
      <c r="M1166" s="659"/>
      <c r="N1166" s="659"/>
      <c r="O1166" s="659"/>
      <c r="P1166" s="659"/>
      <c r="Q1166" s="659" t="s">
        <v>3102</v>
      </c>
      <c r="R1166" s="660"/>
      <c r="S1166" s="656"/>
      <c r="T1166" s="661">
        <v>43843</v>
      </c>
      <c r="U1166" s="660"/>
      <c r="V1166" s="670"/>
      <c r="W1166" s="486"/>
    </row>
    <row r="1167" spans="1:23" ht="14.25" customHeight="1">
      <c r="A1167" s="656" t="s">
        <v>698</v>
      </c>
      <c r="B1167" s="657" t="s">
        <v>3068</v>
      </c>
      <c r="C1167" s="658" t="s">
        <v>3082</v>
      </c>
      <c r="D1167" s="485"/>
      <c r="E1167" s="659"/>
      <c r="F1167" s="670"/>
      <c r="G1167" s="659"/>
      <c r="H1167" s="659"/>
      <c r="I1167" s="659"/>
      <c r="J1167" s="659" t="s">
        <v>794</v>
      </c>
      <c r="K1167" s="659" t="s">
        <v>794</v>
      </c>
      <c r="L1167" s="659" t="s">
        <v>794</v>
      </c>
      <c r="M1167" s="659"/>
      <c r="N1167" s="659"/>
      <c r="O1167" s="659"/>
      <c r="P1167" s="659"/>
      <c r="Q1167" s="659" t="s">
        <v>3102</v>
      </c>
      <c r="R1167" s="660"/>
      <c r="S1167" s="656"/>
      <c r="T1167" s="661">
        <v>43843</v>
      </c>
      <c r="U1167" s="660"/>
      <c r="V1167" s="659"/>
      <c r="W1167" s="486"/>
    </row>
    <row r="1168" spans="1:23" ht="14.25" customHeight="1">
      <c r="A1168" s="656" t="s">
        <v>698</v>
      </c>
      <c r="B1168" s="657" t="s">
        <v>3068</v>
      </c>
      <c r="C1168" s="658" t="s">
        <v>3099</v>
      </c>
      <c r="D1168" s="485"/>
      <c r="E1168" s="659"/>
      <c r="F1168" s="659"/>
      <c r="G1168" s="659"/>
      <c r="H1168" s="659"/>
      <c r="I1168" s="659"/>
      <c r="J1168" s="659" t="s">
        <v>794</v>
      </c>
      <c r="K1168" s="659" t="s">
        <v>794</v>
      </c>
      <c r="L1168" s="659" t="s">
        <v>794</v>
      </c>
      <c r="M1168" s="659"/>
      <c r="N1168" s="659"/>
      <c r="O1168" s="659"/>
      <c r="P1168" s="659"/>
      <c r="Q1168" s="659" t="s">
        <v>3102</v>
      </c>
      <c r="R1168" s="660"/>
      <c r="S1168" s="656"/>
      <c r="T1168" s="661">
        <v>43843</v>
      </c>
      <c r="U1168" s="660"/>
      <c r="V1168" s="659"/>
      <c r="W1168" s="486"/>
    </row>
    <row r="1169" spans="1:23" ht="14.25" customHeight="1">
      <c r="A1169" s="656" t="s">
        <v>698</v>
      </c>
      <c r="B1169" s="657" t="s">
        <v>3068</v>
      </c>
      <c r="C1169" s="658" t="s">
        <v>3101</v>
      </c>
      <c r="D1169" s="485"/>
      <c r="E1169" s="659"/>
      <c r="F1169" s="659"/>
      <c r="G1169" s="659"/>
      <c r="H1169" s="659"/>
      <c r="I1169" s="659"/>
      <c r="J1169" s="659" t="s">
        <v>794</v>
      </c>
      <c r="K1169" s="659" t="s">
        <v>794</v>
      </c>
      <c r="L1169" s="659" t="s">
        <v>794</v>
      </c>
      <c r="M1169" s="659"/>
      <c r="N1169" s="659"/>
      <c r="O1169" s="659"/>
      <c r="P1169" s="659"/>
      <c r="Q1169" s="659" t="s">
        <v>3102</v>
      </c>
      <c r="R1169" s="660"/>
      <c r="S1169" s="656"/>
      <c r="T1169" s="661">
        <v>43843</v>
      </c>
      <c r="U1169" s="660"/>
      <c r="V1169" s="670"/>
      <c r="W1169" s="486"/>
    </row>
    <row r="1170" spans="1:23" ht="14.25" customHeight="1">
      <c r="A1170" s="656" t="s">
        <v>698</v>
      </c>
      <c r="B1170" s="657" t="s">
        <v>3068</v>
      </c>
      <c r="C1170" s="658" t="s">
        <v>3098</v>
      </c>
      <c r="D1170" s="485"/>
      <c r="E1170" s="659"/>
      <c r="F1170" s="659"/>
      <c r="G1170" s="659"/>
      <c r="H1170" s="659"/>
      <c r="I1170" s="659"/>
      <c r="J1170" s="659" t="s">
        <v>794</v>
      </c>
      <c r="K1170" s="659" t="s">
        <v>794</v>
      </c>
      <c r="L1170" s="659" t="s">
        <v>794</v>
      </c>
      <c r="M1170" s="659"/>
      <c r="N1170" s="659"/>
      <c r="O1170" s="659"/>
      <c r="P1170" s="659"/>
      <c r="Q1170" s="659" t="s">
        <v>3102</v>
      </c>
      <c r="R1170" s="660"/>
      <c r="S1170" s="656"/>
      <c r="T1170" s="661">
        <v>43843</v>
      </c>
      <c r="U1170" s="660"/>
      <c r="V1170" s="659"/>
      <c r="W1170" s="486"/>
    </row>
    <row r="1171" spans="1:23" ht="14.25" customHeight="1">
      <c r="A1171" s="656" t="s">
        <v>698</v>
      </c>
      <c r="B1171" s="657" t="s">
        <v>3068</v>
      </c>
      <c r="C1171" s="658" t="s">
        <v>3073</v>
      </c>
      <c r="D1171" s="485"/>
      <c r="E1171" s="659"/>
      <c r="F1171" s="659"/>
      <c r="G1171" s="659"/>
      <c r="H1171" s="659"/>
      <c r="I1171" s="659"/>
      <c r="J1171" s="659" t="s">
        <v>794</v>
      </c>
      <c r="K1171" s="659" t="s">
        <v>794</v>
      </c>
      <c r="L1171" s="659" t="s">
        <v>794</v>
      </c>
      <c r="M1171" s="659"/>
      <c r="N1171" s="659"/>
      <c r="O1171" s="659"/>
      <c r="P1171" s="659"/>
      <c r="Q1171" s="659" t="s">
        <v>3102</v>
      </c>
      <c r="R1171" s="660"/>
      <c r="S1171" s="656"/>
      <c r="T1171" s="661">
        <v>43843</v>
      </c>
      <c r="U1171" s="660"/>
      <c r="V1171" s="659"/>
      <c r="W1171" s="486"/>
    </row>
    <row r="1172" spans="1:23" ht="14.25" customHeight="1">
      <c r="A1172" s="491" t="s">
        <v>698</v>
      </c>
      <c r="B1172" s="514" t="s">
        <v>702</v>
      </c>
      <c r="C1172" s="452" t="s">
        <v>2233</v>
      </c>
      <c r="D1172" s="431" t="s">
        <v>2817</v>
      </c>
      <c r="E1172" s="482" t="s">
        <v>2234</v>
      </c>
      <c r="F1172" s="482" t="s">
        <v>2235</v>
      </c>
      <c r="G1172" s="482" t="s">
        <v>2235</v>
      </c>
      <c r="H1172" s="482"/>
      <c r="I1172" s="484" t="s">
        <v>2116</v>
      </c>
      <c r="J1172" s="482" t="s">
        <v>42</v>
      </c>
      <c r="K1172" s="482" t="s">
        <v>42</v>
      </c>
      <c r="L1172" s="482" t="s">
        <v>772</v>
      </c>
      <c r="M1172" s="482" t="s">
        <v>43</v>
      </c>
      <c r="N1172" s="482">
        <v>0</v>
      </c>
      <c r="O1172" s="482">
        <v>0</v>
      </c>
      <c r="P1172" s="482" t="s">
        <v>757</v>
      </c>
      <c r="Q1172" s="482" t="s">
        <v>2236</v>
      </c>
      <c r="R1172" s="486">
        <v>86</v>
      </c>
      <c r="S1172" s="486">
        <v>525</v>
      </c>
      <c r="T1172" s="506">
        <v>43405</v>
      </c>
      <c r="U1172" s="488" t="s">
        <v>2237</v>
      </c>
      <c r="V1172" s="482" t="s">
        <v>2233</v>
      </c>
      <c r="W1172" s="392" t="s">
        <v>2238</v>
      </c>
    </row>
    <row r="1173" spans="1:23" ht="14.25" customHeight="1">
      <c r="A1173" s="491" t="s">
        <v>698</v>
      </c>
      <c r="B1173" s="514" t="s">
        <v>702</v>
      </c>
      <c r="C1173" s="452" t="s">
        <v>2239</v>
      </c>
      <c r="D1173" s="431" t="s">
        <v>2817</v>
      </c>
      <c r="E1173" s="482" t="s">
        <v>2240</v>
      </c>
      <c r="F1173" s="482" t="s">
        <v>2241</v>
      </c>
      <c r="G1173" s="482"/>
      <c r="H1173" s="482" t="s">
        <v>40</v>
      </c>
      <c r="I1173" s="482" t="s">
        <v>1331</v>
      </c>
      <c r="J1173" s="482" t="s">
        <v>42</v>
      </c>
      <c r="K1173" s="482" t="s">
        <v>42</v>
      </c>
      <c r="L1173" s="482" t="s">
        <v>42</v>
      </c>
      <c r="M1173" s="482" t="s">
        <v>43</v>
      </c>
      <c r="N1173" s="482">
        <v>0</v>
      </c>
      <c r="O1173" s="482">
        <v>0</v>
      </c>
      <c r="P1173" s="482" t="s">
        <v>757</v>
      </c>
      <c r="Q1173" s="482" t="s">
        <v>2236</v>
      </c>
      <c r="R1173" s="486">
        <v>32</v>
      </c>
      <c r="S1173" s="486">
        <v>150</v>
      </c>
      <c r="T1173" s="506"/>
      <c r="U1173" s="488" t="s">
        <v>2242</v>
      </c>
      <c r="V1173" s="482" t="s">
        <v>2239</v>
      </c>
      <c r="W1173" s="392" t="s">
        <v>2245</v>
      </c>
    </row>
    <row r="1174" spans="1:23" ht="14.25" customHeight="1">
      <c r="A1174" s="491" t="s">
        <v>698</v>
      </c>
      <c r="B1174" s="514" t="s">
        <v>702</v>
      </c>
      <c r="C1174" s="452" t="s">
        <v>723</v>
      </c>
      <c r="D1174" s="485" t="s">
        <v>1657</v>
      </c>
      <c r="E1174" s="482" t="s">
        <v>1429</v>
      </c>
      <c r="F1174" s="482" t="s">
        <v>1669</v>
      </c>
      <c r="G1174" s="482" t="s">
        <v>1670</v>
      </c>
      <c r="H1174" s="482" t="s">
        <v>40</v>
      </c>
      <c r="I1174" s="482" t="s">
        <v>131</v>
      </c>
      <c r="J1174" s="482" t="s">
        <v>42</v>
      </c>
      <c r="K1174" s="482" t="s">
        <v>964</v>
      </c>
      <c r="L1174" s="482" t="s">
        <v>756</v>
      </c>
      <c r="M1174" s="482" t="s">
        <v>43</v>
      </c>
      <c r="N1174" s="482">
        <v>23.4008</v>
      </c>
      <c r="O1174" s="482">
        <v>97.848529999999997</v>
      </c>
      <c r="P1174" s="482" t="s">
        <v>757</v>
      </c>
      <c r="Q1174" s="482" t="s">
        <v>776</v>
      </c>
      <c r="R1174" s="494"/>
      <c r="S1174" s="487"/>
      <c r="T1174" s="506">
        <v>43049</v>
      </c>
      <c r="U1174" s="488" t="s">
        <v>966</v>
      </c>
      <c r="V1174" s="482" t="s">
        <v>723</v>
      </c>
      <c r="W1174" s="392" t="s">
        <v>2171</v>
      </c>
    </row>
    <row r="1175" spans="1:23" ht="14.25" customHeight="1">
      <c r="A1175" s="491" t="s">
        <v>698</v>
      </c>
      <c r="B1175" s="514" t="s">
        <v>702</v>
      </c>
      <c r="C1175" s="452" t="s">
        <v>1100</v>
      </c>
      <c r="D1175" s="485" t="s">
        <v>1656</v>
      </c>
      <c r="E1175" s="482"/>
      <c r="F1175" s="482"/>
      <c r="G1175" s="482"/>
      <c r="H1175" s="482"/>
      <c r="I1175" s="482"/>
      <c r="J1175" s="482" t="s">
        <v>1460</v>
      </c>
      <c r="K1175" s="482" t="s">
        <v>42</v>
      </c>
      <c r="L1175" s="482" t="s">
        <v>1095</v>
      </c>
      <c r="M1175" s="482" t="s">
        <v>43</v>
      </c>
      <c r="N1175" s="482"/>
      <c r="O1175" s="482"/>
      <c r="P1175" s="482" t="s">
        <v>757</v>
      </c>
      <c r="Q1175" s="482" t="s">
        <v>776</v>
      </c>
      <c r="R1175" s="494"/>
      <c r="S1175" s="487"/>
      <c r="T1175" s="506"/>
      <c r="U1175" s="488" t="s">
        <v>1091</v>
      </c>
      <c r="V1175" s="482" t="s">
        <v>1100</v>
      </c>
      <c r="W1175" s="486"/>
    </row>
    <row r="1176" spans="1:23" ht="14.25" customHeight="1">
      <c r="A1176" s="491" t="s">
        <v>698</v>
      </c>
      <c r="B1176" s="514" t="s">
        <v>702</v>
      </c>
      <c r="C1176" s="452" t="s">
        <v>724</v>
      </c>
      <c r="D1176" s="431" t="s">
        <v>2817</v>
      </c>
      <c r="E1176" s="482" t="s">
        <v>1431</v>
      </c>
      <c r="F1176" s="482" t="s">
        <v>1762</v>
      </c>
      <c r="G1176" s="482" t="s">
        <v>1763</v>
      </c>
      <c r="H1176" s="482" t="s">
        <v>40</v>
      </c>
      <c r="I1176" s="482" t="s">
        <v>2662</v>
      </c>
      <c r="J1176" s="482" t="s">
        <v>42</v>
      </c>
      <c r="K1176" s="482" t="s">
        <v>42</v>
      </c>
      <c r="L1176" s="482" t="s">
        <v>42</v>
      </c>
      <c r="M1176" s="482" t="s">
        <v>43</v>
      </c>
      <c r="N1176" s="482">
        <v>23.450914000000001</v>
      </c>
      <c r="O1176" s="482">
        <v>97.926813999999993</v>
      </c>
      <c r="P1176" s="482" t="s">
        <v>757</v>
      </c>
      <c r="Q1176" s="482" t="s">
        <v>776</v>
      </c>
      <c r="R1176" s="486">
        <v>53</v>
      </c>
      <c r="S1176" s="486">
        <v>261</v>
      </c>
      <c r="T1176" s="506"/>
      <c r="U1176" s="488"/>
      <c r="V1176" s="482" t="s">
        <v>724</v>
      </c>
      <c r="W1176" s="392" t="s">
        <v>2172</v>
      </c>
    </row>
    <row r="1177" spans="1:23" ht="14.25" customHeight="1">
      <c r="A1177" s="491" t="s">
        <v>698</v>
      </c>
      <c r="B1177" s="514" t="s">
        <v>702</v>
      </c>
      <c r="C1177" s="452" t="s">
        <v>729</v>
      </c>
      <c r="D1177" s="431" t="s">
        <v>2817</v>
      </c>
      <c r="E1177" s="482" t="s">
        <v>1432</v>
      </c>
      <c r="F1177" s="482" t="s">
        <v>1762</v>
      </c>
      <c r="G1177" s="482" t="s">
        <v>1661</v>
      </c>
      <c r="H1177" s="482" t="s">
        <v>40</v>
      </c>
      <c r="I1177" s="482" t="s">
        <v>2662</v>
      </c>
      <c r="J1177" s="482" t="s">
        <v>42</v>
      </c>
      <c r="K1177" s="482" t="s">
        <v>42</v>
      </c>
      <c r="L1177" s="482" t="s">
        <v>42</v>
      </c>
      <c r="M1177" s="482" t="s">
        <v>43</v>
      </c>
      <c r="N1177" s="482">
        <v>23.460349999999998</v>
      </c>
      <c r="O1177" s="482">
        <v>97.947360000000003</v>
      </c>
      <c r="P1177" s="482" t="s">
        <v>757</v>
      </c>
      <c r="Q1177" s="482" t="s">
        <v>758</v>
      </c>
      <c r="R1177" s="486">
        <v>37</v>
      </c>
      <c r="S1177" s="486">
        <v>150</v>
      </c>
      <c r="T1177" s="506">
        <v>42836</v>
      </c>
      <c r="U1177" s="488" t="s">
        <v>967</v>
      </c>
      <c r="V1177" s="482"/>
      <c r="W1177" s="392" t="s">
        <v>2173</v>
      </c>
    </row>
    <row r="1178" spans="1:23" ht="14.25" customHeight="1">
      <c r="A1178" s="491" t="s">
        <v>698</v>
      </c>
      <c r="B1178" s="514" t="s">
        <v>702</v>
      </c>
      <c r="C1178" s="452" t="s">
        <v>703</v>
      </c>
      <c r="D1178" s="431" t="s">
        <v>2817</v>
      </c>
      <c r="E1178" s="482" t="s">
        <v>1433</v>
      </c>
      <c r="F1178" s="482" t="s">
        <v>1762</v>
      </c>
      <c r="G1178" s="482" t="s">
        <v>1764</v>
      </c>
      <c r="H1178" s="482" t="s">
        <v>40</v>
      </c>
      <c r="I1178" s="482" t="s">
        <v>1331</v>
      </c>
      <c r="J1178" s="482" t="s">
        <v>42</v>
      </c>
      <c r="K1178" s="482" t="s">
        <v>42</v>
      </c>
      <c r="L1178" s="482" t="s">
        <v>42</v>
      </c>
      <c r="M1178" s="482" t="s">
        <v>43</v>
      </c>
      <c r="N1178" s="482">
        <v>23.460349999999998</v>
      </c>
      <c r="O1178" s="482">
        <v>97.947360000000003</v>
      </c>
      <c r="P1178" s="482" t="s">
        <v>757</v>
      </c>
      <c r="Q1178" s="482" t="s">
        <v>776</v>
      </c>
      <c r="R1178" s="486">
        <v>28</v>
      </c>
      <c r="S1178" s="486">
        <v>135</v>
      </c>
      <c r="T1178" s="506"/>
      <c r="U1178" s="488"/>
      <c r="V1178" s="482" t="s">
        <v>703</v>
      </c>
      <c r="W1178" s="392" t="s">
        <v>2174</v>
      </c>
    </row>
    <row r="1179" spans="1:23" ht="14.25" customHeight="1">
      <c r="A1179" s="491" t="s">
        <v>698</v>
      </c>
      <c r="B1179" s="514" t="s">
        <v>702</v>
      </c>
      <c r="C1179" s="452" t="s">
        <v>748</v>
      </c>
      <c r="D1179" s="485" t="s">
        <v>1656</v>
      </c>
      <c r="E1179" s="482"/>
      <c r="F1179" s="482"/>
      <c r="G1179" s="482"/>
      <c r="H1179" s="482"/>
      <c r="I1179" s="482"/>
      <c r="J1179" s="482" t="s">
        <v>1460</v>
      </c>
      <c r="K1179" s="482" t="s">
        <v>42</v>
      </c>
      <c r="L1179" s="482" t="s">
        <v>42</v>
      </c>
      <c r="M1179" s="482" t="s">
        <v>43</v>
      </c>
      <c r="N1179" s="482"/>
      <c r="O1179" s="482"/>
      <c r="P1179" s="482" t="s">
        <v>757</v>
      </c>
      <c r="Q1179" s="482" t="s">
        <v>776</v>
      </c>
      <c r="R1179" s="494"/>
      <c r="S1179" s="487"/>
      <c r="T1179" s="506">
        <v>42747</v>
      </c>
      <c r="U1179" s="488"/>
      <c r="V1179" s="482"/>
      <c r="W1179" s="486"/>
    </row>
    <row r="1180" spans="1:23" ht="14.25" customHeight="1">
      <c r="A1180" s="491" t="s">
        <v>698</v>
      </c>
      <c r="B1180" s="514" t="s">
        <v>702</v>
      </c>
      <c r="C1180" s="452" t="s">
        <v>2113</v>
      </c>
      <c r="D1180" s="431" t="s">
        <v>2817</v>
      </c>
      <c r="E1180" s="482" t="s">
        <v>1436</v>
      </c>
      <c r="F1180" s="482" t="s">
        <v>1767</v>
      </c>
      <c r="G1180" s="482" t="s">
        <v>1767</v>
      </c>
      <c r="H1180" s="482" t="s">
        <v>40</v>
      </c>
      <c r="I1180" s="482" t="s">
        <v>1331</v>
      </c>
      <c r="J1180" s="482" t="s">
        <v>42</v>
      </c>
      <c r="K1180" s="482" t="s">
        <v>42</v>
      </c>
      <c r="L1180" s="482" t="s">
        <v>42</v>
      </c>
      <c r="M1180" s="482" t="s">
        <v>43</v>
      </c>
      <c r="N1180" s="482">
        <v>23.591999999999999</v>
      </c>
      <c r="O1180" s="482">
        <v>97.796999999999997</v>
      </c>
      <c r="P1180" s="482" t="s">
        <v>757</v>
      </c>
      <c r="Q1180" s="482" t="s">
        <v>776</v>
      </c>
      <c r="R1180" s="486">
        <v>66</v>
      </c>
      <c r="S1180" s="486">
        <v>346</v>
      </c>
      <c r="T1180" s="506" t="s">
        <v>801</v>
      </c>
      <c r="U1180" s="488"/>
      <c r="V1180" s="482"/>
      <c r="W1180" s="392" t="s">
        <v>2175</v>
      </c>
    </row>
    <row r="1181" spans="1:23" ht="14.25" customHeight="1">
      <c r="A1181" s="491" t="s">
        <v>698</v>
      </c>
      <c r="B1181" s="514" t="s">
        <v>702</v>
      </c>
      <c r="C1181" s="452" t="s">
        <v>737</v>
      </c>
      <c r="D1181" s="431" t="s">
        <v>2817</v>
      </c>
      <c r="E1181" s="482" t="s">
        <v>1622</v>
      </c>
      <c r="F1181" s="482" t="s">
        <v>1850</v>
      </c>
      <c r="G1181" s="482" t="s">
        <v>737</v>
      </c>
      <c r="H1181" s="482"/>
      <c r="I1181" s="484" t="s">
        <v>2116</v>
      </c>
      <c r="J1181" s="482" t="s">
        <v>42</v>
      </c>
      <c r="K1181" s="482" t="s">
        <v>42</v>
      </c>
      <c r="L1181" s="482" t="s">
        <v>772</v>
      </c>
      <c r="M1181" s="482" t="s">
        <v>43</v>
      </c>
      <c r="N1181" s="482">
        <v>0</v>
      </c>
      <c r="O1181" s="482">
        <v>0</v>
      </c>
      <c r="P1181" s="482" t="s">
        <v>757</v>
      </c>
      <c r="Q1181" s="482" t="s">
        <v>798</v>
      </c>
      <c r="R1181" s="486">
        <v>24</v>
      </c>
      <c r="S1181" s="486">
        <v>84</v>
      </c>
      <c r="T1181" s="506" t="s">
        <v>1079</v>
      </c>
      <c r="U1181" s="488"/>
      <c r="V1181" s="482"/>
      <c r="W1181" s="392" t="s">
        <v>2176</v>
      </c>
    </row>
    <row r="1182" spans="1:23" ht="14.25" customHeight="1">
      <c r="A1182" s="491" t="s">
        <v>698</v>
      </c>
      <c r="B1182" s="514" t="s">
        <v>702</v>
      </c>
      <c r="C1182" s="452" t="s">
        <v>2114</v>
      </c>
      <c r="D1182" s="431" t="s">
        <v>2817</v>
      </c>
      <c r="E1182" s="482" t="s">
        <v>1435</v>
      </c>
      <c r="F1182" s="482" t="s">
        <v>1767</v>
      </c>
      <c r="G1182" s="482" t="s">
        <v>1767</v>
      </c>
      <c r="H1182" s="482" t="s">
        <v>40</v>
      </c>
      <c r="I1182" s="482" t="s">
        <v>1331</v>
      </c>
      <c r="J1182" s="482" t="s">
        <v>42</v>
      </c>
      <c r="K1182" s="482" t="s">
        <v>964</v>
      </c>
      <c r="L1182" s="482" t="s">
        <v>42</v>
      </c>
      <c r="M1182" s="482" t="s">
        <v>43</v>
      </c>
      <c r="N1182" s="482">
        <v>23.588920000000002</v>
      </c>
      <c r="O1182" s="482">
        <v>97.793019999999999</v>
      </c>
      <c r="P1182" s="482" t="s">
        <v>757</v>
      </c>
      <c r="Q1182" s="482" t="s">
        <v>776</v>
      </c>
      <c r="R1182" s="486">
        <v>76</v>
      </c>
      <c r="S1182" s="486">
        <v>344</v>
      </c>
      <c r="T1182" s="506"/>
      <c r="U1182" s="488"/>
      <c r="V1182" s="482" t="s">
        <v>732</v>
      </c>
      <c r="W1182" s="392" t="s">
        <v>2177</v>
      </c>
    </row>
    <row r="1183" spans="1:23" ht="14.25" customHeight="1">
      <c r="A1183" s="491" t="s">
        <v>698</v>
      </c>
      <c r="B1183" s="514" t="s">
        <v>702</v>
      </c>
      <c r="C1183" s="452" t="s">
        <v>1112</v>
      </c>
      <c r="D1183" s="485" t="s">
        <v>1656</v>
      </c>
      <c r="E1183" s="482"/>
      <c r="F1183" s="482"/>
      <c r="G1183" s="482"/>
      <c r="H1183" s="482"/>
      <c r="I1183" s="482"/>
      <c r="J1183" s="482" t="s">
        <v>1460</v>
      </c>
      <c r="K1183" s="482" t="s">
        <v>42</v>
      </c>
      <c r="L1183" s="482" t="s">
        <v>42</v>
      </c>
      <c r="M1183" s="482" t="s">
        <v>43</v>
      </c>
      <c r="N1183" s="482"/>
      <c r="O1183" s="482"/>
      <c r="P1183" s="482" t="s">
        <v>757</v>
      </c>
      <c r="Q1183" s="482" t="s">
        <v>776</v>
      </c>
      <c r="R1183" s="494"/>
      <c r="S1183" s="487"/>
      <c r="T1183" s="506"/>
      <c r="U1183" s="488" t="s">
        <v>1091</v>
      </c>
      <c r="V1183" s="482"/>
      <c r="W1183" s="486"/>
    </row>
    <row r="1184" spans="1:23" ht="14.25" customHeight="1">
      <c r="A1184" s="491" t="s">
        <v>698</v>
      </c>
      <c r="B1184" s="514" t="s">
        <v>702</v>
      </c>
      <c r="C1184" s="452" t="s">
        <v>728</v>
      </c>
      <c r="D1184" s="431" t="s">
        <v>2817</v>
      </c>
      <c r="E1184" s="482" t="s">
        <v>1453</v>
      </c>
      <c r="F1184" s="482" t="s">
        <v>1771</v>
      </c>
      <c r="G1184" s="482" t="s">
        <v>1772</v>
      </c>
      <c r="H1184" s="482"/>
      <c r="I1184" s="484" t="s">
        <v>2116</v>
      </c>
      <c r="J1184" s="482" t="s">
        <v>42</v>
      </c>
      <c r="K1184" s="482" t="s">
        <v>42</v>
      </c>
      <c r="L1184" s="482" t="s">
        <v>772</v>
      </c>
      <c r="M1184" s="482" t="s">
        <v>43</v>
      </c>
      <c r="N1184" s="482">
        <v>23.850999999999999</v>
      </c>
      <c r="O1184" s="482">
        <v>98.337999999999994</v>
      </c>
      <c r="P1184" s="482" t="s">
        <v>757</v>
      </c>
      <c r="Q1184" s="482" t="s">
        <v>758</v>
      </c>
      <c r="R1184" s="486">
        <v>30</v>
      </c>
      <c r="S1184" s="486">
        <v>170</v>
      </c>
      <c r="T1184" s="506"/>
      <c r="U1184" s="488" t="s">
        <v>978</v>
      </c>
      <c r="V1184" s="482"/>
      <c r="W1184" s="392" t="s">
        <v>2178</v>
      </c>
    </row>
    <row r="1185" spans="1:23" ht="14.25" customHeight="1">
      <c r="A1185" s="491" t="s">
        <v>698</v>
      </c>
      <c r="B1185" s="514" t="s">
        <v>702</v>
      </c>
      <c r="C1185" s="452" t="s">
        <v>711</v>
      </c>
      <c r="D1185" s="431" t="s">
        <v>2817</v>
      </c>
      <c r="E1185" s="482" t="s">
        <v>1428</v>
      </c>
      <c r="F1185" s="482"/>
      <c r="G1185" s="482"/>
      <c r="H1185" s="482" t="s">
        <v>40</v>
      </c>
      <c r="I1185" s="482" t="s">
        <v>2662</v>
      </c>
      <c r="J1185" s="482" t="s">
        <v>42</v>
      </c>
      <c r="K1185" s="482" t="s">
        <v>964</v>
      </c>
      <c r="L1185" s="482" t="s">
        <v>42</v>
      </c>
      <c r="M1185" s="482" t="s">
        <v>43</v>
      </c>
      <c r="N1185" s="482">
        <v>23.400155999999999</v>
      </c>
      <c r="O1185" s="482">
        <v>98.220614999999995</v>
      </c>
      <c r="P1185" s="482" t="s">
        <v>757</v>
      </c>
      <c r="Q1185" s="482" t="s">
        <v>776</v>
      </c>
      <c r="R1185" s="486">
        <v>38</v>
      </c>
      <c r="S1185" s="486">
        <v>208</v>
      </c>
      <c r="T1185" s="506"/>
      <c r="U1185" s="488"/>
      <c r="V1185" s="482" t="s">
        <v>965</v>
      </c>
      <c r="W1185" s="392" t="s">
        <v>2179</v>
      </c>
    </row>
    <row r="1186" spans="1:23" ht="14.25" customHeight="1">
      <c r="A1186" s="491" t="s">
        <v>698</v>
      </c>
      <c r="B1186" s="514" t="s">
        <v>702</v>
      </c>
      <c r="C1186" s="452" t="s">
        <v>707</v>
      </c>
      <c r="D1186" s="431" t="s">
        <v>2817</v>
      </c>
      <c r="E1186" s="482" t="s">
        <v>1434</v>
      </c>
      <c r="F1186" s="482" t="s">
        <v>1765</v>
      </c>
      <c r="G1186" s="482" t="s">
        <v>1766</v>
      </c>
      <c r="H1186" s="482" t="s">
        <v>40</v>
      </c>
      <c r="I1186" s="482" t="s">
        <v>1331</v>
      </c>
      <c r="J1186" s="482" t="s">
        <v>42</v>
      </c>
      <c r="K1186" s="482" t="s">
        <v>42</v>
      </c>
      <c r="L1186" s="482" t="s">
        <v>42</v>
      </c>
      <c r="M1186" s="482" t="s">
        <v>43</v>
      </c>
      <c r="N1186" s="482">
        <v>23.463000000000001</v>
      </c>
      <c r="O1186" s="482">
        <v>98.248999999999995</v>
      </c>
      <c r="P1186" s="482" t="s">
        <v>757</v>
      </c>
      <c r="Q1186" s="482" t="s">
        <v>776</v>
      </c>
      <c r="R1186" s="486">
        <v>19</v>
      </c>
      <c r="S1186" s="486">
        <v>89</v>
      </c>
      <c r="T1186" s="506"/>
      <c r="U1186" s="488"/>
      <c r="V1186" s="482" t="s">
        <v>968</v>
      </c>
      <c r="W1186" s="392" t="s">
        <v>2180</v>
      </c>
    </row>
    <row r="1187" spans="1:23" ht="14.25" customHeight="1">
      <c r="A1187" s="491" t="s">
        <v>698</v>
      </c>
      <c r="B1187" s="514" t="s">
        <v>702</v>
      </c>
      <c r="C1187" s="452" t="s">
        <v>1116</v>
      </c>
      <c r="D1187" s="485" t="s">
        <v>1656</v>
      </c>
      <c r="E1187" s="482"/>
      <c r="F1187" s="482"/>
      <c r="G1187" s="482"/>
      <c r="H1187" s="482"/>
      <c r="I1187" s="482"/>
      <c r="J1187" s="482" t="s">
        <v>1460</v>
      </c>
      <c r="K1187" s="482" t="s">
        <v>42</v>
      </c>
      <c r="L1187" s="482" t="s">
        <v>1095</v>
      </c>
      <c r="M1187" s="482" t="s">
        <v>43</v>
      </c>
      <c r="N1187" s="482"/>
      <c r="O1187" s="482"/>
      <c r="P1187" s="482" t="s">
        <v>757</v>
      </c>
      <c r="Q1187" s="482" t="s">
        <v>776</v>
      </c>
      <c r="R1187" s="494"/>
      <c r="S1187" s="487"/>
      <c r="T1187" s="506"/>
      <c r="U1187" s="488" t="s">
        <v>1091</v>
      </c>
      <c r="V1187" s="482" t="s">
        <v>1117</v>
      </c>
      <c r="W1187" s="486"/>
    </row>
    <row r="1188" spans="1:23" ht="14.25" customHeight="1">
      <c r="A1188" s="491" t="s">
        <v>698</v>
      </c>
      <c r="B1188" s="514" t="s">
        <v>702</v>
      </c>
      <c r="C1188" s="452" t="s">
        <v>714</v>
      </c>
      <c r="D1188" s="431" t="s">
        <v>2817</v>
      </c>
      <c r="E1188" s="482" t="s">
        <v>1440</v>
      </c>
      <c r="F1188" s="482" t="s">
        <v>1768</v>
      </c>
      <c r="G1188" s="482" t="s">
        <v>1769</v>
      </c>
      <c r="H1188" s="482" t="s">
        <v>40</v>
      </c>
      <c r="I1188" s="482" t="s">
        <v>2662</v>
      </c>
      <c r="J1188" s="482" t="s">
        <v>42</v>
      </c>
      <c r="K1188" s="482" t="s">
        <v>42</v>
      </c>
      <c r="L1188" s="482" t="s">
        <v>42</v>
      </c>
      <c r="M1188" s="482" t="s">
        <v>43</v>
      </c>
      <c r="N1188" s="482">
        <v>23.694130000000001</v>
      </c>
      <c r="O1188" s="482">
        <v>97.818979999999996</v>
      </c>
      <c r="P1188" s="482" t="s">
        <v>757</v>
      </c>
      <c r="Q1188" s="482" t="s">
        <v>776</v>
      </c>
      <c r="R1188" s="486">
        <v>56</v>
      </c>
      <c r="S1188" s="486">
        <v>263</v>
      </c>
      <c r="T1188" s="506"/>
      <c r="U1188" s="488"/>
      <c r="V1188" s="482" t="s">
        <v>714</v>
      </c>
      <c r="W1188" s="392" t="s">
        <v>2181</v>
      </c>
    </row>
    <row r="1189" spans="1:23" ht="14.25" customHeight="1">
      <c r="A1189" s="491" t="s">
        <v>698</v>
      </c>
      <c r="B1189" s="514" t="s">
        <v>702</v>
      </c>
      <c r="C1189" s="452" t="s">
        <v>2115</v>
      </c>
      <c r="D1189" s="431" t="s">
        <v>2817</v>
      </c>
      <c r="E1189" s="482" t="s">
        <v>1439</v>
      </c>
      <c r="F1189" s="482"/>
      <c r="G1189" s="482"/>
      <c r="H1189" s="482" t="s">
        <v>40</v>
      </c>
      <c r="I1189" s="482" t="s">
        <v>1331</v>
      </c>
      <c r="J1189" s="482" t="s">
        <v>42</v>
      </c>
      <c r="K1189" s="482" t="s">
        <v>42</v>
      </c>
      <c r="L1189" s="482" t="s">
        <v>42</v>
      </c>
      <c r="M1189" s="482" t="s">
        <v>43</v>
      </c>
      <c r="N1189" s="482">
        <v>23.682887999999998</v>
      </c>
      <c r="O1189" s="482">
        <v>97.810101000000003</v>
      </c>
      <c r="P1189" s="482" t="s">
        <v>757</v>
      </c>
      <c r="Q1189" s="482" t="s">
        <v>776</v>
      </c>
      <c r="R1189" s="486">
        <v>36</v>
      </c>
      <c r="S1189" s="486">
        <v>120</v>
      </c>
      <c r="T1189" s="506" t="s">
        <v>801</v>
      </c>
      <c r="U1189" s="488"/>
      <c r="V1189" s="482"/>
      <c r="W1189" s="392" t="s">
        <v>2182</v>
      </c>
    </row>
    <row r="1190" spans="1:23" ht="14.25" customHeight="1">
      <c r="A1190" s="491" t="s">
        <v>698</v>
      </c>
      <c r="B1190" s="514" t="s">
        <v>702</v>
      </c>
      <c r="C1190" s="452" t="s">
        <v>725</v>
      </c>
      <c r="D1190" s="431" t="s">
        <v>2817</v>
      </c>
      <c r="E1190" s="482" t="s">
        <v>1430</v>
      </c>
      <c r="F1190" s="482" t="s">
        <v>1669</v>
      </c>
      <c r="G1190" s="482">
        <v>0</v>
      </c>
      <c r="H1190" s="482" t="s">
        <v>40</v>
      </c>
      <c r="I1190" s="482" t="s">
        <v>1331</v>
      </c>
      <c r="J1190" s="482" t="s">
        <v>42</v>
      </c>
      <c r="K1190" s="482" t="s">
        <v>964</v>
      </c>
      <c r="L1190" s="482" t="s">
        <v>42</v>
      </c>
      <c r="M1190" s="482" t="s">
        <v>43</v>
      </c>
      <c r="N1190" s="482">
        <v>23.447111</v>
      </c>
      <c r="O1190" s="482">
        <v>97.868876999999998</v>
      </c>
      <c r="P1190" s="482" t="s">
        <v>757</v>
      </c>
      <c r="Q1190" s="482" t="s">
        <v>758</v>
      </c>
      <c r="R1190" s="486">
        <v>105</v>
      </c>
      <c r="S1190" s="486">
        <v>642</v>
      </c>
      <c r="T1190" s="506"/>
      <c r="U1190" s="488"/>
      <c r="V1190" s="482"/>
      <c r="W1190" s="392" t="s">
        <v>2183</v>
      </c>
    </row>
    <row r="1191" spans="1:23" ht="14.25" customHeight="1">
      <c r="A1191" s="491" t="s">
        <v>698</v>
      </c>
      <c r="B1191" s="514" t="s">
        <v>702</v>
      </c>
      <c r="C1191" s="452" t="s">
        <v>745</v>
      </c>
      <c r="D1191" s="431" t="s">
        <v>2817</v>
      </c>
      <c r="E1191" s="482" t="s">
        <v>1896</v>
      </c>
      <c r="F1191" s="482" t="s">
        <v>745</v>
      </c>
      <c r="G1191" s="482" t="s">
        <v>745</v>
      </c>
      <c r="H1191" s="482" t="s">
        <v>40</v>
      </c>
      <c r="I1191" s="482" t="s">
        <v>1331</v>
      </c>
      <c r="J1191" s="482" t="s">
        <v>42</v>
      </c>
      <c r="K1191" s="482" t="s">
        <v>42</v>
      </c>
      <c r="L1191" s="482" t="s">
        <v>42</v>
      </c>
      <c r="M1191" s="482" t="s">
        <v>43</v>
      </c>
      <c r="N1191" s="482">
        <v>0</v>
      </c>
      <c r="O1191" s="482">
        <v>0</v>
      </c>
      <c r="P1191" s="482" t="s">
        <v>757</v>
      </c>
      <c r="Q1191" s="482"/>
      <c r="R1191" s="486">
        <v>36</v>
      </c>
      <c r="S1191" s="486">
        <v>192</v>
      </c>
      <c r="T1191" s="506"/>
      <c r="U1191" s="488" t="s">
        <v>1149</v>
      </c>
      <c r="V1191" s="482"/>
      <c r="W1191" s="392" t="s">
        <v>2184</v>
      </c>
    </row>
    <row r="1192" spans="1:23" ht="14.25" customHeight="1">
      <c r="A1192" s="491" t="s">
        <v>698</v>
      </c>
      <c r="B1192" s="514" t="s">
        <v>702</v>
      </c>
      <c r="C1192" s="452" t="s">
        <v>721</v>
      </c>
      <c r="D1192" s="431" t="s">
        <v>2817</v>
      </c>
      <c r="E1192" s="482" t="s">
        <v>1427</v>
      </c>
      <c r="F1192" s="482" t="s">
        <v>1669</v>
      </c>
      <c r="G1192" s="482" t="s">
        <v>1670</v>
      </c>
      <c r="H1192" s="482" t="s">
        <v>40</v>
      </c>
      <c r="I1192" s="482" t="s">
        <v>2662</v>
      </c>
      <c r="J1192" s="482" t="s">
        <v>42</v>
      </c>
      <c r="K1192" s="482" t="s">
        <v>964</v>
      </c>
      <c r="L1192" s="482" t="s">
        <v>42</v>
      </c>
      <c r="M1192" s="482" t="s">
        <v>43</v>
      </c>
      <c r="N1192" s="482">
        <v>23.38503</v>
      </c>
      <c r="O1192" s="482">
        <v>97.837040000000002</v>
      </c>
      <c r="P1192" s="482" t="s">
        <v>757</v>
      </c>
      <c r="Q1192" s="482" t="s">
        <v>776</v>
      </c>
      <c r="R1192" s="486">
        <v>205</v>
      </c>
      <c r="S1192" s="486">
        <v>1053</v>
      </c>
      <c r="T1192" s="506"/>
      <c r="U1192" s="488"/>
      <c r="V1192" s="482" t="s">
        <v>721</v>
      </c>
      <c r="W1192" s="392" t="s">
        <v>2185</v>
      </c>
    </row>
    <row r="1193" spans="1:23" ht="14.25" customHeight="1">
      <c r="A1193" s="491" t="s">
        <v>698</v>
      </c>
      <c r="B1193" s="514" t="s">
        <v>1253</v>
      </c>
      <c r="C1193" s="452" t="s">
        <v>2820</v>
      </c>
      <c r="D1193" s="485"/>
      <c r="E1193" s="482"/>
      <c r="F1193" s="482"/>
      <c r="G1193" s="482"/>
      <c r="H1193" s="482"/>
      <c r="I1193" s="482"/>
      <c r="J1193" s="482" t="s">
        <v>1460</v>
      </c>
      <c r="K1193" s="482" t="s">
        <v>42</v>
      </c>
      <c r="L1193" s="482" t="s">
        <v>772</v>
      </c>
      <c r="M1193" s="482" t="s">
        <v>43</v>
      </c>
      <c r="N1193" s="482"/>
      <c r="O1193" s="482"/>
      <c r="P1193" s="482" t="s">
        <v>757</v>
      </c>
      <c r="Q1193" s="482" t="s">
        <v>2821</v>
      </c>
      <c r="R1193" s="494"/>
      <c r="S1193" s="487"/>
      <c r="T1193" s="506"/>
      <c r="U1193" s="488"/>
      <c r="V1193" s="482"/>
      <c r="W1193" s="486"/>
    </row>
    <row r="1194" spans="1:23" ht="14.25" customHeight="1">
      <c r="A1194" s="491" t="s">
        <v>698</v>
      </c>
      <c r="B1194" s="514" t="s">
        <v>1253</v>
      </c>
      <c r="C1194" s="452" t="s">
        <v>1313</v>
      </c>
      <c r="D1194" s="485" t="s">
        <v>1876</v>
      </c>
      <c r="E1194" s="482"/>
      <c r="F1194" s="482" t="s">
        <v>1877</v>
      </c>
      <c r="G1194" s="482"/>
      <c r="H1194" s="482"/>
      <c r="I1194" s="482"/>
      <c r="J1194" s="482" t="s">
        <v>1460</v>
      </c>
      <c r="K1194" s="482"/>
      <c r="L1194" s="482"/>
      <c r="M1194" s="482"/>
      <c r="N1194" s="482"/>
      <c r="O1194" s="482"/>
      <c r="P1194" s="482" t="s">
        <v>757</v>
      </c>
      <c r="Q1194" s="482"/>
      <c r="R1194" s="494"/>
      <c r="S1194" s="487"/>
      <c r="T1194" s="506"/>
      <c r="U1194" s="488"/>
      <c r="V1194" s="482"/>
      <c r="W1194" s="486"/>
    </row>
    <row r="1195" spans="1:23" ht="14.25" customHeight="1">
      <c r="A1195" s="491" t="s">
        <v>698</v>
      </c>
      <c r="B1195" s="514" t="s">
        <v>1253</v>
      </c>
      <c r="C1195" s="452" t="s">
        <v>2822</v>
      </c>
      <c r="D1195" s="485"/>
      <c r="E1195" s="482"/>
      <c r="F1195" s="482"/>
      <c r="G1195" s="482"/>
      <c r="H1195" s="482"/>
      <c r="I1195" s="482"/>
      <c r="J1195" s="482" t="s">
        <v>1460</v>
      </c>
      <c r="K1195" s="482" t="s">
        <v>42</v>
      </c>
      <c r="L1195" s="482" t="s">
        <v>772</v>
      </c>
      <c r="M1195" s="482" t="s">
        <v>43</v>
      </c>
      <c r="N1195" s="482"/>
      <c r="O1195" s="482"/>
      <c r="P1195" s="482" t="s">
        <v>757</v>
      </c>
      <c r="Q1195" s="482" t="s">
        <v>2821</v>
      </c>
      <c r="R1195" s="494"/>
      <c r="S1195" s="487"/>
      <c r="T1195" s="506">
        <v>43633</v>
      </c>
      <c r="U1195" s="488"/>
      <c r="V1195" s="482"/>
      <c r="W1195" s="486"/>
    </row>
    <row r="1196" spans="1:23" ht="14.25" customHeight="1">
      <c r="A1196" s="491" t="s">
        <v>698</v>
      </c>
      <c r="B1196" s="514" t="s">
        <v>1253</v>
      </c>
      <c r="C1196" s="452" t="s">
        <v>2435</v>
      </c>
      <c r="D1196" s="485"/>
      <c r="E1196" s="482"/>
      <c r="F1196" s="482"/>
      <c r="G1196" s="482"/>
      <c r="H1196" s="482"/>
      <c r="I1196" s="482"/>
      <c r="J1196" s="482" t="s">
        <v>2652</v>
      </c>
      <c r="K1196" s="482" t="s">
        <v>2622</v>
      </c>
      <c r="L1196" s="482" t="s">
        <v>2622</v>
      </c>
      <c r="M1196" s="482" t="s">
        <v>43</v>
      </c>
      <c r="N1196" s="482"/>
      <c r="O1196" s="482"/>
      <c r="P1196" s="482" t="s">
        <v>1972</v>
      </c>
      <c r="Q1196" s="482"/>
      <c r="R1196" s="494"/>
      <c r="S1196" s="487"/>
      <c r="T1196" s="506"/>
      <c r="U1196" s="488"/>
      <c r="V1196" s="482"/>
      <c r="W1196" s="392"/>
    </row>
    <row r="1197" spans="1:23" ht="14.25" customHeight="1">
      <c r="A1197" s="656" t="s">
        <v>698</v>
      </c>
      <c r="B1197" s="657" t="s">
        <v>1255</v>
      </c>
      <c r="C1197" s="658" t="s">
        <v>3103</v>
      </c>
      <c r="D1197" s="485"/>
      <c r="E1197" s="659"/>
      <c r="F1197" s="659"/>
      <c r="G1197" s="659"/>
      <c r="H1197" s="659"/>
      <c r="I1197" s="659"/>
      <c r="J1197" s="659" t="s">
        <v>794</v>
      </c>
      <c r="K1197" s="659" t="s">
        <v>794</v>
      </c>
      <c r="L1197" s="659" t="s">
        <v>794</v>
      </c>
      <c r="M1197" s="659"/>
      <c r="N1197" s="659"/>
      <c r="O1197" s="659"/>
      <c r="P1197" s="659"/>
      <c r="Q1197" s="659" t="s">
        <v>3102</v>
      </c>
      <c r="R1197" s="660"/>
      <c r="S1197" s="656"/>
      <c r="T1197" s="661">
        <v>43843</v>
      </c>
      <c r="U1197" s="660"/>
      <c r="V1197" s="659"/>
      <c r="W1197" s="486"/>
    </row>
    <row r="1198" spans="1:23" ht="14.25" customHeight="1">
      <c r="A1198" s="656" t="s">
        <v>698</v>
      </c>
      <c r="B1198" s="657" t="s">
        <v>1255</v>
      </c>
      <c r="C1198" s="658" t="s">
        <v>3104</v>
      </c>
      <c r="D1198" s="485"/>
      <c r="E1198" s="659"/>
      <c r="F1198" s="659"/>
      <c r="G1198" s="659"/>
      <c r="H1198" s="659"/>
      <c r="I1198" s="659"/>
      <c r="J1198" s="659" t="s">
        <v>794</v>
      </c>
      <c r="K1198" s="659" t="s">
        <v>794</v>
      </c>
      <c r="L1198" s="659" t="s">
        <v>794</v>
      </c>
      <c r="M1198" s="659"/>
      <c r="N1198" s="659"/>
      <c r="O1198" s="659"/>
      <c r="P1198" s="659"/>
      <c r="Q1198" s="659" t="s">
        <v>3102</v>
      </c>
      <c r="R1198" s="660"/>
      <c r="S1198" s="656"/>
      <c r="T1198" s="661">
        <v>43843</v>
      </c>
      <c r="U1198" s="660"/>
      <c r="V1198" s="659"/>
      <c r="W1198" s="486"/>
    </row>
    <row r="1199" spans="1:23" ht="14.25" customHeight="1">
      <c r="A1199" s="656" t="s">
        <v>698</v>
      </c>
      <c r="B1199" s="657" t="s">
        <v>1255</v>
      </c>
      <c r="C1199" s="658" t="s">
        <v>3105</v>
      </c>
      <c r="D1199" s="485"/>
      <c r="E1199" s="659"/>
      <c r="F1199" s="659"/>
      <c r="G1199" s="659"/>
      <c r="H1199" s="659"/>
      <c r="I1199" s="659"/>
      <c r="J1199" s="659" t="s">
        <v>794</v>
      </c>
      <c r="K1199" s="659" t="s">
        <v>794</v>
      </c>
      <c r="L1199" s="659" t="s">
        <v>794</v>
      </c>
      <c r="M1199" s="659"/>
      <c r="N1199" s="659"/>
      <c r="O1199" s="659"/>
      <c r="P1199" s="659"/>
      <c r="Q1199" s="659" t="s">
        <v>3102</v>
      </c>
      <c r="R1199" s="660"/>
      <c r="S1199" s="656"/>
      <c r="T1199" s="661">
        <v>43843</v>
      </c>
      <c r="U1199" s="660"/>
      <c r="V1199" s="659"/>
      <c r="W1199" s="486"/>
    </row>
    <row r="1200" spans="1:23" ht="14.25" customHeight="1">
      <c r="A1200" s="656" t="s">
        <v>698</v>
      </c>
      <c r="B1200" s="657" t="s">
        <v>1255</v>
      </c>
      <c r="C1200" s="658" t="s">
        <v>3106</v>
      </c>
      <c r="D1200" s="485"/>
      <c r="E1200" s="659"/>
      <c r="F1200" s="659"/>
      <c r="G1200" s="659"/>
      <c r="H1200" s="659"/>
      <c r="I1200" s="659"/>
      <c r="J1200" s="659" t="s">
        <v>794</v>
      </c>
      <c r="K1200" s="659" t="s">
        <v>794</v>
      </c>
      <c r="L1200" s="659" t="s">
        <v>794</v>
      </c>
      <c r="M1200" s="659"/>
      <c r="N1200" s="659"/>
      <c r="O1200" s="659"/>
      <c r="P1200" s="659"/>
      <c r="Q1200" s="659" t="s">
        <v>3102</v>
      </c>
      <c r="R1200" s="660"/>
      <c r="S1200" s="656"/>
      <c r="T1200" s="661">
        <v>43843</v>
      </c>
      <c r="U1200" s="660"/>
      <c r="V1200" s="659"/>
      <c r="W1200" s="486"/>
    </row>
    <row r="1201" spans="1:23" ht="14.25" customHeight="1">
      <c r="A1201" s="491" t="s">
        <v>698</v>
      </c>
      <c r="B1201" s="514" t="s">
        <v>705</v>
      </c>
      <c r="C1201" s="452" t="s">
        <v>1080</v>
      </c>
      <c r="D1201" s="431" t="s">
        <v>1656</v>
      </c>
      <c r="E1201" s="482"/>
      <c r="F1201" s="482"/>
      <c r="G1201" s="482"/>
      <c r="H1201" s="482"/>
      <c r="I1201" s="482"/>
      <c r="J1201" s="482" t="s">
        <v>794</v>
      </c>
      <c r="K1201" s="482" t="s">
        <v>794</v>
      </c>
      <c r="L1201" s="482" t="s">
        <v>794</v>
      </c>
      <c r="M1201" s="482"/>
      <c r="N1201" s="482"/>
      <c r="O1201" s="482"/>
      <c r="P1201" s="482" t="s">
        <v>795</v>
      </c>
      <c r="Q1201" s="482"/>
      <c r="R1201" s="486"/>
      <c r="S1201" s="486"/>
      <c r="T1201" s="506"/>
      <c r="U1201" s="488"/>
      <c r="V1201" s="482" t="s">
        <v>1081</v>
      </c>
      <c r="W1201" s="392"/>
    </row>
    <row r="1202" spans="1:23" ht="14.25" customHeight="1">
      <c r="A1202" s="491" t="s">
        <v>698</v>
      </c>
      <c r="B1202" s="514" t="s">
        <v>705</v>
      </c>
      <c r="C1202" s="452" t="s">
        <v>743</v>
      </c>
      <c r="D1202" s="431" t="s">
        <v>2243</v>
      </c>
      <c r="E1202" s="482" t="s">
        <v>1332</v>
      </c>
      <c r="F1202" s="482">
        <v>0</v>
      </c>
      <c r="G1202" s="482">
        <v>0</v>
      </c>
      <c r="H1202" s="482"/>
      <c r="I1202" s="482" t="s">
        <v>2116</v>
      </c>
      <c r="J1202" s="482" t="s">
        <v>42</v>
      </c>
      <c r="K1202" s="482" t="s">
        <v>42</v>
      </c>
      <c r="L1202" s="482" t="s">
        <v>756</v>
      </c>
      <c r="M1202" s="482" t="s">
        <v>43</v>
      </c>
      <c r="N1202" s="482"/>
      <c r="O1202" s="482"/>
      <c r="P1202" s="482" t="s">
        <v>757</v>
      </c>
      <c r="Q1202" s="482" t="s">
        <v>758</v>
      </c>
      <c r="R1202" s="486"/>
      <c r="S1202" s="486"/>
      <c r="T1202" s="506"/>
      <c r="U1202" s="488" t="s">
        <v>2665</v>
      </c>
      <c r="V1202" s="482"/>
      <c r="W1202" s="392" t="s">
        <v>2244</v>
      </c>
    </row>
    <row r="1203" spans="1:23" ht="14.25" customHeight="1">
      <c r="A1203" s="491" t="s">
        <v>698</v>
      </c>
      <c r="B1203" s="514" t="s">
        <v>705</v>
      </c>
      <c r="C1203" s="452" t="s">
        <v>731</v>
      </c>
      <c r="D1203" s="485" t="s">
        <v>2817</v>
      </c>
      <c r="E1203" s="482" t="s">
        <v>1423</v>
      </c>
      <c r="F1203" s="482" t="s">
        <v>1686</v>
      </c>
      <c r="G1203" s="482" t="s">
        <v>1706</v>
      </c>
      <c r="H1203" s="482" t="s">
        <v>40</v>
      </c>
      <c r="I1203" s="482" t="s">
        <v>2662</v>
      </c>
      <c r="J1203" s="482" t="s">
        <v>42</v>
      </c>
      <c r="K1203" s="482" t="s">
        <v>42</v>
      </c>
      <c r="L1203" s="482" t="s">
        <v>42</v>
      </c>
      <c r="M1203" s="482" t="s">
        <v>43</v>
      </c>
      <c r="N1203" s="482">
        <v>23.250678000000001</v>
      </c>
      <c r="O1203" s="482">
        <v>97.124403000000001</v>
      </c>
      <c r="P1203" s="482" t="s">
        <v>757</v>
      </c>
      <c r="Q1203" s="482" t="s">
        <v>776</v>
      </c>
      <c r="R1203" s="494">
        <v>29</v>
      </c>
      <c r="S1203" s="487">
        <v>158</v>
      </c>
      <c r="T1203" s="506"/>
      <c r="U1203" s="488"/>
      <c r="V1203" s="482" t="s">
        <v>731</v>
      </c>
      <c r="W1203" s="392" t="s">
        <v>2186</v>
      </c>
    </row>
    <row r="1204" spans="1:23" ht="14.25" customHeight="1">
      <c r="A1204" s="491" t="s">
        <v>698</v>
      </c>
      <c r="B1204" s="514" t="s">
        <v>705</v>
      </c>
      <c r="C1204" s="452" t="s">
        <v>706</v>
      </c>
      <c r="D1204" s="485" t="s">
        <v>2817</v>
      </c>
      <c r="E1204" s="482" t="s">
        <v>1422</v>
      </c>
      <c r="F1204" s="482" t="s">
        <v>1686</v>
      </c>
      <c r="G1204" s="482" t="s">
        <v>1706</v>
      </c>
      <c r="H1204" s="482" t="s">
        <v>40</v>
      </c>
      <c r="I1204" s="482" t="s">
        <v>1331</v>
      </c>
      <c r="J1204" s="482" t="s">
        <v>42</v>
      </c>
      <c r="K1204" s="482" t="s">
        <v>42</v>
      </c>
      <c r="L1204" s="482" t="s">
        <v>42</v>
      </c>
      <c r="M1204" s="482" t="s">
        <v>43</v>
      </c>
      <c r="N1204" s="482">
        <v>23.24661</v>
      </c>
      <c r="O1204" s="482">
        <v>97.116680000000002</v>
      </c>
      <c r="P1204" s="482" t="s">
        <v>757</v>
      </c>
      <c r="Q1204" s="482" t="s">
        <v>776</v>
      </c>
      <c r="R1204" s="494">
        <v>30</v>
      </c>
      <c r="S1204" s="487">
        <v>155</v>
      </c>
      <c r="T1204" s="506"/>
      <c r="U1204" s="488"/>
      <c r="V1204" s="482" t="s">
        <v>706</v>
      </c>
      <c r="W1204" s="392" t="s">
        <v>2187</v>
      </c>
    </row>
    <row r="1205" spans="1:23" ht="14.25" customHeight="1">
      <c r="A1205" s="491" t="s">
        <v>698</v>
      </c>
      <c r="B1205" s="514" t="s">
        <v>708</v>
      </c>
      <c r="C1205" s="452" t="s">
        <v>755</v>
      </c>
      <c r="D1205" s="485" t="s">
        <v>1657</v>
      </c>
      <c r="E1205" s="482" t="s">
        <v>1317</v>
      </c>
      <c r="F1205" s="482" t="s">
        <v>1675</v>
      </c>
      <c r="G1205" s="482" t="s">
        <v>1676</v>
      </c>
      <c r="H1205" s="482"/>
      <c r="I1205" s="482">
        <v>0</v>
      </c>
      <c r="J1205" s="482" t="s">
        <v>42</v>
      </c>
      <c r="K1205" s="482" t="s">
        <v>42</v>
      </c>
      <c r="L1205" s="482" t="s">
        <v>756</v>
      </c>
      <c r="M1205" s="482" t="s">
        <v>43</v>
      </c>
      <c r="N1205" s="482"/>
      <c r="O1205" s="482"/>
      <c r="P1205" s="482" t="s">
        <v>757</v>
      </c>
      <c r="Q1205" s="482" t="s">
        <v>758</v>
      </c>
      <c r="R1205" s="494"/>
      <c r="S1205" s="487"/>
      <c r="T1205" s="506">
        <v>42832</v>
      </c>
      <c r="U1205" s="488"/>
      <c r="V1205" s="482"/>
      <c r="W1205" s="392" t="s">
        <v>2188</v>
      </c>
    </row>
    <row r="1206" spans="1:23" ht="14.25" customHeight="1">
      <c r="A1206" s="491" t="s">
        <v>698</v>
      </c>
      <c r="B1206" s="514" t="s">
        <v>708</v>
      </c>
      <c r="C1206" s="452" t="s">
        <v>759</v>
      </c>
      <c r="D1206" s="485" t="s">
        <v>1657</v>
      </c>
      <c r="E1206" s="482" t="s">
        <v>1318</v>
      </c>
      <c r="F1206" s="482" t="s">
        <v>1675</v>
      </c>
      <c r="G1206" s="482" t="s">
        <v>1677</v>
      </c>
      <c r="H1206" s="482"/>
      <c r="I1206" s="482">
        <v>0</v>
      </c>
      <c r="J1206" s="482" t="s">
        <v>42</v>
      </c>
      <c r="K1206" s="482" t="s">
        <v>42</v>
      </c>
      <c r="L1206" s="482" t="s">
        <v>756</v>
      </c>
      <c r="M1206" s="482" t="s">
        <v>43</v>
      </c>
      <c r="N1206" s="482"/>
      <c r="O1206" s="482"/>
      <c r="P1206" s="482" t="s">
        <v>757</v>
      </c>
      <c r="Q1206" s="482" t="s">
        <v>758</v>
      </c>
      <c r="R1206" s="494"/>
      <c r="S1206" s="487"/>
      <c r="T1206" s="506"/>
      <c r="U1206" s="488"/>
      <c r="V1206" s="482">
        <v>42920</v>
      </c>
      <c r="W1206" s="392" t="s">
        <v>2188</v>
      </c>
    </row>
    <row r="1207" spans="1:23" ht="14.25" customHeight="1">
      <c r="A1207" s="491" t="s">
        <v>698</v>
      </c>
      <c r="B1207" s="514" t="s">
        <v>708</v>
      </c>
      <c r="C1207" s="452" t="s">
        <v>760</v>
      </c>
      <c r="D1207" s="431" t="s">
        <v>1657</v>
      </c>
      <c r="E1207" s="482" t="s">
        <v>1319</v>
      </c>
      <c r="F1207" s="482" t="s">
        <v>1675</v>
      </c>
      <c r="G1207" s="482" t="s">
        <v>1677</v>
      </c>
      <c r="H1207" s="482"/>
      <c r="I1207" s="482">
        <v>0</v>
      </c>
      <c r="J1207" s="482" t="s">
        <v>42</v>
      </c>
      <c r="K1207" s="482" t="s">
        <v>42</v>
      </c>
      <c r="L1207" s="482" t="s">
        <v>756</v>
      </c>
      <c r="M1207" s="482" t="s">
        <v>43</v>
      </c>
      <c r="N1207" s="482"/>
      <c r="O1207" s="482"/>
      <c r="P1207" s="482" t="s">
        <v>757</v>
      </c>
      <c r="Q1207" s="482" t="s">
        <v>758</v>
      </c>
      <c r="R1207" s="486"/>
      <c r="S1207" s="486"/>
      <c r="T1207" s="506"/>
      <c r="U1207" s="488"/>
      <c r="V1207" s="482">
        <v>42920</v>
      </c>
      <c r="W1207" s="392" t="s">
        <v>2188</v>
      </c>
    </row>
    <row r="1208" spans="1:23" ht="14.25" customHeight="1">
      <c r="A1208" s="491" t="s">
        <v>698</v>
      </c>
      <c r="B1208" s="514" t="s">
        <v>708</v>
      </c>
      <c r="C1208" s="452" t="s">
        <v>981</v>
      </c>
      <c r="D1208" s="485" t="s">
        <v>1657</v>
      </c>
      <c r="E1208" s="482" t="s">
        <v>1456</v>
      </c>
      <c r="F1208" s="482" t="s">
        <v>1693</v>
      </c>
      <c r="G1208" s="482" t="s">
        <v>1694</v>
      </c>
      <c r="H1208" s="482"/>
      <c r="I1208" s="482">
        <v>0</v>
      </c>
      <c r="J1208" s="482" t="s">
        <v>42</v>
      </c>
      <c r="K1208" s="482" t="s">
        <v>42</v>
      </c>
      <c r="L1208" s="482" t="s">
        <v>756</v>
      </c>
      <c r="M1208" s="482" t="s">
        <v>43</v>
      </c>
      <c r="N1208" s="482">
        <v>23.917631</v>
      </c>
      <c r="O1208" s="482">
        <v>98.116817999999995</v>
      </c>
      <c r="P1208" s="482" t="s">
        <v>757</v>
      </c>
      <c r="Q1208" s="482" t="s">
        <v>758</v>
      </c>
      <c r="R1208" s="494"/>
      <c r="S1208" s="487"/>
      <c r="T1208" s="506">
        <v>42836</v>
      </c>
      <c r="U1208" s="488"/>
      <c r="V1208" s="482"/>
      <c r="W1208" s="392" t="s">
        <v>2189</v>
      </c>
    </row>
    <row r="1209" spans="1:23" ht="14.25" customHeight="1">
      <c r="A1209" s="491" t="s">
        <v>698</v>
      </c>
      <c r="B1209" s="514" t="s">
        <v>708</v>
      </c>
      <c r="C1209" s="452" t="s">
        <v>738</v>
      </c>
      <c r="D1209" s="485" t="s">
        <v>2817</v>
      </c>
      <c r="E1209" s="482" t="s">
        <v>1620</v>
      </c>
      <c r="F1209" s="482" t="s">
        <v>1848</v>
      </c>
      <c r="G1209" s="482" t="s">
        <v>738</v>
      </c>
      <c r="H1209" s="482" t="s">
        <v>40</v>
      </c>
      <c r="I1209" s="482" t="s">
        <v>2662</v>
      </c>
      <c r="J1209" s="482" t="s">
        <v>42</v>
      </c>
      <c r="K1209" s="482" t="s">
        <v>42</v>
      </c>
      <c r="L1209" s="482" t="s">
        <v>42</v>
      </c>
      <c r="M1209" s="482" t="s">
        <v>43</v>
      </c>
      <c r="N1209" s="482">
        <v>24.08738</v>
      </c>
      <c r="O1209" s="482">
        <v>98.115809999999996</v>
      </c>
      <c r="P1209" s="482" t="s">
        <v>757</v>
      </c>
      <c r="Q1209" s="482" t="s">
        <v>798</v>
      </c>
      <c r="R1209" s="494">
        <v>152</v>
      </c>
      <c r="S1209" s="487">
        <v>788</v>
      </c>
      <c r="T1209" s="506" t="s">
        <v>1079</v>
      </c>
      <c r="U1209" s="488"/>
      <c r="V1209" s="482"/>
      <c r="W1209" s="392" t="s">
        <v>2173</v>
      </c>
    </row>
    <row r="1210" spans="1:23" ht="14.25" customHeight="1">
      <c r="A1210" s="491" t="s">
        <v>698</v>
      </c>
      <c r="B1210" s="514" t="s">
        <v>708</v>
      </c>
      <c r="C1210" s="452" t="s">
        <v>742</v>
      </c>
      <c r="D1210" s="485" t="s">
        <v>1734</v>
      </c>
      <c r="E1210" s="482" t="s">
        <v>1467</v>
      </c>
      <c r="F1210" s="484" t="s">
        <v>738</v>
      </c>
      <c r="G1210" s="482" t="s">
        <v>738</v>
      </c>
      <c r="H1210" s="482"/>
      <c r="I1210" s="482">
        <v>0</v>
      </c>
      <c r="J1210" s="482" t="s">
        <v>42</v>
      </c>
      <c r="K1210" s="482" t="s">
        <v>42</v>
      </c>
      <c r="L1210" s="482" t="s">
        <v>756</v>
      </c>
      <c r="M1210" s="482" t="s">
        <v>43</v>
      </c>
      <c r="N1210" s="482">
        <v>24.08738</v>
      </c>
      <c r="O1210" s="482">
        <v>98.115809999999996</v>
      </c>
      <c r="P1210" s="482" t="s">
        <v>757</v>
      </c>
      <c r="Q1210" s="482" t="s">
        <v>776</v>
      </c>
      <c r="R1210" s="494"/>
      <c r="S1210" s="487"/>
      <c r="T1210" s="506">
        <v>43276</v>
      </c>
      <c r="U1210" s="488" t="s">
        <v>1966</v>
      </c>
      <c r="V1210" s="482" t="s">
        <v>742</v>
      </c>
      <c r="W1210" s="392" t="s">
        <v>1966</v>
      </c>
    </row>
    <row r="1211" spans="1:23" ht="14.25" customHeight="1">
      <c r="A1211" s="491" t="s">
        <v>698</v>
      </c>
      <c r="B1211" s="514" t="s">
        <v>708</v>
      </c>
      <c r="C1211" s="452" t="s">
        <v>749</v>
      </c>
      <c r="D1211" s="485" t="s">
        <v>1657</v>
      </c>
      <c r="E1211" s="482" t="s">
        <v>1326</v>
      </c>
      <c r="F1211" s="482">
        <v>0</v>
      </c>
      <c r="G1211" s="482">
        <v>0</v>
      </c>
      <c r="H1211" s="482"/>
      <c r="I1211" s="482">
        <v>0</v>
      </c>
      <c r="J1211" s="482" t="s">
        <v>42</v>
      </c>
      <c r="K1211" s="482" t="s">
        <v>42</v>
      </c>
      <c r="L1211" s="482" t="s">
        <v>756</v>
      </c>
      <c r="M1211" s="482" t="s">
        <v>43</v>
      </c>
      <c r="N1211" s="482"/>
      <c r="O1211" s="482"/>
      <c r="P1211" s="482" t="s">
        <v>757</v>
      </c>
      <c r="Q1211" s="482" t="s">
        <v>758</v>
      </c>
      <c r="R1211" s="494"/>
      <c r="S1211" s="487"/>
      <c r="T1211" s="506"/>
      <c r="U1211" s="488"/>
      <c r="V1211" s="482">
        <v>42920</v>
      </c>
      <c r="W1211" s="392" t="s">
        <v>2188</v>
      </c>
    </row>
    <row r="1212" spans="1:23" ht="14.25" customHeight="1">
      <c r="A1212" s="491" t="s">
        <v>698</v>
      </c>
      <c r="B1212" s="514" t="s">
        <v>708</v>
      </c>
      <c r="C1212" s="452" t="s">
        <v>766</v>
      </c>
      <c r="D1212" s="485" t="s">
        <v>1657</v>
      </c>
      <c r="E1212" s="482" t="s">
        <v>1327</v>
      </c>
      <c r="F1212" s="482" t="s">
        <v>1675</v>
      </c>
      <c r="G1212" s="482" t="s">
        <v>1677</v>
      </c>
      <c r="H1212" s="482"/>
      <c r="I1212" s="482">
        <v>0</v>
      </c>
      <c r="J1212" s="482" t="s">
        <v>42</v>
      </c>
      <c r="K1212" s="482" t="s">
        <v>42</v>
      </c>
      <c r="L1212" s="482" t="s">
        <v>756</v>
      </c>
      <c r="M1212" s="482" t="s">
        <v>43</v>
      </c>
      <c r="N1212" s="482"/>
      <c r="O1212" s="482"/>
      <c r="P1212" s="482" t="s">
        <v>757</v>
      </c>
      <c r="Q1212" s="482" t="s">
        <v>758</v>
      </c>
      <c r="R1212" s="494"/>
      <c r="S1212" s="487"/>
      <c r="T1212" s="506"/>
      <c r="U1212" s="488"/>
      <c r="V1212" s="484">
        <v>42920</v>
      </c>
      <c r="W1212" s="392" t="s">
        <v>2188</v>
      </c>
    </row>
    <row r="1213" spans="1:23" ht="14.25" customHeight="1">
      <c r="A1213" s="491" t="s">
        <v>698</v>
      </c>
      <c r="B1213" s="514" t="s">
        <v>708</v>
      </c>
      <c r="C1213" s="452" t="s">
        <v>989</v>
      </c>
      <c r="D1213" s="431" t="s">
        <v>1656</v>
      </c>
      <c r="E1213" s="482" t="s">
        <v>1468</v>
      </c>
      <c r="F1213" s="482"/>
      <c r="G1213" s="482"/>
      <c r="H1213" s="482" t="s">
        <v>40</v>
      </c>
      <c r="I1213" s="484" t="s">
        <v>131</v>
      </c>
      <c r="J1213" s="482" t="s">
        <v>42</v>
      </c>
      <c r="K1213" s="482" t="s">
        <v>42</v>
      </c>
      <c r="L1213" s="482" t="s">
        <v>756</v>
      </c>
      <c r="M1213" s="482" t="s">
        <v>774</v>
      </c>
      <c r="N1213" s="482">
        <v>24.101320999999999</v>
      </c>
      <c r="O1213" s="482">
        <v>98.320651999999995</v>
      </c>
      <c r="P1213" s="482" t="s">
        <v>757</v>
      </c>
      <c r="Q1213" s="482"/>
      <c r="R1213" s="486"/>
      <c r="S1213" s="486"/>
      <c r="T1213" s="506"/>
      <c r="U1213" s="488"/>
      <c r="V1213" s="482" t="s">
        <v>990</v>
      </c>
      <c r="W1213" s="392" t="s">
        <v>2190</v>
      </c>
    </row>
    <row r="1214" spans="1:23" ht="14.25" customHeight="1">
      <c r="A1214" s="491" t="s">
        <v>698</v>
      </c>
      <c r="B1214" s="514" t="s">
        <v>708</v>
      </c>
      <c r="C1214" s="452" t="s">
        <v>988</v>
      </c>
      <c r="D1214" s="431" t="s">
        <v>1657</v>
      </c>
      <c r="E1214" s="482" t="s">
        <v>1465</v>
      </c>
      <c r="F1214" s="482" t="s">
        <v>988</v>
      </c>
      <c r="G1214" s="482" t="s">
        <v>988</v>
      </c>
      <c r="H1214" s="482"/>
      <c r="I1214" s="482">
        <v>0</v>
      </c>
      <c r="J1214" s="482" t="s">
        <v>42</v>
      </c>
      <c r="K1214" s="482" t="s">
        <v>42</v>
      </c>
      <c r="L1214" s="482" t="s">
        <v>756</v>
      </c>
      <c r="M1214" s="482" t="s">
        <v>774</v>
      </c>
      <c r="N1214" s="482">
        <v>24.008452999999999</v>
      </c>
      <c r="O1214" s="482">
        <v>98.054946000000001</v>
      </c>
      <c r="P1214" s="482" t="s">
        <v>757</v>
      </c>
      <c r="Q1214" s="482" t="s">
        <v>776</v>
      </c>
      <c r="R1214" s="486"/>
      <c r="S1214" s="486"/>
      <c r="T1214" s="506"/>
      <c r="U1214" s="488"/>
      <c r="V1214" s="482" t="s">
        <v>988</v>
      </c>
      <c r="W1214" s="392" t="s">
        <v>2191</v>
      </c>
    </row>
    <row r="1215" spans="1:23" ht="14.25" customHeight="1">
      <c r="A1215" s="491" t="s">
        <v>698</v>
      </c>
      <c r="B1215" s="514" t="s">
        <v>708</v>
      </c>
      <c r="C1215" s="452" t="s">
        <v>733</v>
      </c>
      <c r="D1215" s="485" t="s">
        <v>2817</v>
      </c>
      <c r="E1215" s="482" t="s">
        <v>1463</v>
      </c>
      <c r="F1215" s="482" t="s">
        <v>1675</v>
      </c>
      <c r="G1215" s="482" t="s">
        <v>1677</v>
      </c>
      <c r="H1215" s="482"/>
      <c r="I1215" s="482" t="s">
        <v>2116</v>
      </c>
      <c r="J1215" s="482" t="s">
        <v>42</v>
      </c>
      <c r="K1215" s="482" t="s">
        <v>42</v>
      </c>
      <c r="L1215" s="482" t="s">
        <v>772</v>
      </c>
      <c r="M1215" s="482" t="s">
        <v>43</v>
      </c>
      <c r="N1215" s="482">
        <v>24.006319999999999</v>
      </c>
      <c r="O1215" s="482">
        <v>97.909400000000005</v>
      </c>
      <c r="P1215" s="482" t="s">
        <v>757</v>
      </c>
      <c r="Q1215" s="482" t="s">
        <v>776</v>
      </c>
      <c r="R1215" s="494">
        <v>40</v>
      </c>
      <c r="S1215" s="487">
        <v>180</v>
      </c>
      <c r="T1215" s="506"/>
      <c r="U1215" s="488"/>
      <c r="V1215" s="482" t="s">
        <v>986</v>
      </c>
      <c r="W1215" s="486" t="s">
        <v>2192</v>
      </c>
    </row>
    <row r="1216" spans="1:23" ht="14.25" customHeight="1">
      <c r="A1216" s="491" t="s">
        <v>698</v>
      </c>
      <c r="B1216" s="514" t="s">
        <v>708</v>
      </c>
      <c r="C1216" s="452" t="s">
        <v>709</v>
      </c>
      <c r="D1216" s="485" t="s">
        <v>2817</v>
      </c>
      <c r="E1216" s="482" t="s">
        <v>1464</v>
      </c>
      <c r="F1216" s="482" t="s">
        <v>1675</v>
      </c>
      <c r="G1216" s="482" t="s">
        <v>1677</v>
      </c>
      <c r="H1216" s="482" t="s">
        <v>40</v>
      </c>
      <c r="I1216" s="482" t="s">
        <v>1331</v>
      </c>
      <c r="J1216" s="482" t="s">
        <v>42</v>
      </c>
      <c r="K1216" s="482" t="s">
        <v>42</v>
      </c>
      <c r="L1216" s="482" t="s">
        <v>42</v>
      </c>
      <c r="M1216" s="482" t="s">
        <v>43</v>
      </c>
      <c r="N1216" s="482">
        <v>24.006789000000001</v>
      </c>
      <c r="O1216" s="482">
        <v>97.911647000000002</v>
      </c>
      <c r="P1216" s="482" t="s">
        <v>757</v>
      </c>
      <c r="Q1216" s="482" t="s">
        <v>776</v>
      </c>
      <c r="R1216" s="494">
        <v>17</v>
      </c>
      <c r="S1216" s="487">
        <v>80</v>
      </c>
      <c r="T1216" s="506"/>
      <c r="U1216" s="488"/>
      <c r="V1216" s="482" t="s">
        <v>987</v>
      </c>
      <c r="W1216" s="392" t="s">
        <v>2193</v>
      </c>
    </row>
    <row r="1217" spans="1:23" ht="14.25" customHeight="1">
      <c r="A1217" s="491" t="s">
        <v>698</v>
      </c>
      <c r="B1217" s="514" t="s">
        <v>708</v>
      </c>
      <c r="C1217" s="452" t="s">
        <v>713</v>
      </c>
      <c r="D1217" s="485" t="s">
        <v>1657</v>
      </c>
      <c r="E1217" s="482" t="s">
        <v>1335</v>
      </c>
      <c r="F1217" s="482" t="s">
        <v>1658</v>
      </c>
      <c r="G1217" s="482" t="s">
        <v>1659</v>
      </c>
      <c r="H1217" s="482"/>
      <c r="I1217" s="482">
        <v>0</v>
      </c>
      <c r="J1217" s="482" t="s">
        <v>42</v>
      </c>
      <c r="K1217" s="482" t="s">
        <v>42</v>
      </c>
      <c r="L1217" s="482" t="s">
        <v>756</v>
      </c>
      <c r="M1217" s="482" t="s">
        <v>774</v>
      </c>
      <c r="N1217" s="482">
        <v>23.933098999999999</v>
      </c>
      <c r="O1217" s="482">
        <v>98.139397000000002</v>
      </c>
      <c r="P1217" s="482" t="s">
        <v>757</v>
      </c>
      <c r="Q1217" s="482" t="s">
        <v>776</v>
      </c>
      <c r="R1217" s="494"/>
      <c r="S1217" s="487"/>
      <c r="T1217" s="506"/>
      <c r="U1217" s="488"/>
      <c r="V1217" s="482" t="s">
        <v>713</v>
      </c>
      <c r="W1217" s="392" t="s">
        <v>2194</v>
      </c>
    </row>
    <row r="1218" spans="1:23" ht="14.25" customHeight="1">
      <c r="A1218" s="491" t="s">
        <v>698</v>
      </c>
      <c r="B1218" s="514" t="s">
        <v>708</v>
      </c>
      <c r="C1218" s="452" t="s">
        <v>982</v>
      </c>
      <c r="D1218" s="485" t="s">
        <v>1657</v>
      </c>
      <c r="E1218" s="482" t="s">
        <v>1459</v>
      </c>
      <c r="F1218" s="484" t="s">
        <v>1695</v>
      </c>
      <c r="G1218" s="482" t="s">
        <v>1696</v>
      </c>
      <c r="H1218" s="482"/>
      <c r="I1218" s="482">
        <v>0</v>
      </c>
      <c r="J1218" s="482" t="s">
        <v>42</v>
      </c>
      <c r="K1218" s="482" t="s">
        <v>42</v>
      </c>
      <c r="L1218" s="482" t="s">
        <v>756</v>
      </c>
      <c r="M1218" s="482" t="s">
        <v>43</v>
      </c>
      <c r="N1218" s="482">
        <v>23.978088</v>
      </c>
      <c r="O1218" s="482">
        <v>98.129380999999995</v>
      </c>
      <c r="P1218" s="482" t="s">
        <v>757</v>
      </c>
      <c r="Q1218" s="482" t="s">
        <v>758</v>
      </c>
      <c r="R1218" s="494"/>
      <c r="S1218" s="487"/>
      <c r="T1218" s="506">
        <v>42836</v>
      </c>
      <c r="U1218" s="488"/>
      <c r="V1218" s="482"/>
      <c r="W1218" s="392" t="s">
        <v>2189</v>
      </c>
    </row>
    <row r="1219" spans="1:23" ht="14.25" customHeight="1">
      <c r="A1219" s="491" t="s">
        <v>698</v>
      </c>
      <c r="B1219" s="514" t="s">
        <v>708</v>
      </c>
      <c r="C1219" s="452" t="s">
        <v>778</v>
      </c>
      <c r="D1219" s="485" t="s">
        <v>1657</v>
      </c>
      <c r="E1219" s="482" t="s">
        <v>1337</v>
      </c>
      <c r="F1219" s="484" t="s">
        <v>1681</v>
      </c>
      <c r="G1219" s="482" t="s">
        <v>1682</v>
      </c>
      <c r="H1219" s="482"/>
      <c r="I1219" s="482">
        <v>0</v>
      </c>
      <c r="J1219" s="482" t="s">
        <v>42</v>
      </c>
      <c r="K1219" s="482" t="s">
        <v>42</v>
      </c>
      <c r="L1219" s="482" t="s">
        <v>756</v>
      </c>
      <c r="M1219" s="482" t="s">
        <v>43</v>
      </c>
      <c r="N1219" s="482"/>
      <c r="O1219" s="482"/>
      <c r="P1219" s="482" t="s">
        <v>757</v>
      </c>
      <c r="Q1219" s="482" t="s">
        <v>758</v>
      </c>
      <c r="R1219" s="494"/>
      <c r="S1219" s="487"/>
      <c r="T1219" s="506">
        <v>42832</v>
      </c>
      <c r="U1219" s="488"/>
      <c r="V1219" s="482"/>
      <c r="W1219" s="392" t="s">
        <v>2188</v>
      </c>
    </row>
    <row r="1220" spans="1:23" ht="14.25" customHeight="1">
      <c r="A1220" s="491" t="s">
        <v>698</v>
      </c>
      <c r="B1220" s="514" t="s">
        <v>708</v>
      </c>
      <c r="C1220" s="452" t="s">
        <v>786</v>
      </c>
      <c r="D1220" s="431" t="s">
        <v>1657</v>
      </c>
      <c r="E1220" s="482" t="s">
        <v>1342</v>
      </c>
      <c r="F1220" s="482" t="s">
        <v>1675</v>
      </c>
      <c r="G1220" s="482" t="s">
        <v>1677</v>
      </c>
      <c r="H1220" s="482"/>
      <c r="I1220" s="484">
        <v>0</v>
      </c>
      <c r="J1220" s="482" t="s">
        <v>42</v>
      </c>
      <c r="K1220" s="482" t="s">
        <v>42</v>
      </c>
      <c r="L1220" s="482" t="s">
        <v>756</v>
      </c>
      <c r="M1220" s="482" t="s">
        <v>43</v>
      </c>
      <c r="N1220" s="482"/>
      <c r="O1220" s="482"/>
      <c r="P1220" s="482" t="s">
        <v>757</v>
      </c>
      <c r="Q1220" s="482" t="s">
        <v>758</v>
      </c>
      <c r="R1220" s="486"/>
      <c r="S1220" s="486"/>
      <c r="T1220" s="506">
        <v>42832</v>
      </c>
      <c r="U1220" s="488"/>
      <c r="V1220" s="484"/>
      <c r="W1220" s="392" t="s">
        <v>2188</v>
      </c>
    </row>
    <row r="1221" spans="1:23" ht="14.25" customHeight="1">
      <c r="A1221" s="491" t="s">
        <v>698</v>
      </c>
      <c r="B1221" s="514" t="s">
        <v>708</v>
      </c>
      <c r="C1221" s="452" t="s">
        <v>788</v>
      </c>
      <c r="D1221" s="485" t="s">
        <v>1657</v>
      </c>
      <c r="E1221" s="482" t="s">
        <v>1344</v>
      </c>
      <c r="F1221" s="482">
        <v>0</v>
      </c>
      <c r="G1221" s="482">
        <v>0</v>
      </c>
      <c r="H1221" s="482"/>
      <c r="I1221" s="482">
        <v>0</v>
      </c>
      <c r="J1221" s="482" t="s">
        <v>42</v>
      </c>
      <c r="K1221" s="482" t="s">
        <v>42</v>
      </c>
      <c r="L1221" s="482" t="s">
        <v>756</v>
      </c>
      <c r="M1221" s="482" t="s">
        <v>43</v>
      </c>
      <c r="N1221" s="482"/>
      <c r="O1221" s="482"/>
      <c r="P1221" s="482" t="s">
        <v>757</v>
      </c>
      <c r="Q1221" s="482" t="s">
        <v>758</v>
      </c>
      <c r="R1221" s="494"/>
      <c r="S1221" s="487"/>
      <c r="T1221" s="506">
        <v>42832</v>
      </c>
      <c r="U1221" s="488"/>
      <c r="V1221" s="484"/>
      <c r="W1221" s="392" t="s">
        <v>2188</v>
      </c>
    </row>
    <row r="1222" spans="1:23" ht="14.25" customHeight="1">
      <c r="A1222" s="656" t="s">
        <v>698</v>
      </c>
      <c r="B1222" s="657" t="s">
        <v>3005</v>
      </c>
      <c r="C1222" s="658" t="s">
        <v>3006</v>
      </c>
      <c r="D1222" s="485"/>
      <c r="E1222" s="659"/>
      <c r="F1222" s="659"/>
      <c r="G1222" s="659"/>
      <c r="H1222" s="659"/>
      <c r="I1222" s="659"/>
      <c r="J1222" s="659" t="s">
        <v>794</v>
      </c>
      <c r="K1222" s="659" t="s">
        <v>794</v>
      </c>
      <c r="L1222" s="659" t="s">
        <v>794</v>
      </c>
      <c r="M1222" s="659"/>
      <c r="N1222" s="659"/>
      <c r="O1222" s="659"/>
      <c r="P1222" s="659"/>
      <c r="Q1222" s="659" t="s">
        <v>3102</v>
      </c>
      <c r="R1222" s="660"/>
      <c r="S1222" s="656"/>
      <c r="T1222" s="661">
        <v>43843</v>
      </c>
      <c r="U1222" s="660"/>
      <c r="V1222" s="659"/>
      <c r="W1222" s="486"/>
    </row>
    <row r="1223" spans="1:23" ht="14.25" customHeight="1">
      <c r="A1223" s="656" t="s">
        <v>698</v>
      </c>
      <c r="B1223" s="657" t="s">
        <v>3005</v>
      </c>
      <c r="C1223" s="658" t="s">
        <v>3011</v>
      </c>
      <c r="D1223" s="485"/>
      <c r="E1223" s="659"/>
      <c r="F1223" s="659"/>
      <c r="G1223" s="659"/>
      <c r="H1223" s="659"/>
      <c r="I1223" s="659"/>
      <c r="J1223" s="659" t="s">
        <v>794</v>
      </c>
      <c r="K1223" s="659" t="s">
        <v>794</v>
      </c>
      <c r="L1223" s="659" t="s">
        <v>794</v>
      </c>
      <c r="M1223" s="659"/>
      <c r="N1223" s="659"/>
      <c r="O1223" s="659"/>
      <c r="P1223" s="659"/>
      <c r="Q1223" s="659" t="s">
        <v>3102</v>
      </c>
      <c r="R1223" s="660"/>
      <c r="S1223" s="656"/>
      <c r="T1223" s="661">
        <v>43843</v>
      </c>
      <c r="U1223" s="660"/>
      <c r="V1223" s="659"/>
      <c r="W1223" s="486"/>
    </row>
    <row r="1224" spans="1:23" ht="14.25" customHeight="1">
      <c r="A1224" s="491" t="s">
        <v>698</v>
      </c>
      <c r="B1224" s="514" t="s">
        <v>699</v>
      </c>
      <c r="C1224" s="452" t="s">
        <v>744</v>
      </c>
      <c r="D1224" s="431" t="s">
        <v>2817</v>
      </c>
      <c r="E1224" s="482" t="s">
        <v>1437</v>
      </c>
      <c r="F1224" s="482" t="s">
        <v>1690</v>
      </c>
      <c r="G1224" s="482" t="s">
        <v>1690</v>
      </c>
      <c r="H1224" s="482"/>
      <c r="I1224" s="482" t="s">
        <v>2116</v>
      </c>
      <c r="J1224" s="482" t="s">
        <v>42</v>
      </c>
      <c r="K1224" s="482" t="s">
        <v>42</v>
      </c>
      <c r="L1224" s="482" t="s">
        <v>772</v>
      </c>
      <c r="M1224" s="482" t="s">
        <v>43</v>
      </c>
      <c r="N1224" s="482">
        <v>23.611999999999998</v>
      </c>
      <c r="O1224" s="482">
        <v>97.506</v>
      </c>
      <c r="P1224" s="482" t="s">
        <v>757</v>
      </c>
      <c r="Q1224" s="482" t="s">
        <v>758</v>
      </c>
      <c r="R1224" s="486">
        <v>62</v>
      </c>
      <c r="S1224" s="486">
        <v>328</v>
      </c>
      <c r="T1224" s="506"/>
      <c r="U1224" s="488" t="s">
        <v>969</v>
      </c>
      <c r="V1224" s="482"/>
      <c r="W1224" s="392" t="s">
        <v>2195</v>
      </c>
    </row>
    <row r="1225" spans="1:23" ht="14.25" customHeight="1">
      <c r="A1225" s="491" t="s">
        <v>698</v>
      </c>
      <c r="B1225" s="514" t="s">
        <v>699</v>
      </c>
      <c r="C1225" s="452" t="s">
        <v>970</v>
      </c>
      <c r="D1225" s="431" t="s">
        <v>1657</v>
      </c>
      <c r="E1225" s="482" t="s">
        <v>1438</v>
      </c>
      <c r="F1225" s="482" t="s">
        <v>1690</v>
      </c>
      <c r="G1225" s="482" t="s">
        <v>1690</v>
      </c>
      <c r="H1225" s="482"/>
      <c r="I1225" s="482">
        <v>0</v>
      </c>
      <c r="J1225" s="482" t="s">
        <v>42</v>
      </c>
      <c r="K1225" s="482" t="s">
        <v>42</v>
      </c>
      <c r="L1225" s="482" t="s">
        <v>756</v>
      </c>
      <c r="M1225" s="482" t="s">
        <v>43</v>
      </c>
      <c r="N1225" s="482">
        <v>23.611999999999998</v>
      </c>
      <c r="O1225" s="482">
        <v>97.504999999999995</v>
      </c>
      <c r="P1225" s="482" t="s">
        <v>757</v>
      </c>
      <c r="Q1225" s="482" t="s">
        <v>758</v>
      </c>
      <c r="R1225" s="486"/>
      <c r="S1225" s="486"/>
      <c r="T1225" s="506"/>
      <c r="U1225" s="488"/>
      <c r="V1225" s="482"/>
      <c r="W1225" s="392" t="s">
        <v>2196</v>
      </c>
    </row>
    <row r="1226" spans="1:23" ht="14.25" customHeight="1">
      <c r="A1226" s="491" t="s">
        <v>698</v>
      </c>
      <c r="B1226" s="514" t="s">
        <v>699</v>
      </c>
      <c r="C1226" s="452" t="s">
        <v>710</v>
      </c>
      <c r="D1226" s="431" t="s">
        <v>2817</v>
      </c>
      <c r="E1226" s="482" t="s">
        <v>1443</v>
      </c>
      <c r="F1226" s="482" t="s">
        <v>1679</v>
      </c>
      <c r="G1226" s="482" t="s">
        <v>1679</v>
      </c>
      <c r="H1226" s="482" t="s">
        <v>40</v>
      </c>
      <c r="I1226" s="482" t="s">
        <v>2662</v>
      </c>
      <c r="J1226" s="482" t="s">
        <v>42</v>
      </c>
      <c r="K1226" s="482" t="s">
        <v>42</v>
      </c>
      <c r="L1226" s="482" t="s">
        <v>42</v>
      </c>
      <c r="M1226" s="482" t="s">
        <v>43</v>
      </c>
      <c r="N1226" s="482">
        <v>23.821380000000001</v>
      </c>
      <c r="O1226" s="482">
        <v>97.681970000000007</v>
      </c>
      <c r="P1226" s="482" t="s">
        <v>757</v>
      </c>
      <c r="Q1226" s="482" t="s">
        <v>776</v>
      </c>
      <c r="R1226" s="486">
        <v>76</v>
      </c>
      <c r="S1226" s="486">
        <v>385</v>
      </c>
      <c r="T1226" s="506"/>
      <c r="U1226" s="488"/>
      <c r="V1226" s="482" t="s">
        <v>710</v>
      </c>
      <c r="W1226" s="392" t="s">
        <v>2197</v>
      </c>
    </row>
    <row r="1227" spans="1:23" ht="14.25" customHeight="1">
      <c r="A1227" s="491" t="s">
        <v>698</v>
      </c>
      <c r="B1227" s="514" t="s">
        <v>699</v>
      </c>
      <c r="C1227" s="452" t="s">
        <v>746</v>
      </c>
      <c r="D1227" s="431" t="s">
        <v>2817</v>
      </c>
      <c r="E1227" s="482" t="s">
        <v>1446</v>
      </c>
      <c r="F1227" s="482" t="s">
        <v>1679</v>
      </c>
      <c r="G1227" s="482" t="s">
        <v>1679</v>
      </c>
      <c r="H1227" s="482" t="s">
        <v>40</v>
      </c>
      <c r="I1227" s="482" t="s">
        <v>2662</v>
      </c>
      <c r="J1227" s="482" t="s">
        <v>42</v>
      </c>
      <c r="K1227" s="482" t="s">
        <v>42</v>
      </c>
      <c r="L1227" s="482" t="s">
        <v>42</v>
      </c>
      <c r="M1227" s="482" t="s">
        <v>43</v>
      </c>
      <c r="N1227" s="482">
        <v>23.828520000000001</v>
      </c>
      <c r="O1227" s="482">
        <v>97.669557999999995</v>
      </c>
      <c r="P1227" s="482" t="s">
        <v>757</v>
      </c>
      <c r="Q1227" s="482" t="s">
        <v>776</v>
      </c>
      <c r="R1227" s="486">
        <v>64</v>
      </c>
      <c r="S1227" s="486">
        <v>349</v>
      </c>
      <c r="T1227" s="506"/>
      <c r="U1227" s="488"/>
      <c r="V1227" s="482" t="s">
        <v>746</v>
      </c>
      <c r="W1227" s="392" t="s">
        <v>2198</v>
      </c>
    </row>
    <row r="1228" spans="1:23" ht="14.25" customHeight="1">
      <c r="A1228" s="491" t="s">
        <v>698</v>
      </c>
      <c r="B1228" s="514" t="s">
        <v>699</v>
      </c>
      <c r="C1228" s="452" t="s">
        <v>734</v>
      </c>
      <c r="D1228" s="485" t="s">
        <v>2817</v>
      </c>
      <c r="E1228" s="482" t="s">
        <v>1452</v>
      </c>
      <c r="F1228" s="482" t="s">
        <v>1679</v>
      </c>
      <c r="G1228" s="482" t="s">
        <v>1679</v>
      </c>
      <c r="H1228" s="482" t="s">
        <v>40</v>
      </c>
      <c r="I1228" s="482" t="s">
        <v>2662</v>
      </c>
      <c r="J1228" s="482" t="s">
        <v>42</v>
      </c>
      <c r="K1228" s="482" t="s">
        <v>42</v>
      </c>
      <c r="L1228" s="482" t="s">
        <v>42</v>
      </c>
      <c r="M1228" s="482" t="s">
        <v>43</v>
      </c>
      <c r="N1228" s="482">
        <v>23.841646999999998</v>
      </c>
      <c r="O1228" s="482">
        <v>97.700940000000003</v>
      </c>
      <c r="P1228" s="482" t="s">
        <v>757</v>
      </c>
      <c r="Q1228" s="482" t="s">
        <v>776</v>
      </c>
      <c r="R1228" s="494">
        <v>36</v>
      </c>
      <c r="S1228" s="487">
        <v>193</v>
      </c>
      <c r="T1228" s="506"/>
      <c r="U1228" s="488"/>
      <c r="V1228" s="482" t="s">
        <v>977</v>
      </c>
      <c r="W1228" s="486" t="s">
        <v>2199</v>
      </c>
    </row>
    <row r="1229" spans="1:23" ht="14.25" customHeight="1">
      <c r="A1229" s="491" t="s">
        <v>698</v>
      </c>
      <c r="B1229" s="514" t="s">
        <v>699</v>
      </c>
      <c r="C1229" s="452" t="s">
        <v>700</v>
      </c>
      <c r="D1229" s="431" t="s">
        <v>2817</v>
      </c>
      <c r="E1229" s="482" t="s">
        <v>1445</v>
      </c>
      <c r="F1229" s="482" t="s">
        <v>1679</v>
      </c>
      <c r="G1229" s="482" t="s">
        <v>1679</v>
      </c>
      <c r="H1229" s="482" t="s">
        <v>40</v>
      </c>
      <c r="I1229" s="482" t="s">
        <v>1331</v>
      </c>
      <c r="J1229" s="482" t="s">
        <v>42</v>
      </c>
      <c r="K1229" s="482" t="s">
        <v>42</v>
      </c>
      <c r="L1229" s="482" t="s">
        <v>42</v>
      </c>
      <c r="M1229" s="482" t="s">
        <v>43</v>
      </c>
      <c r="N1229" s="482">
        <v>23.828150000000001</v>
      </c>
      <c r="O1229" s="482">
        <v>97.670360000000002</v>
      </c>
      <c r="P1229" s="482" t="s">
        <v>757</v>
      </c>
      <c r="Q1229" s="482" t="s">
        <v>776</v>
      </c>
      <c r="R1229" s="486">
        <v>43</v>
      </c>
      <c r="S1229" s="486">
        <v>218</v>
      </c>
      <c r="T1229" s="506"/>
      <c r="U1229" s="488"/>
      <c r="V1229" s="482" t="s">
        <v>700</v>
      </c>
      <c r="W1229" s="392" t="s">
        <v>2200</v>
      </c>
    </row>
    <row r="1230" spans="1:23" ht="14.25" customHeight="1">
      <c r="A1230" s="491" t="s">
        <v>698</v>
      </c>
      <c r="B1230" s="514" t="s">
        <v>699</v>
      </c>
      <c r="C1230" s="452" t="s">
        <v>775</v>
      </c>
      <c r="D1230" s="431" t="s">
        <v>1657</v>
      </c>
      <c r="E1230" s="482" t="s">
        <v>1334</v>
      </c>
      <c r="F1230" s="482" t="s">
        <v>1679</v>
      </c>
      <c r="G1230" s="482" t="s">
        <v>1679</v>
      </c>
      <c r="H1230" s="482"/>
      <c r="I1230" s="482">
        <v>0</v>
      </c>
      <c r="J1230" s="482" t="s">
        <v>42</v>
      </c>
      <c r="K1230" s="482" t="s">
        <v>42</v>
      </c>
      <c r="L1230" s="482" t="s">
        <v>756</v>
      </c>
      <c r="M1230" s="482" t="s">
        <v>774</v>
      </c>
      <c r="N1230" s="482"/>
      <c r="O1230" s="482"/>
      <c r="P1230" s="482" t="s">
        <v>757</v>
      </c>
      <c r="Q1230" s="482"/>
      <c r="R1230" s="486"/>
      <c r="S1230" s="486"/>
      <c r="T1230" s="506"/>
      <c r="U1230" s="488"/>
      <c r="V1230" s="482" t="s">
        <v>775</v>
      </c>
      <c r="W1230" s="392" t="s">
        <v>2201</v>
      </c>
    </row>
    <row r="1231" spans="1:23" ht="14.25" customHeight="1">
      <c r="A1231" s="491" t="s">
        <v>698</v>
      </c>
      <c r="B1231" s="514" t="s">
        <v>699</v>
      </c>
      <c r="C1231" s="452" t="s">
        <v>736</v>
      </c>
      <c r="D1231" s="485" t="s">
        <v>2817</v>
      </c>
      <c r="E1231" s="482" t="s">
        <v>1451</v>
      </c>
      <c r="F1231" s="482" t="s">
        <v>1770</v>
      </c>
      <c r="G1231" s="482" t="s">
        <v>1759</v>
      </c>
      <c r="H1231" s="482" t="s">
        <v>40</v>
      </c>
      <c r="I1231" s="482" t="s">
        <v>2662</v>
      </c>
      <c r="J1231" s="482" t="s">
        <v>42</v>
      </c>
      <c r="K1231" s="482" t="s">
        <v>42</v>
      </c>
      <c r="L1231" s="482" t="s">
        <v>42</v>
      </c>
      <c r="M1231" s="482" t="s">
        <v>43</v>
      </c>
      <c r="N1231" s="482">
        <v>23.838190000000001</v>
      </c>
      <c r="O1231" s="482">
        <v>97.709879999999998</v>
      </c>
      <c r="P1231" s="482" t="s">
        <v>757</v>
      </c>
      <c r="Q1231" s="482" t="s">
        <v>776</v>
      </c>
      <c r="R1231" s="494">
        <v>114</v>
      </c>
      <c r="S1231" s="487">
        <v>545</v>
      </c>
      <c r="T1231" s="506"/>
      <c r="U1231" s="488"/>
      <c r="V1231" s="482" t="s">
        <v>976</v>
      </c>
      <c r="W1231" s="486" t="s">
        <v>2202</v>
      </c>
    </row>
    <row r="1232" spans="1:23" ht="14.25" customHeight="1">
      <c r="A1232" s="491" t="s">
        <v>698</v>
      </c>
      <c r="B1232" s="514" t="s">
        <v>719</v>
      </c>
      <c r="C1232" s="452" t="s">
        <v>726</v>
      </c>
      <c r="D1232" s="431" t="s">
        <v>2817</v>
      </c>
      <c r="E1232" s="482" t="s">
        <v>1420</v>
      </c>
      <c r="F1232" s="482" t="s">
        <v>1683</v>
      </c>
      <c r="G1232" s="482" t="s">
        <v>1684</v>
      </c>
      <c r="H1232" s="482" t="s">
        <v>40</v>
      </c>
      <c r="I1232" s="482" t="s">
        <v>1331</v>
      </c>
      <c r="J1232" s="482" t="s">
        <v>42</v>
      </c>
      <c r="K1232" s="482" t="s">
        <v>42</v>
      </c>
      <c r="L1232" s="482" t="s">
        <v>42</v>
      </c>
      <c r="M1232" s="482" t="s">
        <v>43</v>
      </c>
      <c r="N1232" s="482">
        <v>23.099304</v>
      </c>
      <c r="O1232" s="482">
        <v>97.400671000000003</v>
      </c>
      <c r="P1232" s="482" t="s">
        <v>757</v>
      </c>
      <c r="Q1232" s="482" t="s">
        <v>922</v>
      </c>
      <c r="R1232" s="486">
        <v>61</v>
      </c>
      <c r="S1232" s="486">
        <v>279</v>
      </c>
      <c r="T1232" s="506">
        <v>42983</v>
      </c>
      <c r="U1232" s="488"/>
      <c r="V1232" s="482"/>
      <c r="W1232" s="392" t="s">
        <v>2203</v>
      </c>
    </row>
    <row r="1233" spans="1:23" ht="14.25" customHeight="1">
      <c r="A1233" s="491" t="s">
        <v>698</v>
      </c>
      <c r="B1233" s="514" t="s">
        <v>719</v>
      </c>
      <c r="C1233" s="452" t="s">
        <v>1102</v>
      </c>
      <c r="D1233" s="485" t="s">
        <v>1656</v>
      </c>
      <c r="E1233" s="482"/>
      <c r="F1233" s="482"/>
      <c r="G1233" s="482"/>
      <c r="H1233" s="482"/>
      <c r="I1233" s="482"/>
      <c r="J1233" s="482" t="s">
        <v>1460</v>
      </c>
      <c r="K1233" s="482" t="s">
        <v>42</v>
      </c>
      <c r="L1233" s="482" t="s">
        <v>42</v>
      </c>
      <c r="M1233" s="482" t="s">
        <v>43</v>
      </c>
      <c r="N1233" s="482"/>
      <c r="O1233" s="482"/>
      <c r="P1233" s="482" t="s">
        <v>757</v>
      </c>
      <c r="Q1233" s="482" t="s">
        <v>776</v>
      </c>
      <c r="R1233" s="494"/>
      <c r="S1233" s="487"/>
      <c r="T1233" s="506">
        <v>42747</v>
      </c>
      <c r="U1233" s="488"/>
      <c r="V1233" s="482"/>
      <c r="W1233" s="486"/>
    </row>
    <row r="1234" spans="1:23" ht="14.25" customHeight="1">
      <c r="A1234" s="491" t="s">
        <v>698</v>
      </c>
      <c r="B1234" s="514" t="s">
        <v>719</v>
      </c>
      <c r="C1234" s="452" t="s">
        <v>727</v>
      </c>
      <c r="D1234" s="431" t="s">
        <v>2817</v>
      </c>
      <c r="E1234" s="482" t="s">
        <v>1330</v>
      </c>
      <c r="F1234" s="484" t="s">
        <v>1683</v>
      </c>
      <c r="G1234" s="482" t="s">
        <v>1684</v>
      </c>
      <c r="H1234" s="482" t="s">
        <v>40</v>
      </c>
      <c r="I1234" s="482" t="s">
        <v>1331</v>
      </c>
      <c r="J1234" s="482" t="s">
        <v>42</v>
      </c>
      <c r="K1234" s="482" t="s">
        <v>42</v>
      </c>
      <c r="L1234" s="482" t="s">
        <v>42</v>
      </c>
      <c r="M1234" s="482" t="s">
        <v>43</v>
      </c>
      <c r="N1234" s="482">
        <v>0</v>
      </c>
      <c r="O1234" s="482">
        <v>0</v>
      </c>
      <c r="P1234" s="482" t="s">
        <v>757</v>
      </c>
      <c r="Q1234" s="482" t="s">
        <v>758</v>
      </c>
      <c r="R1234" s="486">
        <v>28</v>
      </c>
      <c r="S1234" s="486">
        <v>144</v>
      </c>
      <c r="T1234" s="506"/>
      <c r="U1234" s="488"/>
      <c r="V1234" s="482"/>
      <c r="W1234" s="392" t="s">
        <v>2203</v>
      </c>
    </row>
    <row r="1235" spans="1:23" ht="14.25" customHeight="1">
      <c r="A1235" s="491" t="s">
        <v>698</v>
      </c>
      <c r="B1235" s="514" t="s">
        <v>719</v>
      </c>
      <c r="C1235" s="452" t="s">
        <v>1938</v>
      </c>
      <c r="D1235" s="485"/>
      <c r="E1235" s="482"/>
      <c r="F1235" s="482"/>
      <c r="G1235" s="482"/>
      <c r="H1235" s="482"/>
      <c r="I1235" s="482"/>
      <c r="J1235" s="482" t="s">
        <v>1460</v>
      </c>
      <c r="K1235" s="482" t="s">
        <v>42</v>
      </c>
      <c r="L1235" s="482" t="s">
        <v>42</v>
      </c>
      <c r="M1235" s="482" t="s">
        <v>43</v>
      </c>
      <c r="N1235" s="482"/>
      <c r="O1235" s="482"/>
      <c r="P1235" s="482" t="s">
        <v>757</v>
      </c>
      <c r="Q1235" s="482" t="s">
        <v>1930</v>
      </c>
      <c r="R1235" s="494"/>
      <c r="S1235" s="487"/>
      <c r="T1235" s="506">
        <v>43270</v>
      </c>
      <c r="U1235" s="488"/>
      <c r="V1235" s="482"/>
      <c r="W1235" s="486"/>
    </row>
    <row r="1236" spans="1:23" ht="14.25" customHeight="1">
      <c r="A1236" s="491" t="s">
        <v>698</v>
      </c>
      <c r="B1236" s="514" t="s">
        <v>719</v>
      </c>
      <c r="C1236" s="452" t="s">
        <v>730</v>
      </c>
      <c r="D1236" s="485" t="s">
        <v>2817</v>
      </c>
      <c r="E1236" s="482" t="s">
        <v>1419</v>
      </c>
      <c r="F1236" s="482" t="s">
        <v>1683</v>
      </c>
      <c r="G1236" s="482" t="s">
        <v>1684</v>
      </c>
      <c r="H1236" s="482" t="s">
        <v>40</v>
      </c>
      <c r="I1236" s="482" t="s">
        <v>2662</v>
      </c>
      <c r="J1236" s="482" t="s">
        <v>42</v>
      </c>
      <c r="K1236" s="482" t="s">
        <v>42</v>
      </c>
      <c r="L1236" s="482" t="s">
        <v>42</v>
      </c>
      <c r="M1236" s="482" t="s">
        <v>43</v>
      </c>
      <c r="N1236" s="482">
        <v>23.094290000000001</v>
      </c>
      <c r="O1236" s="482">
        <v>97.404089999999997</v>
      </c>
      <c r="P1236" s="482" t="s">
        <v>757</v>
      </c>
      <c r="Q1236" s="482" t="s">
        <v>776</v>
      </c>
      <c r="R1236" s="494">
        <v>38</v>
      </c>
      <c r="S1236" s="487">
        <v>159</v>
      </c>
      <c r="T1236" s="506"/>
      <c r="U1236" s="488"/>
      <c r="V1236" s="482" t="s">
        <v>730</v>
      </c>
      <c r="W1236" s="392" t="s">
        <v>2204</v>
      </c>
    </row>
    <row r="1237" spans="1:23" ht="14.25" customHeight="1">
      <c r="A1237" s="491" t="s">
        <v>698</v>
      </c>
      <c r="B1237" s="514" t="s">
        <v>719</v>
      </c>
      <c r="C1237" s="452" t="s">
        <v>961</v>
      </c>
      <c r="D1237" s="485" t="s">
        <v>1657</v>
      </c>
      <c r="E1237" s="482" t="s">
        <v>1418</v>
      </c>
      <c r="F1237" s="482" t="s">
        <v>1683</v>
      </c>
      <c r="G1237" s="482" t="s">
        <v>1684</v>
      </c>
      <c r="H1237" s="482"/>
      <c r="I1237" s="482">
        <v>0</v>
      </c>
      <c r="J1237" s="482" t="s">
        <v>42</v>
      </c>
      <c r="K1237" s="482" t="s">
        <v>42</v>
      </c>
      <c r="L1237" s="482" t="s">
        <v>756</v>
      </c>
      <c r="M1237" s="482" t="s">
        <v>43</v>
      </c>
      <c r="N1237" s="482">
        <v>23.088058</v>
      </c>
      <c r="O1237" s="482">
        <v>97.398989</v>
      </c>
      <c r="P1237" s="482" t="s">
        <v>769</v>
      </c>
      <c r="Q1237" s="482" t="s">
        <v>776</v>
      </c>
      <c r="R1237" s="494"/>
      <c r="S1237" s="487"/>
      <c r="T1237" s="506"/>
      <c r="U1237" s="488"/>
      <c r="V1237" s="482" t="s">
        <v>783</v>
      </c>
      <c r="W1237" s="392" t="s">
        <v>2205</v>
      </c>
    </row>
    <row r="1238" spans="1:23" ht="14.25" customHeight="1">
      <c r="A1238" s="491" t="s">
        <v>698</v>
      </c>
      <c r="B1238" s="514" t="s">
        <v>719</v>
      </c>
      <c r="C1238" s="452" t="s">
        <v>779</v>
      </c>
      <c r="D1238" s="485" t="s">
        <v>1657</v>
      </c>
      <c r="E1238" s="482" t="s">
        <v>1338</v>
      </c>
      <c r="F1238" s="482" t="s">
        <v>1683</v>
      </c>
      <c r="G1238" s="482" t="s">
        <v>1684</v>
      </c>
      <c r="H1238" s="482"/>
      <c r="I1238" s="482">
        <v>0</v>
      </c>
      <c r="J1238" s="482" t="s">
        <v>42</v>
      </c>
      <c r="K1238" s="482" t="s">
        <v>42</v>
      </c>
      <c r="L1238" s="482" t="s">
        <v>756</v>
      </c>
      <c r="M1238" s="482" t="s">
        <v>43</v>
      </c>
      <c r="N1238" s="482"/>
      <c r="O1238" s="482"/>
      <c r="P1238" s="482" t="s">
        <v>757</v>
      </c>
      <c r="Q1238" s="482" t="s">
        <v>758</v>
      </c>
      <c r="R1238" s="494"/>
      <c r="S1238" s="487"/>
      <c r="T1238" s="506">
        <v>43019</v>
      </c>
      <c r="U1238" s="488" t="s">
        <v>780</v>
      </c>
      <c r="V1238" s="482"/>
      <c r="W1238" s="486" t="s">
        <v>780</v>
      </c>
    </row>
    <row r="1239" spans="1:23" ht="14.25" customHeight="1">
      <c r="A1239" s="487" t="s">
        <v>698</v>
      </c>
      <c r="B1239" s="514" t="s">
        <v>719</v>
      </c>
      <c r="C1239" s="452" t="s">
        <v>781</v>
      </c>
      <c r="D1239" s="431" t="s">
        <v>1657</v>
      </c>
      <c r="E1239" s="482" t="s">
        <v>1339</v>
      </c>
      <c r="F1239" s="482" t="s">
        <v>1683</v>
      </c>
      <c r="G1239" s="482" t="s">
        <v>1684</v>
      </c>
      <c r="H1239" s="482"/>
      <c r="I1239" s="484">
        <v>0</v>
      </c>
      <c r="J1239" s="482" t="s">
        <v>42</v>
      </c>
      <c r="K1239" s="482" t="s">
        <v>42</v>
      </c>
      <c r="L1239" s="482" t="s">
        <v>756</v>
      </c>
      <c r="M1239" s="482" t="s">
        <v>43</v>
      </c>
      <c r="N1239" s="482"/>
      <c r="O1239" s="482"/>
      <c r="P1239" s="482" t="s">
        <v>757</v>
      </c>
      <c r="Q1239" s="482" t="s">
        <v>758</v>
      </c>
      <c r="R1239" s="486"/>
      <c r="S1239" s="486"/>
      <c r="T1239" s="506">
        <v>42927</v>
      </c>
      <c r="U1239" s="488" t="s">
        <v>782</v>
      </c>
      <c r="V1239" s="482"/>
      <c r="W1239" s="392" t="s">
        <v>780</v>
      </c>
    </row>
    <row r="1240" spans="1:23" ht="14.25" customHeight="1">
      <c r="A1240" s="487" t="s">
        <v>698</v>
      </c>
      <c r="B1240" s="514" t="s">
        <v>719</v>
      </c>
      <c r="C1240" s="452" t="s">
        <v>783</v>
      </c>
      <c r="D1240" s="485" t="s">
        <v>1657</v>
      </c>
      <c r="E1240" s="482" t="s">
        <v>1340</v>
      </c>
      <c r="F1240" s="482" t="s">
        <v>1683</v>
      </c>
      <c r="G1240" s="482" t="s">
        <v>1684</v>
      </c>
      <c r="H1240" s="482"/>
      <c r="I1240" s="482">
        <v>0</v>
      </c>
      <c r="J1240" s="482" t="s">
        <v>42</v>
      </c>
      <c r="K1240" s="482" t="s">
        <v>42</v>
      </c>
      <c r="L1240" s="482" t="s">
        <v>756</v>
      </c>
      <c r="M1240" s="482" t="s">
        <v>43</v>
      </c>
      <c r="N1240" s="482"/>
      <c r="O1240" s="482"/>
      <c r="P1240" s="482" t="s">
        <v>757</v>
      </c>
      <c r="Q1240" s="482" t="s">
        <v>758</v>
      </c>
      <c r="R1240" s="494"/>
      <c r="S1240" s="487"/>
      <c r="T1240" s="506">
        <v>42927</v>
      </c>
      <c r="U1240" s="488" t="s">
        <v>784</v>
      </c>
      <c r="V1240" s="482"/>
      <c r="W1240" s="392" t="s">
        <v>2194</v>
      </c>
    </row>
    <row r="1241" spans="1:23" ht="14.25" customHeight="1">
      <c r="A1241" s="487" t="s">
        <v>698</v>
      </c>
      <c r="B1241" s="514" t="s">
        <v>719</v>
      </c>
      <c r="C1241" s="452" t="s">
        <v>720</v>
      </c>
      <c r="D1241" s="485" t="s">
        <v>2817</v>
      </c>
      <c r="E1241" s="482" t="s">
        <v>1417</v>
      </c>
      <c r="F1241" s="482" t="s">
        <v>1759</v>
      </c>
      <c r="G1241" s="482" t="s">
        <v>1760</v>
      </c>
      <c r="H1241" s="482"/>
      <c r="I1241" s="482" t="s">
        <v>2116</v>
      </c>
      <c r="J1241" s="482" t="s">
        <v>42</v>
      </c>
      <c r="K1241" s="482" t="s">
        <v>42</v>
      </c>
      <c r="L1241" s="482" t="s">
        <v>772</v>
      </c>
      <c r="M1241" s="482" t="s">
        <v>43</v>
      </c>
      <c r="N1241" s="482">
        <v>22.765999999999998</v>
      </c>
      <c r="O1241" s="482">
        <v>97.358999999999995</v>
      </c>
      <c r="P1241" s="482" t="s">
        <v>757</v>
      </c>
      <c r="Q1241" s="482" t="s">
        <v>758</v>
      </c>
      <c r="R1241" s="494">
        <v>6</v>
      </c>
      <c r="S1241" s="487">
        <v>27</v>
      </c>
      <c r="T1241" s="506"/>
      <c r="U1241" s="488" t="s">
        <v>960</v>
      </c>
      <c r="V1241" s="482"/>
      <c r="W1241" s="486" t="s">
        <v>2206</v>
      </c>
    </row>
    <row r="1242" spans="1:23" ht="14.25" customHeight="1">
      <c r="A1242" s="487" t="s">
        <v>698</v>
      </c>
      <c r="B1242" s="514" t="s">
        <v>719</v>
      </c>
      <c r="C1242" s="452" t="s">
        <v>962</v>
      </c>
      <c r="D1242" s="485" t="s">
        <v>1656</v>
      </c>
      <c r="E1242" s="482" t="s">
        <v>1421</v>
      </c>
      <c r="F1242" s="484"/>
      <c r="G1242" s="482"/>
      <c r="H1242" s="482"/>
      <c r="I1242" s="482">
        <v>0</v>
      </c>
      <c r="J1242" s="482" t="s">
        <v>42</v>
      </c>
      <c r="K1242" s="482" t="s">
        <v>42</v>
      </c>
      <c r="L1242" s="482" t="s">
        <v>756</v>
      </c>
      <c r="M1242" s="482" t="s">
        <v>43</v>
      </c>
      <c r="N1242" s="482">
        <v>23.099304</v>
      </c>
      <c r="O1242" s="482">
        <v>97.400671000000003</v>
      </c>
      <c r="P1242" s="482" t="s">
        <v>757</v>
      </c>
      <c r="Q1242" s="482" t="s">
        <v>758</v>
      </c>
      <c r="R1242" s="494"/>
      <c r="S1242" s="487"/>
      <c r="T1242" s="506">
        <v>42747</v>
      </c>
      <c r="U1242" s="488" t="s">
        <v>963</v>
      </c>
      <c r="V1242" s="482"/>
      <c r="W1242" s="486" t="s">
        <v>2207</v>
      </c>
    </row>
    <row r="1243" spans="1:23" ht="14.25" customHeight="1">
      <c r="A1243" s="487" t="s">
        <v>698</v>
      </c>
      <c r="B1243" s="514" t="s">
        <v>719</v>
      </c>
      <c r="C1243" s="452" t="s">
        <v>1144</v>
      </c>
      <c r="D1243" s="485" t="s">
        <v>1656</v>
      </c>
      <c r="E1243" s="482"/>
      <c r="F1243" s="482"/>
      <c r="G1243" s="482"/>
      <c r="H1243" s="482"/>
      <c r="I1243" s="482"/>
      <c r="J1243" s="482" t="s">
        <v>1460</v>
      </c>
      <c r="K1243" s="482" t="s">
        <v>42</v>
      </c>
      <c r="L1243" s="482" t="s">
        <v>756</v>
      </c>
      <c r="M1243" s="482" t="s">
        <v>43</v>
      </c>
      <c r="N1243" s="482"/>
      <c r="O1243" s="482"/>
      <c r="P1243" s="482" t="s">
        <v>757</v>
      </c>
      <c r="Q1243" s="482" t="s">
        <v>776</v>
      </c>
      <c r="R1243" s="494"/>
      <c r="S1243" s="487"/>
      <c r="T1243" s="506">
        <v>42747</v>
      </c>
      <c r="U1243" s="488"/>
      <c r="V1243" s="482"/>
      <c r="W1243" s="486"/>
    </row>
    <row r="1244" spans="1:23" ht="14.25" customHeight="1">
      <c r="A1244" s="487" t="s">
        <v>698</v>
      </c>
      <c r="B1244" s="514" t="s">
        <v>1271</v>
      </c>
      <c r="C1244" s="452" t="s">
        <v>2228</v>
      </c>
      <c r="D1244" s="485"/>
      <c r="E1244" s="482"/>
      <c r="F1244" s="482"/>
      <c r="G1244" s="482"/>
      <c r="H1244" s="482"/>
      <c r="I1244" s="482"/>
      <c r="J1244" s="482" t="s">
        <v>2652</v>
      </c>
      <c r="K1244" s="482" t="s">
        <v>2622</v>
      </c>
      <c r="L1244" s="482" t="s">
        <v>2622</v>
      </c>
      <c r="M1244" s="482" t="s">
        <v>43</v>
      </c>
      <c r="N1244" s="482"/>
      <c r="O1244" s="482"/>
      <c r="P1244" s="482" t="s">
        <v>1972</v>
      </c>
      <c r="Q1244" s="482" t="s">
        <v>922</v>
      </c>
      <c r="R1244" s="494"/>
      <c r="S1244" s="487"/>
      <c r="T1244" s="506">
        <v>43392</v>
      </c>
      <c r="U1244" s="488"/>
      <c r="V1244" s="484"/>
      <c r="W1244" s="486"/>
    </row>
    <row r="1245" spans="1:23" ht="14.25" customHeight="1">
      <c r="A1245" s="527" t="s">
        <v>698</v>
      </c>
      <c r="B1245" s="528" t="s">
        <v>1271</v>
      </c>
      <c r="C1245" s="529" t="s">
        <v>1122</v>
      </c>
      <c r="D1245" s="485" t="s">
        <v>1656</v>
      </c>
      <c r="E1245" s="530"/>
      <c r="F1245" s="530"/>
      <c r="G1245" s="530"/>
      <c r="H1245" s="530"/>
      <c r="I1245" s="530"/>
      <c r="J1245" s="530" t="s">
        <v>1460</v>
      </c>
      <c r="K1245" s="530" t="s">
        <v>42</v>
      </c>
      <c r="L1245" s="530" t="s">
        <v>756</v>
      </c>
      <c r="M1245" s="530" t="s">
        <v>43</v>
      </c>
      <c r="N1245" s="530"/>
      <c r="O1245" s="530"/>
      <c r="P1245" s="530" t="s">
        <v>757</v>
      </c>
      <c r="Q1245" s="530" t="s">
        <v>776</v>
      </c>
      <c r="R1245" s="531"/>
      <c r="S1245" s="527"/>
      <c r="T1245" s="532">
        <v>42747</v>
      </c>
      <c r="U1245" s="531"/>
      <c r="V1245" s="530"/>
      <c r="W1245" s="486"/>
    </row>
    <row r="1246" spans="1:23" ht="14.25" customHeight="1">
      <c r="A1246" s="656" t="s">
        <v>698</v>
      </c>
      <c r="B1246" s="657" t="s">
        <v>1272</v>
      </c>
      <c r="C1246" s="658" t="s">
        <v>3008</v>
      </c>
      <c r="D1246" s="485"/>
      <c r="E1246" s="659"/>
      <c r="F1246" s="659"/>
      <c r="G1246" s="659"/>
      <c r="H1246" s="659"/>
      <c r="I1246" s="659"/>
      <c r="J1246" s="659" t="s">
        <v>794</v>
      </c>
      <c r="K1246" s="659" t="s">
        <v>794</v>
      </c>
      <c r="L1246" s="659" t="s">
        <v>794</v>
      </c>
      <c r="M1246" s="659"/>
      <c r="N1246" s="659"/>
      <c r="O1246" s="659"/>
      <c r="P1246" s="659"/>
      <c r="Q1246" s="659" t="s">
        <v>3102</v>
      </c>
      <c r="R1246" s="660"/>
      <c r="S1246" s="656"/>
      <c r="T1246" s="661">
        <v>43843</v>
      </c>
      <c r="U1246" s="660"/>
      <c r="V1246" s="659"/>
      <c r="W1246" s="486"/>
    </row>
    <row r="1247" spans="1:23" ht="14.25" customHeight="1">
      <c r="A1247" s="656" t="s">
        <v>698</v>
      </c>
      <c r="B1247" s="657" t="s">
        <v>1272</v>
      </c>
      <c r="C1247" s="658" t="s">
        <v>3007</v>
      </c>
      <c r="D1247" s="485"/>
      <c r="E1247" s="659"/>
      <c r="F1247" s="659"/>
      <c r="G1247" s="659"/>
      <c r="H1247" s="659"/>
      <c r="I1247" s="659"/>
      <c r="J1247" s="659" t="s">
        <v>794</v>
      </c>
      <c r="K1247" s="659" t="s">
        <v>794</v>
      </c>
      <c r="L1247" s="659" t="s">
        <v>794</v>
      </c>
      <c r="M1247" s="659"/>
      <c r="N1247" s="659"/>
      <c r="O1247" s="659"/>
      <c r="P1247" s="659"/>
      <c r="Q1247" s="659" t="s">
        <v>3102</v>
      </c>
      <c r="R1247" s="660"/>
      <c r="S1247" s="656"/>
      <c r="T1247" s="661">
        <v>43843</v>
      </c>
      <c r="U1247" s="660"/>
      <c r="V1247" s="659"/>
      <c r="W1247" s="486"/>
    </row>
    <row r="1248" spans="1:23" ht="14.25" customHeight="1">
      <c r="A1248" s="527" t="s">
        <v>698</v>
      </c>
      <c r="B1248" s="528" t="s">
        <v>1274</v>
      </c>
      <c r="C1248" s="529" t="s">
        <v>1314</v>
      </c>
      <c r="D1248" s="485" t="s">
        <v>1876</v>
      </c>
      <c r="E1248" s="530"/>
      <c r="F1248" s="530"/>
      <c r="G1248" s="530"/>
      <c r="H1248" s="530"/>
      <c r="I1248" s="530"/>
      <c r="J1248" s="530" t="s">
        <v>1460</v>
      </c>
      <c r="K1248" s="530" t="s">
        <v>42</v>
      </c>
      <c r="L1248" s="530" t="s">
        <v>772</v>
      </c>
      <c r="M1248" s="530" t="s">
        <v>2001</v>
      </c>
      <c r="N1248" s="530"/>
      <c r="O1248" s="530"/>
      <c r="P1248" s="530" t="s">
        <v>757</v>
      </c>
      <c r="Q1248" s="530"/>
      <c r="R1248" s="531"/>
      <c r="S1248" s="527"/>
      <c r="T1248" s="532">
        <v>43298</v>
      </c>
      <c r="U1248" s="531"/>
      <c r="V1248" s="530"/>
      <c r="W1248" s="486"/>
    </row>
    <row r="1249" spans="1:23" ht="14.25" customHeight="1">
      <c r="A1249" s="656" t="s">
        <v>698</v>
      </c>
      <c r="B1249" s="657" t="s">
        <v>1274</v>
      </c>
      <c r="C1249" s="658" t="s">
        <v>3003</v>
      </c>
      <c r="D1249" s="485"/>
      <c r="E1249" s="659"/>
      <c r="F1249" s="659"/>
      <c r="G1249" s="659"/>
      <c r="H1249" s="659"/>
      <c r="I1249" s="659"/>
      <c r="J1249" s="659" t="s">
        <v>794</v>
      </c>
      <c r="K1249" s="659" t="s">
        <v>794</v>
      </c>
      <c r="L1249" s="659" t="s">
        <v>794</v>
      </c>
      <c r="M1249" s="659"/>
      <c r="N1249" s="659"/>
      <c r="O1249" s="659"/>
      <c r="P1249" s="659"/>
      <c r="Q1249" s="659" t="s">
        <v>3102</v>
      </c>
      <c r="R1249" s="660"/>
      <c r="S1249" s="656"/>
      <c r="T1249" s="661">
        <v>43843</v>
      </c>
      <c r="U1249" s="660"/>
      <c r="V1249" s="659"/>
      <c r="W1249" s="486"/>
    </row>
    <row r="1250" spans="1:23" ht="14.25" customHeight="1">
      <c r="A1250" s="656" t="s">
        <v>698</v>
      </c>
      <c r="B1250" s="657" t="s">
        <v>3033</v>
      </c>
      <c r="C1250" s="658" t="s">
        <v>3049</v>
      </c>
      <c r="D1250" s="485"/>
      <c r="E1250" s="659"/>
      <c r="F1250" s="659"/>
      <c r="G1250" s="659"/>
      <c r="H1250" s="659"/>
      <c r="I1250" s="659"/>
      <c r="J1250" s="659" t="s">
        <v>794</v>
      </c>
      <c r="K1250" s="659" t="s">
        <v>794</v>
      </c>
      <c r="L1250" s="659" t="s">
        <v>794</v>
      </c>
      <c r="M1250" s="659"/>
      <c r="N1250" s="659"/>
      <c r="O1250" s="659"/>
      <c r="P1250" s="659"/>
      <c r="Q1250" s="659" t="s">
        <v>3102</v>
      </c>
      <c r="R1250" s="660"/>
      <c r="S1250" s="656"/>
      <c r="T1250" s="661">
        <v>43843</v>
      </c>
      <c r="U1250" s="660"/>
      <c r="V1250" s="659"/>
      <c r="W1250" s="486"/>
    </row>
    <row r="1251" spans="1:23" ht="14.25" customHeight="1">
      <c r="A1251" s="656" t="s">
        <v>698</v>
      </c>
      <c r="B1251" s="657" t="s">
        <v>3033</v>
      </c>
      <c r="C1251" s="658" t="s">
        <v>3037</v>
      </c>
      <c r="D1251" s="485"/>
      <c r="E1251" s="659"/>
      <c r="F1251" s="659"/>
      <c r="G1251" s="659"/>
      <c r="H1251" s="659"/>
      <c r="I1251" s="659"/>
      <c r="J1251" s="659" t="s">
        <v>794</v>
      </c>
      <c r="K1251" s="659" t="s">
        <v>794</v>
      </c>
      <c r="L1251" s="659" t="s">
        <v>794</v>
      </c>
      <c r="M1251" s="659"/>
      <c r="N1251" s="659"/>
      <c r="O1251" s="659"/>
      <c r="P1251" s="659"/>
      <c r="Q1251" s="659" t="s">
        <v>3102</v>
      </c>
      <c r="R1251" s="660"/>
      <c r="S1251" s="656"/>
      <c r="T1251" s="661">
        <v>43843</v>
      </c>
      <c r="U1251" s="660"/>
      <c r="V1251" s="659"/>
      <c r="W1251" s="486"/>
    </row>
    <row r="1252" spans="1:23" ht="14.25" customHeight="1">
      <c r="A1252" s="656" t="s">
        <v>698</v>
      </c>
      <c r="B1252" s="657" t="s">
        <v>3033</v>
      </c>
      <c r="C1252" s="658" t="s">
        <v>3040</v>
      </c>
      <c r="D1252" s="485"/>
      <c r="E1252" s="659"/>
      <c r="F1252" s="659"/>
      <c r="G1252" s="659"/>
      <c r="H1252" s="659"/>
      <c r="I1252" s="659"/>
      <c r="J1252" s="659" t="s">
        <v>794</v>
      </c>
      <c r="K1252" s="659" t="s">
        <v>794</v>
      </c>
      <c r="L1252" s="659" t="s">
        <v>794</v>
      </c>
      <c r="M1252" s="659"/>
      <c r="N1252" s="659"/>
      <c r="O1252" s="659"/>
      <c r="P1252" s="659"/>
      <c r="Q1252" s="659" t="s">
        <v>3102</v>
      </c>
      <c r="R1252" s="660"/>
      <c r="S1252" s="656"/>
      <c r="T1252" s="661">
        <v>43843</v>
      </c>
      <c r="U1252" s="660"/>
      <c r="V1252" s="659"/>
      <c r="W1252" s="486"/>
    </row>
    <row r="1253" spans="1:23" ht="14.25" customHeight="1">
      <c r="A1253" s="656" t="s">
        <v>698</v>
      </c>
      <c r="B1253" s="657" t="s">
        <v>3033</v>
      </c>
      <c r="C1253" s="658" t="s">
        <v>3035</v>
      </c>
      <c r="D1253" s="485"/>
      <c r="E1253" s="659"/>
      <c r="F1253" s="659"/>
      <c r="G1253" s="659"/>
      <c r="H1253" s="659"/>
      <c r="I1253" s="659"/>
      <c r="J1253" s="659" t="s">
        <v>794</v>
      </c>
      <c r="K1253" s="659" t="s">
        <v>794</v>
      </c>
      <c r="L1253" s="659" t="s">
        <v>794</v>
      </c>
      <c r="M1253" s="659"/>
      <c r="N1253" s="659"/>
      <c r="O1253" s="659"/>
      <c r="P1253" s="659"/>
      <c r="Q1253" s="659" t="s">
        <v>3102</v>
      </c>
      <c r="R1253" s="660"/>
      <c r="S1253" s="656"/>
      <c r="T1253" s="661">
        <v>43843</v>
      </c>
      <c r="U1253" s="660"/>
      <c r="V1253" s="659"/>
      <c r="W1253" s="486"/>
    </row>
    <row r="1254" spans="1:23" ht="14.25" customHeight="1">
      <c r="A1254" s="656" t="s">
        <v>698</v>
      </c>
      <c r="B1254" s="657" t="s">
        <v>3033</v>
      </c>
      <c r="C1254" s="658" t="s">
        <v>3038</v>
      </c>
      <c r="D1254" s="485"/>
      <c r="E1254" s="659"/>
      <c r="F1254" s="659"/>
      <c r="G1254" s="659"/>
      <c r="H1254" s="659"/>
      <c r="I1254" s="659"/>
      <c r="J1254" s="659" t="s">
        <v>794</v>
      </c>
      <c r="K1254" s="659" t="s">
        <v>794</v>
      </c>
      <c r="L1254" s="659" t="s">
        <v>794</v>
      </c>
      <c r="M1254" s="659"/>
      <c r="N1254" s="659"/>
      <c r="O1254" s="659"/>
      <c r="P1254" s="659"/>
      <c r="Q1254" s="659" t="s">
        <v>3102</v>
      </c>
      <c r="R1254" s="660"/>
      <c r="S1254" s="656"/>
      <c r="T1254" s="661">
        <v>43843</v>
      </c>
      <c r="U1254" s="660"/>
      <c r="V1254" s="659"/>
      <c r="W1254" s="486"/>
    </row>
    <row r="1255" spans="1:23" ht="14.25" customHeight="1">
      <c r="A1255" s="656" t="s">
        <v>698</v>
      </c>
      <c r="B1255" s="657" t="s">
        <v>3033</v>
      </c>
      <c r="C1255" s="658" t="s">
        <v>3067</v>
      </c>
      <c r="D1255" s="485"/>
      <c r="E1255" s="659"/>
      <c r="F1255" s="659"/>
      <c r="G1255" s="659"/>
      <c r="H1255" s="659"/>
      <c r="I1255" s="659"/>
      <c r="J1255" s="659" t="s">
        <v>794</v>
      </c>
      <c r="K1255" s="659" t="s">
        <v>794</v>
      </c>
      <c r="L1255" s="659" t="s">
        <v>794</v>
      </c>
      <c r="M1255" s="659"/>
      <c r="N1255" s="659"/>
      <c r="O1255" s="659"/>
      <c r="P1255" s="659"/>
      <c r="Q1255" s="659" t="s">
        <v>3102</v>
      </c>
      <c r="R1255" s="660"/>
      <c r="S1255" s="656"/>
      <c r="T1255" s="661">
        <v>43843</v>
      </c>
      <c r="U1255" s="660"/>
      <c r="V1255" s="659"/>
      <c r="W1255" s="486"/>
    </row>
    <row r="1256" spans="1:23" ht="14.25" customHeight="1">
      <c r="A1256" s="656" t="s">
        <v>698</v>
      </c>
      <c r="B1256" s="657" t="s">
        <v>3033</v>
      </c>
      <c r="C1256" s="658" t="s">
        <v>3064</v>
      </c>
      <c r="D1256" s="485"/>
      <c r="E1256" s="659"/>
      <c r="F1256" s="659"/>
      <c r="G1256" s="659"/>
      <c r="H1256" s="659"/>
      <c r="I1256" s="659"/>
      <c r="J1256" s="659" t="s">
        <v>794</v>
      </c>
      <c r="K1256" s="659" t="s">
        <v>794</v>
      </c>
      <c r="L1256" s="659" t="s">
        <v>794</v>
      </c>
      <c r="M1256" s="659"/>
      <c r="N1256" s="659"/>
      <c r="O1256" s="659"/>
      <c r="P1256" s="659"/>
      <c r="Q1256" s="659" t="s">
        <v>3102</v>
      </c>
      <c r="R1256" s="660"/>
      <c r="S1256" s="656"/>
      <c r="T1256" s="661">
        <v>43843</v>
      </c>
      <c r="U1256" s="660"/>
      <c r="V1256" s="659"/>
      <c r="W1256" s="486"/>
    </row>
    <row r="1257" spans="1:23" ht="14.25" customHeight="1">
      <c r="A1257" s="656" t="s">
        <v>698</v>
      </c>
      <c r="B1257" s="657" t="s">
        <v>3033</v>
      </c>
      <c r="C1257" s="658" t="s">
        <v>3052</v>
      </c>
      <c r="D1257" s="485"/>
      <c r="E1257" s="659"/>
      <c r="F1257" s="659"/>
      <c r="G1257" s="659"/>
      <c r="H1257" s="659"/>
      <c r="I1257" s="659"/>
      <c r="J1257" s="659" t="s">
        <v>794</v>
      </c>
      <c r="K1257" s="659" t="s">
        <v>794</v>
      </c>
      <c r="L1257" s="659" t="s">
        <v>794</v>
      </c>
      <c r="M1257" s="659"/>
      <c r="N1257" s="659"/>
      <c r="O1257" s="659"/>
      <c r="P1257" s="659"/>
      <c r="Q1257" s="659" t="s">
        <v>3102</v>
      </c>
      <c r="R1257" s="660"/>
      <c r="S1257" s="656"/>
      <c r="T1257" s="661">
        <v>43843</v>
      </c>
      <c r="U1257" s="660"/>
      <c r="V1257" s="659"/>
      <c r="W1257" s="486"/>
    </row>
    <row r="1258" spans="1:23" ht="14.25" customHeight="1">
      <c r="A1258" s="656" t="s">
        <v>698</v>
      </c>
      <c r="B1258" s="657" t="s">
        <v>3033</v>
      </c>
      <c r="C1258" s="658" t="s">
        <v>3041</v>
      </c>
      <c r="D1258" s="485"/>
      <c r="E1258" s="659"/>
      <c r="F1258" s="659"/>
      <c r="G1258" s="659"/>
      <c r="H1258" s="659"/>
      <c r="I1258" s="659"/>
      <c r="J1258" s="659" t="s">
        <v>794</v>
      </c>
      <c r="K1258" s="659" t="s">
        <v>794</v>
      </c>
      <c r="L1258" s="659" t="s">
        <v>794</v>
      </c>
      <c r="M1258" s="659"/>
      <c r="N1258" s="659"/>
      <c r="O1258" s="659"/>
      <c r="P1258" s="659"/>
      <c r="Q1258" s="659" t="s">
        <v>3102</v>
      </c>
      <c r="R1258" s="660"/>
      <c r="S1258" s="656"/>
      <c r="T1258" s="661">
        <v>43843</v>
      </c>
      <c r="U1258" s="660"/>
      <c r="V1258" s="659"/>
      <c r="W1258" s="486"/>
    </row>
    <row r="1259" spans="1:23" ht="14.25" customHeight="1">
      <c r="A1259" s="656" t="s">
        <v>698</v>
      </c>
      <c r="B1259" s="657" t="s">
        <v>3033</v>
      </c>
      <c r="C1259" s="658" t="s">
        <v>3060</v>
      </c>
      <c r="D1259" s="485"/>
      <c r="E1259" s="659"/>
      <c r="F1259" s="659"/>
      <c r="G1259" s="659"/>
      <c r="H1259" s="659"/>
      <c r="I1259" s="659"/>
      <c r="J1259" s="659" t="s">
        <v>794</v>
      </c>
      <c r="K1259" s="659" t="s">
        <v>794</v>
      </c>
      <c r="L1259" s="659" t="s">
        <v>794</v>
      </c>
      <c r="M1259" s="659"/>
      <c r="N1259" s="659"/>
      <c r="O1259" s="659"/>
      <c r="P1259" s="659"/>
      <c r="Q1259" s="659" t="s">
        <v>3102</v>
      </c>
      <c r="R1259" s="660"/>
      <c r="S1259" s="656"/>
      <c r="T1259" s="661">
        <v>43843</v>
      </c>
      <c r="U1259" s="660"/>
      <c r="V1259" s="659"/>
      <c r="W1259" s="486"/>
    </row>
    <row r="1260" spans="1:23" ht="14.25" customHeight="1">
      <c r="A1260" s="656" t="s">
        <v>698</v>
      </c>
      <c r="B1260" s="657" t="s">
        <v>3033</v>
      </c>
      <c r="C1260" s="658" t="s">
        <v>3065</v>
      </c>
      <c r="D1260" s="485"/>
      <c r="E1260" s="659"/>
      <c r="F1260" s="659"/>
      <c r="G1260" s="659"/>
      <c r="H1260" s="659"/>
      <c r="I1260" s="659"/>
      <c r="J1260" s="659" t="s">
        <v>794</v>
      </c>
      <c r="K1260" s="659" t="s">
        <v>794</v>
      </c>
      <c r="L1260" s="659" t="s">
        <v>794</v>
      </c>
      <c r="M1260" s="659"/>
      <c r="N1260" s="659"/>
      <c r="O1260" s="659"/>
      <c r="P1260" s="659"/>
      <c r="Q1260" s="659" t="s">
        <v>3102</v>
      </c>
      <c r="R1260" s="660"/>
      <c r="S1260" s="656"/>
      <c r="T1260" s="661">
        <v>43843</v>
      </c>
      <c r="U1260" s="660"/>
      <c r="V1260" s="659"/>
      <c r="W1260" s="486"/>
    </row>
    <row r="1261" spans="1:23" ht="14.25" customHeight="1">
      <c r="A1261" s="656" t="s">
        <v>698</v>
      </c>
      <c r="B1261" s="657" t="s">
        <v>3033</v>
      </c>
      <c r="C1261" s="658" t="s">
        <v>3059</v>
      </c>
      <c r="D1261" s="485"/>
      <c r="E1261" s="659"/>
      <c r="F1261" s="659"/>
      <c r="G1261" s="659"/>
      <c r="H1261" s="659"/>
      <c r="I1261" s="659"/>
      <c r="J1261" s="659" t="s">
        <v>794</v>
      </c>
      <c r="K1261" s="659" t="s">
        <v>794</v>
      </c>
      <c r="L1261" s="659" t="s">
        <v>794</v>
      </c>
      <c r="M1261" s="659"/>
      <c r="N1261" s="659"/>
      <c r="O1261" s="659"/>
      <c r="P1261" s="659"/>
      <c r="Q1261" s="659" t="s">
        <v>3102</v>
      </c>
      <c r="R1261" s="660"/>
      <c r="S1261" s="656"/>
      <c r="T1261" s="661">
        <v>43843</v>
      </c>
      <c r="U1261" s="660"/>
      <c r="V1261" s="659"/>
      <c r="W1261" s="486"/>
    </row>
    <row r="1262" spans="1:23" ht="14.25" customHeight="1">
      <c r="A1262" s="656" t="s">
        <v>698</v>
      </c>
      <c r="B1262" s="657" t="s">
        <v>3033</v>
      </c>
      <c r="C1262" s="658" t="s">
        <v>3043</v>
      </c>
      <c r="D1262" s="485"/>
      <c r="E1262" s="659"/>
      <c r="F1262" s="659"/>
      <c r="G1262" s="659"/>
      <c r="H1262" s="659"/>
      <c r="I1262" s="659"/>
      <c r="J1262" s="659" t="s">
        <v>794</v>
      </c>
      <c r="K1262" s="659" t="s">
        <v>794</v>
      </c>
      <c r="L1262" s="659" t="s">
        <v>794</v>
      </c>
      <c r="M1262" s="659"/>
      <c r="N1262" s="659"/>
      <c r="O1262" s="659"/>
      <c r="P1262" s="659"/>
      <c r="Q1262" s="659" t="s">
        <v>3102</v>
      </c>
      <c r="R1262" s="660"/>
      <c r="S1262" s="656"/>
      <c r="T1262" s="661">
        <v>43843</v>
      </c>
      <c r="U1262" s="660"/>
      <c r="V1262" s="659"/>
      <c r="W1262" s="486"/>
    </row>
    <row r="1263" spans="1:23" ht="14.25" customHeight="1">
      <c r="A1263" s="656" t="s">
        <v>698</v>
      </c>
      <c r="B1263" s="657" t="s">
        <v>3033</v>
      </c>
      <c r="C1263" s="658" t="s">
        <v>3066</v>
      </c>
      <c r="D1263" s="485"/>
      <c r="E1263" s="659"/>
      <c r="F1263" s="659"/>
      <c r="G1263" s="659"/>
      <c r="H1263" s="659"/>
      <c r="I1263" s="659"/>
      <c r="J1263" s="659" t="s">
        <v>794</v>
      </c>
      <c r="K1263" s="659" t="s">
        <v>794</v>
      </c>
      <c r="L1263" s="659" t="s">
        <v>794</v>
      </c>
      <c r="M1263" s="659"/>
      <c r="N1263" s="659"/>
      <c r="O1263" s="659"/>
      <c r="P1263" s="659"/>
      <c r="Q1263" s="659" t="s">
        <v>3102</v>
      </c>
      <c r="R1263" s="660"/>
      <c r="S1263" s="656"/>
      <c r="T1263" s="661">
        <v>43843</v>
      </c>
      <c r="U1263" s="660"/>
      <c r="V1263" s="659"/>
      <c r="W1263" s="486"/>
    </row>
    <row r="1264" spans="1:23" ht="14.25" customHeight="1">
      <c r="A1264" s="656" t="s">
        <v>698</v>
      </c>
      <c r="B1264" s="657" t="s">
        <v>3033</v>
      </c>
      <c r="C1264" s="658" t="s">
        <v>3063</v>
      </c>
      <c r="D1264" s="485"/>
      <c r="E1264" s="659"/>
      <c r="F1264" s="659"/>
      <c r="G1264" s="659"/>
      <c r="H1264" s="659"/>
      <c r="I1264" s="659"/>
      <c r="J1264" s="659" t="s">
        <v>794</v>
      </c>
      <c r="K1264" s="659" t="s">
        <v>794</v>
      </c>
      <c r="L1264" s="659" t="s">
        <v>794</v>
      </c>
      <c r="M1264" s="659"/>
      <c r="N1264" s="659"/>
      <c r="O1264" s="659"/>
      <c r="P1264" s="659"/>
      <c r="Q1264" s="659" t="s">
        <v>3102</v>
      </c>
      <c r="R1264" s="660"/>
      <c r="S1264" s="656"/>
      <c r="T1264" s="661">
        <v>43843</v>
      </c>
      <c r="U1264" s="660"/>
      <c r="V1264" s="659"/>
      <c r="W1264" s="486"/>
    </row>
    <row r="1265" spans="1:23" ht="14.25" customHeight="1">
      <c r="A1265" s="656" t="s">
        <v>698</v>
      </c>
      <c r="B1265" s="657" t="s">
        <v>3033</v>
      </c>
      <c r="C1265" s="658" t="s">
        <v>3062</v>
      </c>
      <c r="D1265" s="485"/>
      <c r="E1265" s="659"/>
      <c r="F1265" s="667"/>
      <c r="G1265" s="659"/>
      <c r="H1265" s="659"/>
      <c r="I1265" s="659"/>
      <c r="J1265" s="659" t="s">
        <v>794</v>
      </c>
      <c r="K1265" s="659" t="s">
        <v>794</v>
      </c>
      <c r="L1265" s="659" t="s">
        <v>794</v>
      </c>
      <c r="M1265" s="659"/>
      <c r="N1265" s="659"/>
      <c r="O1265" s="659"/>
      <c r="P1265" s="659"/>
      <c r="Q1265" s="659" t="s">
        <v>3102</v>
      </c>
      <c r="R1265" s="660"/>
      <c r="S1265" s="656"/>
      <c r="T1265" s="661">
        <v>43843</v>
      </c>
      <c r="U1265" s="660"/>
      <c r="V1265" s="659"/>
      <c r="W1265" s="486"/>
    </row>
    <row r="1266" spans="1:23" ht="14.25" customHeight="1">
      <c r="A1266" s="656" t="s">
        <v>698</v>
      </c>
      <c r="B1266" s="657" t="s">
        <v>3033</v>
      </c>
      <c r="C1266" s="658" t="s">
        <v>3057</v>
      </c>
      <c r="D1266" s="485"/>
      <c r="E1266" s="659"/>
      <c r="F1266" s="659"/>
      <c r="G1266" s="659"/>
      <c r="H1266" s="659"/>
      <c r="I1266" s="659"/>
      <c r="J1266" s="659" t="s">
        <v>794</v>
      </c>
      <c r="K1266" s="659" t="s">
        <v>794</v>
      </c>
      <c r="L1266" s="659" t="s">
        <v>794</v>
      </c>
      <c r="M1266" s="659"/>
      <c r="N1266" s="659"/>
      <c r="O1266" s="659"/>
      <c r="P1266" s="659"/>
      <c r="Q1266" s="659" t="s">
        <v>3102</v>
      </c>
      <c r="R1266" s="660"/>
      <c r="S1266" s="656"/>
      <c r="T1266" s="661">
        <v>43843</v>
      </c>
      <c r="U1266" s="660"/>
      <c r="V1266" s="659"/>
      <c r="W1266" s="486"/>
    </row>
    <row r="1267" spans="1:23" ht="14.25" customHeight="1">
      <c r="A1267" s="656" t="s">
        <v>698</v>
      </c>
      <c r="B1267" s="657" t="s">
        <v>3033</v>
      </c>
      <c r="C1267" s="658" t="s">
        <v>3058</v>
      </c>
      <c r="D1267" s="485"/>
      <c r="E1267" s="659"/>
      <c r="F1267" s="659"/>
      <c r="G1267" s="659"/>
      <c r="H1267" s="659"/>
      <c r="I1267" s="659"/>
      <c r="J1267" s="659" t="s">
        <v>794</v>
      </c>
      <c r="K1267" s="659" t="s">
        <v>794</v>
      </c>
      <c r="L1267" s="659" t="s">
        <v>794</v>
      </c>
      <c r="M1267" s="659"/>
      <c r="N1267" s="659"/>
      <c r="O1267" s="659"/>
      <c r="P1267" s="659"/>
      <c r="Q1267" s="659" t="s">
        <v>3102</v>
      </c>
      <c r="R1267" s="660"/>
      <c r="S1267" s="656"/>
      <c r="T1267" s="661">
        <v>43843</v>
      </c>
      <c r="U1267" s="660"/>
      <c r="V1267" s="659"/>
      <c r="W1267" s="486"/>
    </row>
    <row r="1268" spans="1:23" ht="14.25" customHeight="1">
      <c r="A1268" s="656" t="s">
        <v>698</v>
      </c>
      <c r="B1268" s="657" t="s">
        <v>3033</v>
      </c>
      <c r="C1268" s="658" t="s">
        <v>3053</v>
      </c>
      <c r="D1268" s="485"/>
      <c r="E1268" s="659"/>
      <c r="F1268" s="659"/>
      <c r="G1268" s="659"/>
      <c r="H1268" s="659"/>
      <c r="I1268" s="659"/>
      <c r="J1268" s="659" t="s">
        <v>794</v>
      </c>
      <c r="K1268" s="659" t="s">
        <v>794</v>
      </c>
      <c r="L1268" s="659" t="s">
        <v>794</v>
      </c>
      <c r="M1268" s="659"/>
      <c r="N1268" s="659"/>
      <c r="O1268" s="659"/>
      <c r="P1268" s="659"/>
      <c r="Q1268" s="659" t="s">
        <v>3102</v>
      </c>
      <c r="R1268" s="660"/>
      <c r="S1268" s="656"/>
      <c r="T1268" s="661">
        <v>43843</v>
      </c>
      <c r="U1268" s="660"/>
      <c r="V1268" s="659"/>
      <c r="W1268" s="486"/>
    </row>
    <row r="1269" spans="1:23" ht="14.25" customHeight="1">
      <c r="A1269" s="656" t="s">
        <v>698</v>
      </c>
      <c r="B1269" s="657" t="s">
        <v>3033</v>
      </c>
      <c r="C1269" s="658" t="s">
        <v>3061</v>
      </c>
      <c r="D1269" s="485"/>
      <c r="E1269" s="659"/>
      <c r="F1269" s="659"/>
      <c r="G1269" s="659"/>
      <c r="H1269" s="659"/>
      <c r="I1269" s="659"/>
      <c r="J1269" s="659" t="s">
        <v>794</v>
      </c>
      <c r="K1269" s="659" t="s">
        <v>794</v>
      </c>
      <c r="L1269" s="659" t="s">
        <v>794</v>
      </c>
      <c r="M1269" s="659"/>
      <c r="N1269" s="659"/>
      <c r="O1269" s="659"/>
      <c r="P1269" s="659"/>
      <c r="Q1269" s="659" t="s">
        <v>3102</v>
      </c>
      <c r="R1269" s="660"/>
      <c r="S1269" s="656"/>
      <c r="T1269" s="661">
        <v>43843</v>
      </c>
      <c r="U1269" s="660"/>
      <c r="V1269" s="659"/>
      <c r="W1269" s="486"/>
    </row>
    <row r="1270" spans="1:23" ht="14.25" customHeight="1">
      <c r="A1270" s="656" t="s">
        <v>698</v>
      </c>
      <c r="B1270" s="657" t="s">
        <v>3033</v>
      </c>
      <c r="C1270" s="658" t="s">
        <v>3042</v>
      </c>
      <c r="D1270" s="485"/>
      <c r="E1270" s="659"/>
      <c r="F1270" s="659"/>
      <c r="G1270" s="659"/>
      <c r="H1270" s="659"/>
      <c r="I1270" s="659"/>
      <c r="J1270" s="659" t="s">
        <v>794</v>
      </c>
      <c r="K1270" s="659" t="s">
        <v>794</v>
      </c>
      <c r="L1270" s="659" t="s">
        <v>794</v>
      </c>
      <c r="M1270" s="659"/>
      <c r="N1270" s="659"/>
      <c r="O1270" s="659"/>
      <c r="P1270" s="659"/>
      <c r="Q1270" s="659" t="s">
        <v>3102</v>
      </c>
      <c r="R1270" s="660"/>
      <c r="S1270" s="656"/>
      <c r="T1270" s="661">
        <v>43843</v>
      </c>
      <c r="U1270" s="660"/>
      <c r="V1270" s="659"/>
      <c r="W1270" s="486"/>
    </row>
    <row r="1271" spans="1:23" ht="14.25" customHeight="1">
      <c r="A1271" s="656" t="s">
        <v>698</v>
      </c>
      <c r="B1271" s="657" t="s">
        <v>3033</v>
      </c>
      <c r="C1271" s="658" t="s">
        <v>3054</v>
      </c>
      <c r="D1271" s="485"/>
      <c r="E1271" s="659"/>
      <c r="F1271" s="659"/>
      <c r="G1271" s="659"/>
      <c r="H1271" s="659"/>
      <c r="I1271" s="659"/>
      <c r="J1271" s="659" t="s">
        <v>794</v>
      </c>
      <c r="K1271" s="659" t="s">
        <v>794</v>
      </c>
      <c r="L1271" s="659" t="s">
        <v>794</v>
      </c>
      <c r="M1271" s="659"/>
      <c r="N1271" s="659"/>
      <c r="O1271" s="659"/>
      <c r="P1271" s="659"/>
      <c r="Q1271" s="659" t="s">
        <v>3102</v>
      </c>
      <c r="R1271" s="660"/>
      <c r="S1271" s="656"/>
      <c r="T1271" s="661">
        <v>43843</v>
      </c>
      <c r="U1271" s="660"/>
      <c r="V1271" s="659"/>
      <c r="W1271" s="486"/>
    </row>
    <row r="1272" spans="1:23" ht="14.25" customHeight="1">
      <c r="A1272" s="656" t="s">
        <v>698</v>
      </c>
      <c r="B1272" s="657" t="s">
        <v>3033</v>
      </c>
      <c r="C1272" s="658" t="s">
        <v>3055</v>
      </c>
      <c r="D1272" s="485"/>
      <c r="E1272" s="659"/>
      <c r="F1272" s="659"/>
      <c r="G1272" s="659"/>
      <c r="H1272" s="659"/>
      <c r="I1272" s="659"/>
      <c r="J1272" s="659" t="s">
        <v>794</v>
      </c>
      <c r="K1272" s="659" t="s">
        <v>794</v>
      </c>
      <c r="L1272" s="659" t="s">
        <v>794</v>
      </c>
      <c r="M1272" s="659"/>
      <c r="N1272" s="659"/>
      <c r="O1272" s="659"/>
      <c r="P1272" s="659"/>
      <c r="Q1272" s="659" t="s">
        <v>3102</v>
      </c>
      <c r="R1272" s="660"/>
      <c r="S1272" s="656"/>
      <c r="T1272" s="661">
        <v>43843</v>
      </c>
      <c r="U1272" s="660"/>
      <c r="V1272" s="659"/>
      <c r="W1272" s="486"/>
    </row>
    <row r="1273" spans="1:23" ht="14.25" customHeight="1">
      <c r="A1273" s="656" t="s">
        <v>698</v>
      </c>
      <c r="B1273" s="657" t="s">
        <v>3033</v>
      </c>
      <c r="C1273" s="658" t="s">
        <v>3046</v>
      </c>
      <c r="D1273" s="485"/>
      <c r="E1273" s="659"/>
      <c r="F1273" s="659"/>
      <c r="G1273" s="659"/>
      <c r="H1273" s="659"/>
      <c r="I1273" s="659"/>
      <c r="J1273" s="659" t="s">
        <v>794</v>
      </c>
      <c r="K1273" s="659" t="s">
        <v>794</v>
      </c>
      <c r="L1273" s="659" t="s">
        <v>794</v>
      </c>
      <c r="M1273" s="659"/>
      <c r="N1273" s="659"/>
      <c r="O1273" s="659"/>
      <c r="P1273" s="659"/>
      <c r="Q1273" s="659" t="s">
        <v>3102</v>
      </c>
      <c r="R1273" s="660"/>
      <c r="S1273" s="656"/>
      <c r="T1273" s="661">
        <v>43843</v>
      </c>
      <c r="U1273" s="660"/>
      <c r="V1273" s="659"/>
      <c r="W1273" s="486"/>
    </row>
    <row r="1274" spans="1:23" ht="14.25" customHeight="1">
      <c r="A1274" s="656" t="s">
        <v>698</v>
      </c>
      <c r="B1274" s="657" t="s">
        <v>3033</v>
      </c>
      <c r="C1274" s="658" t="s">
        <v>3056</v>
      </c>
      <c r="D1274" s="485"/>
      <c r="E1274" s="659"/>
      <c r="F1274" s="659"/>
      <c r="G1274" s="659"/>
      <c r="H1274" s="659"/>
      <c r="I1274" s="659"/>
      <c r="J1274" s="659" t="s">
        <v>794</v>
      </c>
      <c r="K1274" s="659" t="s">
        <v>794</v>
      </c>
      <c r="L1274" s="659" t="s">
        <v>794</v>
      </c>
      <c r="M1274" s="659"/>
      <c r="N1274" s="659"/>
      <c r="O1274" s="659"/>
      <c r="P1274" s="659"/>
      <c r="Q1274" s="659" t="s">
        <v>3102</v>
      </c>
      <c r="R1274" s="660"/>
      <c r="S1274" s="656"/>
      <c r="T1274" s="661">
        <v>43843</v>
      </c>
      <c r="U1274" s="660"/>
      <c r="V1274" s="659"/>
      <c r="W1274" s="486"/>
    </row>
    <row r="1275" spans="1:23" ht="14.25" customHeight="1">
      <c r="A1275" s="656" t="s">
        <v>698</v>
      </c>
      <c r="B1275" s="657" t="s">
        <v>3033</v>
      </c>
      <c r="C1275" s="658" t="s">
        <v>3039</v>
      </c>
      <c r="D1275" s="485"/>
      <c r="E1275" s="659"/>
      <c r="F1275" s="659"/>
      <c r="G1275" s="659"/>
      <c r="H1275" s="659"/>
      <c r="I1275" s="659"/>
      <c r="J1275" s="659" t="s">
        <v>794</v>
      </c>
      <c r="K1275" s="659" t="s">
        <v>794</v>
      </c>
      <c r="L1275" s="659" t="s">
        <v>794</v>
      </c>
      <c r="M1275" s="659"/>
      <c r="N1275" s="659"/>
      <c r="O1275" s="659"/>
      <c r="P1275" s="659"/>
      <c r="Q1275" s="659" t="s">
        <v>3102</v>
      </c>
      <c r="R1275" s="660"/>
      <c r="S1275" s="656"/>
      <c r="T1275" s="661">
        <v>43843</v>
      </c>
      <c r="U1275" s="660"/>
      <c r="V1275" s="659"/>
      <c r="W1275" s="486"/>
    </row>
    <row r="1276" spans="1:23" ht="14.25" customHeight="1">
      <c r="A1276" s="656" t="s">
        <v>698</v>
      </c>
      <c r="B1276" s="657" t="s">
        <v>3033</v>
      </c>
      <c r="C1276" s="658" t="s">
        <v>3051</v>
      </c>
      <c r="D1276" s="485"/>
      <c r="E1276" s="659"/>
      <c r="F1276" s="659"/>
      <c r="G1276" s="659"/>
      <c r="H1276" s="659"/>
      <c r="I1276" s="659"/>
      <c r="J1276" s="659" t="s">
        <v>794</v>
      </c>
      <c r="K1276" s="659" t="s">
        <v>794</v>
      </c>
      <c r="L1276" s="659" t="s">
        <v>794</v>
      </c>
      <c r="M1276" s="659"/>
      <c r="N1276" s="659"/>
      <c r="O1276" s="659"/>
      <c r="P1276" s="659"/>
      <c r="Q1276" s="659" t="s">
        <v>3102</v>
      </c>
      <c r="R1276" s="660"/>
      <c r="S1276" s="656"/>
      <c r="T1276" s="661">
        <v>43843</v>
      </c>
      <c r="U1276" s="660"/>
      <c r="V1276" s="659"/>
      <c r="W1276" s="486"/>
    </row>
    <row r="1277" spans="1:23" ht="14.25" customHeight="1">
      <c r="A1277" s="656" t="s">
        <v>698</v>
      </c>
      <c r="B1277" s="657" t="s">
        <v>3033</v>
      </c>
      <c r="C1277" s="658" t="s">
        <v>3050</v>
      </c>
      <c r="D1277" s="485"/>
      <c r="E1277" s="659"/>
      <c r="F1277" s="659"/>
      <c r="G1277" s="659"/>
      <c r="H1277" s="659"/>
      <c r="I1277" s="659"/>
      <c r="J1277" s="659" t="s">
        <v>794</v>
      </c>
      <c r="K1277" s="659" t="s">
        <v>794</v>
      </c>
      <c r="L1277" s="659" t="s">
        <v>794</v>
      </c>
      <c r="M1277" s="659"/>
      <c r="N1277" s="659"/>
      <c r="O1277" s="659"/>
      <c r="P1277" s="659"/>
      <c r="Q1277" s="659" t="s">
        <v>3102</v>
      </c>
      <c r="R1277" s="660"/>
      <c r="S1277" s="656"/>
      <c r="T1277" s="661">
        <v>43843</v>
      </c>
      <c r="U1277" s="660"/>
      <c r="V1277" s="659"/>
      <c r="W1277" s="486"/>
    </row>
    <row r="1278" spans="1:23" ht="14.25" customHeight="1">
      <c r="A1278" s="656" t="s">
        <v>698</v>
      </c>
      <c r="B1278" s="657" t="s">
        <v>3033</v>
      </c>
      <c r="C1278" s="658" t="s">
        <v>3034</v>
      </c>
      <c r="D1278" s="485"/>
      <c r="E1278" s="659"/>
      <c r="F1278" s="659"/>
      <c r="G1278" s="659"/>
      <c r="H1278" s="659"/>
      <c r="I1278" s="659"/>
      <c r="J1278" s="659" t="s">
        <v>794</v>
      </c>
      <c r="K1278" s="659" t="s">
        <v>794</v>
      </c>
      <c r="L1278" s="659" t="s">
        <v>794</v>
      </c>
      <c r="M1278" s="659"/>
      <c r="N1278" s="659"/>
      <c r="O1278" s="659"/>
      <c r="P1278" s="659"/>
      <c r="Q1278" s="659" t="s">
        <v>3102</v>
      </c>
      <c r="R1278" s="660"/>
      <c r="S1278" s="656"/>
      <c r="T1278" s="661">
        <v>43843</v>
      </c>
      <c r="U1278" s="660"/>
      <c r="V1278" s="659"/>
      <c r="W1278" s="486"/>
    </row>
    <row r="1279" spans="1:23" ht="14.25" customHeight="1">
      <c r="A1279" s="656" t="s">
        <v>698</v>
      </c>
      <c r="B1279" s="657" t="s">
        <v>3033</v>
      </c>
      <c r="C1279" s="658" t="s">
        <v>3048</v>
      </c>
      <c r="D1279" s="485"/>
      <c r="E1279" s="659"/>
      <c r="F1279" s="659"/>
      <c r="G1279" s="659"/>
      <c r="H1279" s="659"/>
      <c r="I1279" s="659"/>
      <c r="J1279" s="659" t="s">
        <v>794</v>
      </c>
      <c r="K1279" s="659" t="s">
        <v>794</v>
      </c>
      <c r="L1279" s="659" t="s">
        <v>794</v>
      </c>
      <c r="M1279" s="659"/>
      <c r="N1279" s="659"/>
      <c r="O1279" s="659"/>
      <c r="P1279" s="659"/>
      <c r="Q1279" s="659" t="s">
        <v>3102</v>
      </c>
      <c r="R1279" s="660"/>
      <c r="S1279" s="656"/>
      <c r="T1279" s="661">
        <v>43843</v>
      </c>
      <c r="U1279" s="660"/>
      <c r="V1279" s="659"/>
      <c r="W1279" s="486"/>
    </row>
    <row r="1280" spans="1:23" ht="14.25" customHeight="1">
      <c r="A1280" s="656" t="s">
        <v>698</v>
      </c>
      <c r="B1280" s="657" t="s">
        <v>3033</v>
      </c>
      <c r="C1280" s="658" t="s">
        <v>3036</v>
      </c>
      <c r="D1280" s="485"/>
      <c r="E1280" s="659"/>
      <c r="F1280" s="659"/>
      <c r="G1280" s="659"/>
      <c r="H1280" s="659"/>
      <c r="I1280" s="659"/>
      <c r="J1280" s="659" t="s">
        <v>794</v>
      </c>
      <c r="K1280" s="659" t="s">
        <v>794</v>
      </c>
      <c r="L1280" s="659" t="s">
        <v>794</v>
      </c>
      <c r="M1280" s="659"/>
      <c r="N1280" s="659"/>
      <c r="O1280" s="659"/>
      <c r="P1280" s="659"/>
      <c r="Q1280" s="659" t="s">
        <v>3102</v>
      </c>
      <c r="R1280" s="660"/>
      <c r="S1280" s="656"/>
      <c r="T1280" s="661">
        <v>43843</v>
      </c>
      <c r="U1280" s="660"/>
      <c r="V1280" s="659"/>
      <c r="W1280" s="486"/>
    </row>
    <row r="1281" spans="1:23" ht="14.25" customHeight="1">
      <c r="A1281" s="656" t="s">
        <v>698</v>
      </c>
      <c r="B1281" s="657" t="s">
        <v>3033</v>
      </c>
      <c r="C1281" s="658" t="s">
        <v>3047</v>
      </c>
      <c r="D1281" s="485"/>
      <c r="E1281" s="659"/>
      <c r="F1281" s="659"/>
      <c r="G1281" s="659"/>
      <c r="H1281" s="659"/>
      <c r="I1281" s="659"/>
      <c r="J1281" s="659" t="s">
        <v>794</v>
      </c>
      <c r="K1281" s="659" t="s">
        <v>794</v>
      </c>
      <c r="L1281" s="659" t="s">
        <v>794</v>
      </c>
      <c r="M1281" s="659"/>
      <c r="N1281" s="659"/>
      <c r="O1281" s="659"/>
      <c r="P1281" s="659"/>
      <c r="Q1281" s="659" t="s">
        <v>3102</v>
      </c>
      <c r="R1281" s="660"/>
      <c r="S1281" s="656"/>
      <c r="T1281" s="661">
        <v>43843</v>
      </c>
      <c r="U1281" s="660"/>
      <c r="V1281" s="659"/>
      <c r="W1281" s="486"/>
    </row>
    <row r="1282" spans="1:23" ht="14.25" customHeight="1">
      <c r="A1282" s="656" t="s">
        <v>698</v>
      </c>
      <c r="B1282" s="657" t="s">
        <v>3033</v>
      </c>
      <c r="C1282" s="658" t="s">
        <v>3045</v>
      </c>
      <c r="D1282" s="485"/>
      <c r="E1282" s="659"/>
      <c r="F1282" s="659"/>
      <c r="G1282" s="659"/>
      <c r="H1282" s="659"/>
      <c r="I1282" s="659"/>
      <c r="J1282" s="659" t="s">
        <v>794</v>
      </c>
      <c r="K1282" s="659" t="s">
        <v>794</v>
      </c>
      <c r="L1282" s="659" t="s">
        <v>794</v>
      </c>
      <c r="M1282" s="659"/>
      <c r="N1282" s="659"/>
      <c r="O1282" s="659"/>
      <c r="P1282" s="659"/>
      <c r="Q1282" s="659" t="s">
        <v>3102</v>
      </c>
      <c r="R1282" s="660"/>
      <c r="S1282" s="656"/>
      <c r="T1282" s="661">
        <v>43843</v>
      </c>
      <c r="U1282" s="660"/>
      <c r="V1282" s="659"/>
      <c r="W1282" s="486"/>
    </row>
    <row r="1283" spans="1:23" ht="14.25" customHeight="1">
      <c r="A1283" s="656" t="s">
        <v>698</v>
      </c>
      <c r="B1283" s="657" t="s">
        <v>3033</v>
      </c>
      <c r="C1283" s="658" t="s">
        <v>3044</v>
      </c>
      <c r="D1283" s="485"/>
      <c r="E1283" s="659"/>
      <c r="F1283" s="659"/>
      <c r="G1283" s="659"/>
      <c r="H1283" s="659"/>
      <c r="I1283" s="659"/>
      <c r="J1283" s="659" t="s">
        <v>794</v>
      </c>
      <c r="K1283" s="659" t="s">
        <v>794</v>
      </c>
      <c r="L1283" s="659" t="s">
        <v>794</v>
      </c>
      <c r="M1283" s="659"/>
      <c r="N1283" s="659"/>
      <c r="O1283" s="659"/>
      <c r="P1283" s="659"/>
      <c r="Q1283" s="659" t="s">
        <v>3102</v>
      </c>
      <c r="R1283" s="660"/>
      <c r="S1283" s="656"/>
      <c r="T1283" s="661">
        <v>43843</v>
      </c>
      <c r="U1283" s="660"/>
      <c r="V1283" s="659"/>
      <c r="W1283" s="486"/>
    </row>
    <row r="1284" spans="1:23" ht="14.25" customHeight="1">
      <c r="A1284" s="656" t="s">
        <v>698</v>
      </c>
      <c r="B1284" s="657" t="s">
        <v>3012</v>
      </c>
      <c r="C1284" s="658" t="s">
        <v>3025</v>
      </c>
      <c r="D1284" s="485"/>
      <c r="E1284" s="659"/>
      <c r="F1284" s="659"/>
      <c r="G1284" s="659"/>
      <c r="H1284" s="659"/>
      <c r="I1284" s="659"/>
      <c r="J1284" s="659" t="s">
        <v>794</v>
      </c>
      <c r="K1284" s="659" t="s">
        <v>794</v>
      </c>
      <c r="L1284" s="659" t="s">
        <v>794</v>
      </c>
      <c r="M1284" s="659"/>
      <c r="N1284" s="659"/>
      <c r="O1284" s="659"/>
      <c r="P1284" s="659"/>
      <c r="Q1284" s="659" t="s">
        <v>3102</v>
      </c>
      <c r="R1284" s="660"/>
      <c r="S1284" s="656"/>
      <c r="T1284" s="661">
        <v>43843</v>
      </c>
      <c r="U1284" s="660"/>
      <c r="V1284" s="659"/>
      <c r="W1284" s="486"/>
    </row>
    <row r="1285" spans="1:23" ht="14.25" customHeight="1">
      <c r="A1285" s="656" t="s">
        <v>698</v>
      </c>
      <c r="B1285" s="657" t="s">
        <v>3012</v>
      </c>
      <c r="C1285" s="658" t="s">
        <v>3026</v>
      </c>
      <c r="D1285" s="485"/>
      <c r="E1285" s="659"/>
      <c r="F1285" s="659"/>
      <c r="G1285" s="659"/>
      <c r="H1285" s="659"/>
      <c r="I1285" s="659"/>
      <c r="J1285" s="659" t="s">
        <v>794</v>
      </c>
      <c r="K1285" s="659" t="s">
        <v>794</v>
      </c>
      <c r="L1285" s="659" t="s">
        <v>794</v>
      </c>
      <c r="M1285" s="659"/>
      <c r="N1285" s="659"/>
      <c r="O1285" s="659"/>
      <c r="P1285" s="659"/>
      <c r="Q1285" s="659" t="s">
        <v>3102</v>
      </c>
      <c r="R1285" s="660"/>
      <c r="S1285" s="656"/>
      <c r="T1285" s="661">
        <v>43843</v>
      </c>
      <c r="U1285" s="660"/>
      <c r="V1285" s="659"/>
      <c r="W1285" s="486"/>
    </row>
    <row r="1286" spans="1:23" ht="14.25" customHeight="1">
      <c r="A1286" s="656" t="s">
        <v>698</v>
      </c>
      <c r="B1286" s="657" t="s">
        <v>3012</v>
      </c>
      <c r="C1286" s="658" t="s">
        <v>3024</v>
      </c>
      <c r="D1286" s="485"/>
      <c r="E1286" s="659"/>
      <c r="F1286" s="670"/>
      <c r="G1286" s="659"/>
      <c r="H1286" s="659"/>
      <c r="I1286" s="659"/>
      <c r="J1286" s="659" t="s">
        <v>794</v>
      </c>
      <c r="K1286" s="659" t="s">
        <v>794</v>
      </c>
      <c r="L1286" s="659" t="s">
        <v>794</v>
      </c>
      <c r="M1286" s="659"/>
      <c r="N1286" s="659"/>
      <c r="O1286" s="659"/>
      <c r="P1286" s="659"/>
      <c r="Q1286" s="659" t="s">
        <v>3102</v>
      </c>
      <c r="R1286" s="660"/>
      <c r="S1286" s="656"/>
      <c r="T1286" s="661">
        <v>43843</v>
      </c>
      <c r="U1286" s="660"/>
      <c r="V1286" s="659"/>
      <c r="W1286" s="486"/>
    </row>
    <row r="1287" spans="1:23" ht="14.25" customHeight="1">
      <c r="A1287" s="656" t="s">
        <v>698</v>
      </c>
      <c r="B1287" s="657" t="s">
        <v>3012</v>
      </c>
      <c r="C1287" s="658" t="s">
        <v>3027</v>
      </c>
      <c r="D1287" s="485"/>
      <c r="E1287" s="659"/>
      <c r="F1287" s="659"/>
      <c r="G1287" s="659"/>
      <c r="H1287" s="659"/>
      <c r="I1287" s="659"/>
      <c r="J1287" s="659" t="s">
        <v>794</v>
      </c>
      <c r="K1287" s="659" t="s">
        <v>794</v>
      </c>
      <c r="L1287" s="659" t="s">
        <v>794</v>
      </c>
      <c r="M1287" s="659"/>
      <c r="N1287" s="659"/>
      <c r="O1287" s="659"/>
      <c r="P1287" s="659"/>
      <c r="Q1287" s="659" t="s">
        <v>3102</v>
      </c>
      <c r="R1287" s="660"/>
      <c r="S1287" s="656"/>
      <c r="T1287" s="661">
        <v>43843</v>
      </c>
      <c r="U1287" s="660"/>
      <c r="V1287" s="659"/>
      <c r="W1287" s="486"/>
    </row>
    <row r="1288" spans="1:23" ht="14.25" customHeight="1">
      <c r="A1288" s="656" t="s">
        <v>698</v>
      </c>
      <c r="B1288" s="657" t="s">
        <v>3012</v>
      </c>
      <c r="C1288" s="658" t="s">
        <v>3029</v>
      </c>
      <c r="D1288" s="485"/>
      <c r="E1288" s="659"/>
      <c r="F1288" s="659"/>
      <c r="G1288" s="659"/>
      <c r="H1288" s="659"/>
      <c r="I1288" s="659"/>
      <c r="J1288" s="659" t="s">
        <v>794</v>
      </c>
      <c r="K1288" s="659" t="s">
        <v>794</v>
      </c>
      <c r="L1288" s="659" t="s">
        <v>794</v>
      </c>
      <c r="M1288" s="659"/>
      <c r="N1288" s="659"/>
      <c r="O1288" s="659"/>
      <c r="P1288" s="659"/>
      <c r="Q1288" s="659" t="s">
        <v>3102</v>
      </c>
      <c r="R1288" s="660"/>
      <c r="S1288" s="656"/>
      <c r="T1288" s="661">
        <v>43843</v>
      </c>
      <c r="U1288" s="660"/>
      <c r="V1288" s="659"/>
      <c r="W1288" s="486"/>
    </row>
    <row r="1289" spans="1:23" ht="14.25" customHeight="1">
      <c r="A1289" s="656" t="s">
        <v>698</v>
      </c>
      <c r="B1289" s="657" t="s">
        <v>3012</v>
      </c>
      <c r="C1289" s="658" t="s">
        <v>3028</v>
      </c>
      <c r="D1289" s="485"/>
      <c r="E1289" s="659"/>
      <c r="F1289" s="659"/>
      <c r="G1289" s="659"/>
      <c r="H1289" s="659"/>
      <c r="I1289" s="659"/>
      <c r="J1289" s="659" t="s">
        <v>794</v>
      </c>
      <c r="K1289" s="659" t="s">
        <v>794</v>
      </c>
      <c r="L1289" s="659" t="s">
        <v>794</v>
      </c>
      <c r="M1289" s="659"/>
      <c r="N1289" s="659"/>
      <c r="O1289" s="659"/>
      <c r="P1289" s="659"/>
      <c r="Q1289" s="659" t="s">
        <v>3102</v>
      </c>
      <c r="R1289" s="660"/>
      <c r="S1289" s="656"/>
      <c r="T1289" s="661">
        <v>43843</v>
      </c>
      <c r="U1289" s="660"/>
      <c r="V1289" s="659"/>
      <c r="W1289" s="486"/>
    </row>
    <row r="1290" spans="1:23" ht="14.25" customHeight="1">
      <c r="A1290" s="656" t="s">
        <v>698</v>
      </c>
      <c r="B1290" s="657" t="s">
        <v>3012</v>
      </c>
      <c r="C1290" s="658" t="s">
        <v>3013</v>
      </c>
      <c r="D1290" s="485"/>
      <c r="E1290" s="659"/>
      <c r="F1290" s="659"/>
      <c r="G1290" s="659"/>
      <c r="H1290" s="659"/>
      <c r="I1290" s="659"/>
      <c r="J1290" s="659" t="s">
        <v>794</v>
      </c>
      <c r="K1290" s="659" t="s">
        <v>794</v>
      </c>
      <c r="L1290" s="659" t="s">
        <v>794</v>
      </c>
      <c r="M1290" s="659"/>
      <c r="N1290" s="659"/>
      <c r="O1290" s="659"/>
      <c r="P1290" s="659"/>
      <c r="Q1290" s="659" t="s">
        <v>3102</v>
      </c>
      <c r="R1290" s="660"/>
      <c r="S1290" s="656"/>
      <c r="T1290" s="661">
        <v>43843</v>
      </c>
      <c r="U1290" s="660"/>
      <c r="V1290" s="659"/>
      <c r="W1290" s="486"/>
    </row>
    <row r="1291" spans="1:23" ht="14.25" customHeight="1">
      <c r="A1291" s="656" t="s">
        <v>698</v>
      </c>
      <c r="B1291" s="657" t="s">
        <v>3012</v>
      </c>
      <c r="C1291" s="658" t="s">
        <v>3014</v>
      </c>
      <c r="D1291" s="485"/>
      <c r="E1291" s="659"/>
      <c r="F1291" s="659"/>
      <c r="G1291" s="659"/>
      <c r="H1291" s="659"/>
      <c r="I1291" s="659"/>
      <c r="J1291" s="659" t="s">
        <v>794</v>
      </c>
      <c r="K1291" s="659" t="s">
        <v>794</v>
      </c>
      <c r="L1291" s="659" t="s">
        <v>794</v>
      </c>
      <c r="M1291" s="659"/>
      <c r="N1291" s="659"/>
      <c r="O1291" s="659"/>
      <c r="P1291" s="659"/>
      <c r="Q1291" s="659" t="s">
        <v>3102</v>
      </c>
      <c r="R1291" s="660"/>
      <c r="S1291" s="656"/>
      <c r="T1291" s="661">
        <v>43843</v>
      </c>
      <c r="U1291" s="660"/>
      <c r="V1291" s="659"/>
      <c r="W1291" s="486"/>
    </row>
    <row r="1292" spans="1:23" ht="14.25" customHeight="1">
      <c r="A1292" s="656" t="s">
        <v>698</v>
      </c>
      <c r="B1292" s="657" t="s">
        <v>3012</v>
      </c>
      <c r="C1292" s="658" t="s">
        <v>3031</v>
      </c>
      <c r="D1292" s="485"/>
      <c r="E1292" s="659"/>
      <c r="F1292" s="659"/>
      <c r="G1292" s="659"/>
      <c r="H1292" s="659"/>
      <c r="I1292" s="659"/>
      <c r="J1292" s="659" t="s">
        <v>794</v>
      </c>
      <c r="K1292" s="659" t="s">
        <v>794</v>
      </c>
      <c r="L1292" s="659" t="s">
        <v>794</v>
      </c>
      <c r="M1292" s="659"/>
      <c r="N1292" s="659"/>
      <c r="O1292" s="659"/>
      <c r="P1292" s="659"/>
      <c r="Q1292" s="659" t="s">
        <v>3102</v>
      </c>
      <c r="R1292" s="660"/>
      <c r="S1292" s="656"/>
      <c r="T1292" s="661">
        <v>43843</v>
      </c>
      <c r="U1292" s="660"/>
      <c r="V1292" s="659"/>
      <c r="W1292" s="486"/>
    </row>
    <row r="1293" spans="1:23" ht="14.25" customHeight="1">
      <c r="A1293" s="656" t="s">
        <v>698</v>
      </c>
      <c r="B1293" s="657" t="s">
        <v>3012</v>
      </c>
      <c r="C1293" s="658" t="s">
        <v>3030</v>
      </c>
      <c r="D1293" s="485"/>
      <c r="E1293" s="659"/>
      <c r="F1293" s="659"/>
      <c r="G1293" s="659"/>
      <c r="H1293" s="659"/>
      <c r="I1293" s="659"/>
      <c r="J1293" s="659" t="s">
        <v>794</v>
      </c>
      <c r="K1293" s="659" t="s">
        <v>794</v>
      </c>
      <c r="L1293" s="659" t="s">
        <v>794</v>
      </c>
      <c r="M1293" s="659"/>
      <c r="N1293" s="659"/>
      <c r="O1293" s="659"/>
      <c r="P1293" s="659"/>
      <c r="Q1293" s="659" t="s">
        <v>3102</v>
      </c>
      <c r="R1293" s="660"/>
      <c r="S1293" s="656"/>
      <c r="T1293" s="661">
        <v>43843</v>
      </c>
      <c r="U1293" s="660"/>
      <c r="V1293" s="659"/>
      <c r="W1293" s="486"/>
    </row>
    <row r="1294" spans="1:23" ht="14.25" customHeight="1">
      <c r="A1294" s="656" t="s">
        <v>698</v>
      </c>
      <c r="B1294" s="657" t="s">
        <v>3012</v>
      </c>
      <c r="C1294" s="658" t="s">
        <v>3016</v>
      </c>
      <c r="D1294" s="485"/>
      <c r="E1294" s="659"/>
      <c r="F1294" s="659"/>
      <c r="G1294" s="659"/>
      <c r="H1294" s="659"/>
      <c r="I1294" s="659"/>
      <c r="J1294" s="659" t="s">
        <v>794</v>
      </c>
      <c r="K1294" s="659" t="s">
        <v>794</v>
      </c>
      <c r="L1294" s="659" t="s">
        <v>794</v>
      </c>
      <c r="M1294" s="659"/>
      <c r="N1294" s="659"/>
      <c r="O1294" s="659"/>
      <c r="P1294" s="659"/>
      <c r="Q1294" s="659" t="s">
        <v>3102</v>
      </c>
      <c r="R1294" s="660"/>
      <c r="S1294" s="656"/>
      <c r="T1294" s="661">
        <v>43843</v>
      </c>
      <c r="U1294" s="660"/>
      <c r="V1294" s="659"/>
      <c r="W1294" s="486"/>
    </row>
    <row r="1295" spans="1:23" ht="14.25" customHeight="1">
      <c r="A1295" s="656" t="s">
        <v>698</v>
      </c>
      <c r="B1295" s="657" t="s">
        <v>3012</v>
      </c>
      <c r="C1295" s="658" t="s">
        <v>3017</v>
      </c>
      <c r="D1295" s="485"/>
      <c r="E1295" s="659"/>
      <c r="F1295" s="659"/>
      <c r="G1295" s="659"/>
      <c r="H1295" s="659"/>
      <c r="I1295" s="659"/>
      <c r="J1295" s="659" t="s">
        <v>794</v>
      </c>
      <c r="K1295" s="659" t="s">
        <v>794</v>
      </c>
      <c r="L1295" s="659" t="s">
        <v>794</v>
      </c>
      <c r="M1295" s="659"/>
      <c r="N1295" s="659"/>
      <c r="O1295" s="659"/>
      <c r="P1295" s="659"/>
      <c r="Q1295" s="659" t="s">
        <v>3102</v>
      </c>
      <c r="R1295" s="660"/>
      <c r="S1295" s="656"/>
      <c r="T1295" s="661">
        <v>43843</v>
      </c>
      <c r="U1295" s="660"/>
      <c r="V1295" s="659"/>
      <c r="W1295" s="486"/>
    </row>
    <row r="1296" spans="1:23" ht="14.25" customHeight="1">
      <c r="A1296" s="656" t="s">
        <v>698</v>
      </c>
      <c r="B1296" s="657" t="s">
        <v>3012</v>
      </c>
      <c r="C1296" s="658" t="s">
        <v>3022</v>
      </c>
      <c r="D1296" s="485"/>
      <c r="E1296" s="659"/>
      <c r="F1296" s="659"/>
      <c r="G1296" s="659"/>
      <c r="H1296" s="659"/>
      <c r="I1296" s="659"/>
      <c r="J1296" s="659" t="s">
        <v>794</v>
      </c>
      <c r="K1296" s="659" t="s">
        <v>794</v>
      </c>
      <c r="L1296" s="659" t="s">
        <v>794</v>
      </c>
      <c r="M1296" s="659"/>
      <c r="N1296" s="659"/>
      <c r="O1296" s="659"/>
      <c r="P1296" s="659"/>
      <c r="Q1296" s="659" t="s">
        <v>3102</v>
      </c>
      <c r="R1296" s="660"/>
      <c r="S1296" s="656"/>
      <c r="T1296" s="661">
        <v>43843</v>
      </c>
      <c r="U1296" s="660"/>
      <c r="V1296" s="659"/>
      <c r="W1296" s="486"/>
    </row>
    <row r="1297" spans="1:23" ht="14.25" customHeight="1">
      <c r="A1297" s="656" t="s">
        <v>698</v>
      </c>
      <c r="B1297" s="657" t="s">
        <v>3012</v>
      </c>
      <c r="C1297" s="658" t="s">
        <v>3023</v>
      </c>
      <c r="D1297" s="485"/>
      <c r="E1297" s="659"/>
      <c r="F1297" s="659"/>
      <c r="G1297" s="659"/>
      <c r="H1297" s="659"/>
      <c r="I1297" s="659"/>
      <c r="J1297" s="659" t="s">
        <v>794</v>
      </c>
      <c r="K1297" s="659" t="s">
        <v>794</v>
      </c>
      <c r="L1297" s="659" t="s">
        <v>794</v>
      </c>
      <c r="M1297" s="659"/>
      <c r="N1297" s="659"/>
      <c r="O1297" s="659"/>
      <c r="P1297" s="659"/>
      <c r="Q1297" s="659" t="s">
        <v>3102</v>
      </c>
      <c r="R1297" s="660"/>
      <c r="S1297" s="656"/>
      <c r="T1297" s="661">
        <v>43843</v>
      </c>
      <c r="U1297" s="660"/>
      <c r="V1297" s="659"/>
      <c r="W1297" s="486"/>
    </row>
    <row r="1298" spans="1:23" ht="14.25" customHeight="1">
      <c r="A1298" s="656" t="s">
        <v>698</v>
      </c>
      <c r="B1298" s="657" t="s">
        <v>3012</v>
      </c>
      <c r="C1298" s="658" t="s">
        <v>3032</v>
      </c>
      <c r="D1298" s="485"/>
      <c r="E1298" s="659"/>
      <c r="F1298" s="659"/>
      <c r="G1298" s="659"/>
      <c r="H1298" s="659"/>
      <c r="I1298" s="659"/>
      <c r="J1298" s="659" t="s">
        <v>794</v>
      </c>
      <c r="K1298" s="659" t="s">
        <v>794</v>
      </c>
      <c r="L1298" s="659" t="s">
        <v>794</v>
      </c>
      <c r="M1298" s="659"/>
      <c r="N1298" s="659"/>
      <c r="O1298" s="659"/>
      <c r="P1298" s="659"/>
      <c r="Q1298" s="659" t="s">
        <v>3102</v>
      </c>
      <c r="R1298" s="660"/>
      <c r="S1298" s="656"/>
      <c r="T1298" s="661">
        <v>43843</v>
      </c>
      <c r="U1298" s="660"/>
      <c r="V1298" s="659"/>
      <c r="W1298" s="486"/>
    </row>
    <row r="1299" spans="1:23" ht="14.25" customHeight="1">
      <c r="A1299" s="656" t="s">
        <v>698</v>
      </c>
      <c r="B1299" s="657" t="s">
        <v>3012</v>
      </c>
      <c r="C1299" s="658" t="s">
        <v>3015</v>
      </c>
      <c r="D1299" s="485"/>
      <c r="E1299" s="659"/>
      <c r="F1299" s="659"/>
      <c r="G1299" s="659"/>
      <c r="H1299" s="659"/>
      <c r="I1299" s="659"/>
      <c r="J1299" s="659" t="s">
        <v>794</v>
      </c>
      <c r="K1299" s="659" t="s">
        <v>794</v>
      </c>
      <c r="L1299" s="659" t="s">
        <v>794</v>
      </c>
      <c r="M1299" s="659"/>
      <c r="N1299" s="659"/>
      <c r="O1299" s="659"/>
      <c r="P1299" s="659"/>
      <c r="Q1299" s="659" t="s">
        <v>3102</v>
      </c>
      <c r="R1299" s="660"/>
      <c r="S1299" s="656"/>
      <c r="T1299" s="661">
        <v>43843</v>
      </c>
      <c r="U1299" s="660"/>
      <c r="V1299" s="659"/>
      <c r="W1299" s="486"/>
    </row>
    <row r="1300" spans="1:23" ht="14.25" customHeight="1">
      <c r="A1300" s="656" t="s">
        <v>698</v>
      </c>
      <c r="B1300" s="657" t="s">
        <v>3012</v>
      </c>
      <c r="C1300" s="658" t="s">
        <v>3018</v>
      </c>
      <c r="D1300" s="485"/>
      <c r="E1300" s="659"/>
      <c r="F1300" s="659"/>
      <c r="G1300" s="659"/>
      <c r="H1300" s="659"/>
      <c r="I1300" s="659"/>
      <c r="J1300" s="659" t="s">
        <v>794</v>
      </c>
      <c r="K1300" s="659" t="s">
        <v>794</v>
      </c>
      <c r="L1300" s="659" t="s">
        <v>794</v>
      </c>
      <c r="M1300" s="659"/>
      <c r="N1300" s="659"/>
      <c r="O1300" s="659"/>
      <c r="P1300" s="659"/>
      <c r="Q1300" s="659" t="s">
        <v>3102</v>
      </c>
      <c r="R1300" s="660"/>
      <c r="S1300" s="656"/>
      <c r="T1300" s="661">
        <v>43843</v>
      </c>
      <c r="U1300" s="660"/>
      <c r="V1300" s="659"/>
      <c r="W1300" s="486"/>
    </row>
    <row r="1301" spans="1:23" ht="14.25" customHeight="1">
      <c r="A1301" s="656" t="s">
        <v>698</v>
      </c>
      <c r="B1301" s="657" t="s">
        <v>3012</v>
      </c>
      <c r="C1301" s="658" t="s">
        <v>3021</v>
      </c>
      <c r="D1301" s="485"/>
      <c r="E1301" s="659"/>
      <c r="F1301" s="659"/>
      <c r="G1301" s="659"/>
      <c r="H1301" s="659"/>
      <c r="I1301" s="659"/>
      <c r="J1301" s="659" t="s">
        <v>794</v>
      </c>
      <c r="K1301" s="659" t="s">
        <v>794</v>
      </c>
      <c r="L1301" s="659" t="s">
        <v>794</v>
      </c>
      <c r="M1301" s="659"/>
      <c r="N1301" s="659"/>
      <c r="O1301" s="659"/>
      <c r="P1301" s="659"/>
      <c r="Q1301" s="659" t="s">
        <v>3102</v>
      </c>
      <c r="R1301" s="660"/>
      <c r="S1301" s="656"/>
      <c r="T1301" s="661">
        <v>43843</v>
      </c>
      <c r="U1301" s="660"/>
      <c r="V1301" s="659"/>
      <c r="W1301" s="486"/>
    </row>
    <row r="1302" spans="1:23" ht="14.25" customHeight="1">
      <c r="A1302" s="656" t="s">
        <v>698</v>
      </c>
      <c r="B1302" s="657" t="s">
        <v>3012</v>
      </c>
      <c r="C1302" s="658" t="s">
        <v>3020</v>
      </c>
      <c r="D1302" s="485"/>
      <c r="E1302" s="659"/>
      <c r="F1302" s="659"/>
      <c r="G1302" s="659"/>
      <c r="H1302" s="659"/>
      <c r="I1302" s="659"/>
      <c r="J1302" s="659" t="s">
        <v>794</v>
      </c>
      <c r="K1302" s="659" t="s">
        <v>794</v>
      </c>
      <c r="L1302" s="659" t="s">
        <v>794</v>
      </c>
      <c r="M1302" s="659"/>
      <c r="N1302" s="659"/>
      <c r="O1302" s="659"/>
      <c r="P1302" s="659"/>
      <c r="Q1302" s="659" t="s">
        <v>3102</v>
      </c>
      <c r="R1302" s="660"/>
      <c r="S1302" s="656"/>
      <c r="T1302" s="661">
        <v>43843</v>
      </c>
      <c r="U1302" s="660"/>
      <c r="V1302" s="659"/>
      <c r="W1302" s="486"/>
    </row>
    <row r="1303" spans="1:23" ht="14.25" customHeight="1">
      <c r="A1303" s="656" t="s">
        <v>698</v>
      </c>
      <c r="B1303" s="657" t="s">
        <v>3012</v>
      </c>
      <c r="C1303" s="658" t="s">
        <v>3019</v>
      </c>
      <c r="D1303" s="485"/>
      <c r="E1303" s="659"/>
      <c r="F1303" s="659"/>
      <c r="G1303" s="659"/>
      <c r="H1303" s="659"/>
      <c r="I1303" s="659"/>
      <c r="J1303" s="659" t="s">
        <v>794</v>
      </c>
      <c r="K1303" s="659" t="s">
        <v>794</v>
      </c>
      <c r="L1303" s="659" t="s">
        <v>794</v>
      </c>
      <c r="M1303" s="659"/>
      <c r="N1303" s="659"/>
      <c r="O1303" s="659"/>
      <c r="P1303" s="659"/>
      <c r="Q1303" s="659" t="s">
        <v>3102</v>
      </c>
      <c r="R1303" s="660"/>
      <c r="S1303" s="656"/>
      <c r="T1303" s="661">
        <v>43843</v>
      </c>
      <c r="U1303" s="660"/>
      <c r="V1303" s="659"/>
      <c r="W1303" s="486"/>
    </row>
    <row r="1304" spans="1:23" ht="14.25" customHeight="1">
      <c r="A1304" s="656" t="s">
        <v>698</v>
      </c>
      <c r="B1304" s="657" t="s">
        <v>1278</v>
      </c>
      <c r="C1304" s="658" t="s">
        <v>3001</v>
      </c>
      <c r="D1304" s="485"/>
      <c r="E1304" s="659"/>
      <c r="F1304" s="659"/>
      <c r="G1304" s="659"/>
      <c r="H1304" s="659"/>
      <c r="I1304" s="659"/>
      <c r="J1304" s="659" t="s">
        <v>794</v>
      </c>
      <c r="K1304" s="659" t="s">
        <v>794</v>
      </c>
      <c r="L1304" s="659" t="s">
        <v>794</v>
      </c>
      <c r="M1304" s="659"/>
      <c r="N1304" s="659"/>
      <c r="O1304" s="659"/>
      <c r="P1304" s="659"/>
      <c r="Q1304" s="659" t="s">
        <v>3102</v>
      </c>
      <c r="R1304" s="660"/>
      <c r="S1304" s="656"/>
      <c r="T1304" s="661">
        <v>43843</v>
      </c>
      <c r="U1304" s="660"/>
      <c r="V1304" s="659"/>
      <c r="W1304" s="486"/>
    </row>
    <row r="1305" spans="1:23" ht="14.25" customHeight="1">
      <c r="A1305" s="656" t="s">
        <v>698</v>
      </c>
      <c r="B1305" s="657" t="s">
        <v>1278</v>
      </c>
      <c r="C1305" s="658" t="s">
        <v>2999</v>
      </c>
      <c r="D1305" s="485"/>
      <c r="E1305" s="659"/>
      <c r="F1305" s="659"/>
      <c r="G1305" s="659"/>
      <c r="H1305" s="659"/>
      <c r="I1305" s="659"/>
      <c r="J1305" s="659" t="s">
        <v>794</v>
      </c>
      <c r="K1305" s="659" t="s">
        <v>794</v>
      </c>
      <c r="L1305" s="659" t="s">
        <v>794</v>
      </c>
      <c r="M1305" s="659"/>
      <c r="N1305" s="659"/>
      <c r="O1305" s="659"/>
      <c r="P1305" s="659"/>
      <c r="Q1305" s="659" t="s">
        <v>3102</v>
      </c>
      <c r="R1305" s="660"/>
      <c r="S1305" s="656"/>
      <c r="T1305" s="661">
        <v>43843</v>
      </c>
      <c r="U1305" s="660"/>
      <c r="V1305" s="659"/>
      <c r="W1305" s="486"/>
    </row>
    <row r="1306" spans="1:23" ht="14.25" customHeight="1">
      <c r="A1306" s="656" t="s">
        <v>698</v>
      </c>
      <c r="B1306" s="657" t="s">
        <v>1278</v>
      </c>
      <c r="C1306" s="658" t="s">
        <v>3000</v>
      </c>
      <c r="D1306" s="485"/>
      <c r="E1306" s="659"/>
      <c r="F1306" s="670"/>
      <c r="G1306" s="659"/>
      <c r="H1306" s="659"/>
      <c r="I1306" s="659"/>
      <c r="J1306" s="659" t="s">
        <v>794</v>
      </c>
      <c r="K1306" s="659" t="s">
        <v>794</v>
      </c>
      <c r="L1306" s="659" t="s">
        <v>794</v>
      </c>
      <c r="M1306" s="659"/>
      <c r="N1306" s="659"/>
      <c r="O1306" s="659"/>
      <c r="P1306" s="659"/>
      <c r="Q1306" s="659" t="s">
        <v>3102</v>
      </c>
      <c r="R1306" s="660"/>
      <c r="S1306" s="656"/>
      <c r="T1306" s="661">
        <v>43843</v>
      </c>
      <c r="U1306" s="660"/>
      <c r="V1306" s="659"/>
      <c r="W1306" s="486"/>
    </row>
    <row r="1307" spans="1:23" ht="14.25" customHeight="1">
      <c r="A1307" s="656" t="s">
        <v>698</v>
      </c>
      <c r="B1307" s="657" t="s">
        <v>1278</v>
      </c>
      <c r="C1307" s="658" t="s">
        <v>3004</v>
      </c>
      <c r="D1307" s="485"/>
      <c r="E1307" s="659"/>
      <c r="F1307" s="659"/>
      <c r="G1307" s="659"/>
      <c r="H1307" s="659"/>
      <c r="I1307" s="659"/>
      <c r="J1307" s="659" t="s">
        <v>794</v>
      </c>
      <c r="K1307" s="659" t="s">
        <v>794</v>
      </c>
      <c r="L1307" s="659" t="s">
        <v>794</v>
      </c>
      <c r="M1307" s="659"/>
      <c r="N1307" s="659"/>
      <c r="O1307" s="659"/>
      <c r="P1307" s="659"/>
      <c r="Q1307" s="659" t="s">
        <v>3102</v>
      </c>
      <c r="R1307" s="660"/>
      <c r="S1307" s="656"/>
      <c r="T1307" s="661">
        <v>43843</v>
      </c>
      <c r="U1307" s="660"/>
      <c r="V1307" s="659"/>
      <c r="W1307" s="486"/>
    </row>
    <row r="1308" spans="1:23" ht="14.25" customHeight="1">
      <c r="A1308" s="656" t="s">
        <v>698</v>
      </c>
      <c r="B1308" s="657" t="s">
        <v>1278</v>
      </c>
      <c r="C1308" s="658" t="s">
        <v>3002</v>
      </c>
      <c r="D1308" s="485"/>
      <c r="E1308" s="659"/>
      <c r="F1308" s="659"/>
      <c r="G1308" s="659"/>
      <c r="H1308" s="659"/>
      <c r="I1308" s="659"/>
      <c r="J1308" s="659" t="s">
        <v>794</v>
      </c>
      <c r="K1308" s="659" t="s">
        <v>794</v>
      </c>
      <c r="L1308" s="659" t="s">
        <v>794</v>
      </c>
      <c r="M1308" s="659"/>
      <c r="N1308" s="659"/>
      <c r="O1308" s="659"/>
      <c r="P1308" s="659"/>
      <c r="Q1308" s="659" t="s">
        <v>3102</v>
      </c>
      <c r="R1308" s="660"/>
      <c r="S1308" s="656"/>
      <c r="T1308" s="661">
        <v>43843</v>
      </c>
      <c r="U1308" s="660"/>
      <c r="V1308" s="659"/>
      <c r="W1308" s="486"/>
    </row>
    <row r="1309" spans="1:23" ht="14.25" customHeight="1">
      <c r="A1309" s="788" t="s">
        <v>2648</v>
      </c>
      <c r="B1309" s="789" t="s">
        <v>295</v>
      </c>
      <c r="C1309" s="790" t="s">
        <v>3303</v>
      </c>
      <c r="D1309" s="485"/>
      <c r="E1309" s="791">
        <v>196146</v>
      </c>
      <c r="F1309" s="791" t="s">
        <v>3303</v>
      </c>
      <c r="G1309" s="791"/>
      <c r="H1309" s="791"/>
      <c r="I1309" s="791"/>
      <c r="J1309" s="659" t="s">
        <v>794</v>
      </c>
      <c r="K1309" s="659" t="s">
        <v>794</v>
      </c>
      <c r="L1309" s="659" t="s">
        <v>794</v>
      </c>
      <c r="M1309" s="791"/>
      <c r="N1309" s="791">
        <v>20.210090637206999</v>
      </c>
      <c r="O1309" s="791">
        <v>92.879753112792997</v>
      </c>
      <c r="P1309" s="791"/>
      <c r="Q1309" s="791" t="s">
        <v>3293</v>
      </c>
      <c r="R1309" s="792"/>
      <c r="S1309" s="788"/>
      <c r="T1309" s="793">
        <v>44026</v>
      </c>
      <c r="U1309" s="792"/>
      <c r="V1309" s="791"/>
      <c r="W1309" s="486"/>
    </row>
    <row r="1310" spans="1:23" ht="14.25" customHeight="1">
      <c r="A1310" s="788" t="s">
        <v>2648</v>
      </c>
      <c r="B1310" s="789" t="s">
        <v>295</v>
      </c>
      <c r="C1310" s="790" t="s">
        <v>3298</v>
      </c>
      <c r="D1310" s="485"/>
      <c r="E1310" s="791">
        <v>196195</v>
      </c>
      <c r="F1310" s="791" t="s">
        <v>3304</v>
      </c>
      <c r="G1310" s="791"/>
      <c r="H1310" s="791"/>
      <c r="I1310" s="791"/>
      <c r="J1310" s="659" t="s">
        <v>794</v>
      </c>
      <c r="K1310" s="659" t="s">
        <v>794</v>
      </c>
      <c r="L1310" s="659" t="s">
        <v>794</v>
      </c>
      <c r="M1310" s="791"/>
      <c r="N1310" s="791">
        <v>20.172649383544901</v>
      </c>
      <c r="O1310" s="791">
        <v>92.874351501464801</v>
      </c>
      <c r="P1310" s="791"/>
      <c r="Q1310" s="791" t="s">
        <v>3293</v>
      </c>
      <c r="R1310" s="792"/>
      <c r="S1310" s="788"/>
      <c r="T1310" s="793">
        <v>44026</v>
      </c>
      <c r="U1310" s="792"/>
      <c r="V1310" s="791"/>
      <c r="W1310" s="486"/>
    </row>
    <row r="1311" spans="1:23" ht="14.25" customHeight="1">
      <c r="A1311" s="788" t="s">
        <v>2648</v>
      </c>
      <c r="B1311" s="789" t="s">
        <v>295</v>
      </c>
      <c r="C1311" s="790" t="s">
        <v>3299</v>
      </c>
      <c r="D1311" s="485"/>
      <c r="E1311" s="791">
        <v>196195</v>
      </c>
      <c r="F1311" s="791" t="s">
        <v>3304</v>
      </c>
      <c r="G1311" s="791"/>
      <c r="H1311" s="791"/>
      <c r="I1311" s="791"/>
      <c r="J1311" s="659" t="s">
        <v>794</v>
      </c>
      <c r="K1311" s="659" t="s">
        <v>794</v>
      </c>
      <c r="L1311" s="659" t="s">
        <v>794</v>
      </c>
      <c r="M1311" s="791"/>
      <c r="N1311" s="791">
        <v>20.172649383544901</v>
      </c>
      <c r="O1311" s="791">
        <v>92.874351501464801</v>
      </c>
      <c r="P1311" s="791"/>
      <c r="Q1311" s="791" t="s">
        <v>3293</v>
      </c>
      <c r="R1311" s="792"/>
      <c r="S1311" s="788"/>
      <c r="T1311" s="793">
        <v>44026</v>
      </c>
      <c r="U1311" s="792"/>
      <c r="V1311" s="791"/>
      <c r="W1311" s="486"/>
    </row>
    <row r="1312" spans="1:23" ht="14.25" customHeight="1">
      <c r="A1312" s="788" t="s">
        <v>2648</v>
      </c>
      <c r="B1312" s="789" t="s">
        <v>295</v>
      </c>
      <c r="C1312" s="790" t="s">
        <v>3300</v>
      </c>
      <c r="D1312" s="485"/>
      <c r="E1312" s="791"/>
      <c r="F1312" s="791"/>
      <c r="G1312" s="791"/>
      <c r="H1312" s="791"/>
      <c r="I1312" s="791"/>
      <c r="J1312" s="659" t="s">
        <v>794</v>
      </c>
      <c r="K1312" s="659" t="s">
        <v>794</v>
      </c>
      <c r="L1312" s="659" t="s">
        <v>794</v>
      </c>
      <c r="M1312" s="791"/>
      <c r="N1312" s="791"/>
      <c r="O1312" s="791"/>
      <c r="P1312" s="791"/>
      <c r="Q1312" s="791" t="s">
        <v>3293</v>
      </c>
      <c r="R1312" s="792"/>
      <c r="S1312" s="788"/>
      <c r="T1312" s="793">
        <v>44026</v>
      </c>
      <c r="U1312" s="792"/>
      <c r="V1312" s="791"/>
      <c r="W1312" s="486"/>
    </row>
    <row r="1313" spans="1:23" ht="14.25" customHeight="1">
      <c r="A1313" s="788" t="s">
        <v>2648</v>
      </c>
      <c r="B1313" s="789" t="s">
        <v>295</v>
      </c>
      <c r="C1313" s="790" t="s">
        <v>3305</v>
      </c>
      <c r="D1313" s="485"/>
      <c r="E1313" s="791">
        <v>220593</v>
      </c>
      <c r="F1313" s="791" t="s">
        <v>450</v>
      </c>
      <c r="G1313" s="791"/>
      <c r="H1313" s="791"/>
      <c r="I1313" s="791"/>
      <c r="J1313" s="659" t="s">
        <v>794</v>
      </c>
      <c r="K1313" s="659" t="s">
        <v>794</v>
      </c>
      <c r="L1313" s="659" t="s">
        <v>794</v>
      </c>
      <c r="M1313" s="791"/>
      <c r="N1313" s="791">
        <v>20.261358000000001</v>
      </c>
      <c r="O1313" s="791">
        <v>92.805672999999999</v>
      </c>
      <c r="P1313" s="791"/>
      <c r="Q1313" s="791" t="s">
        <v>3293</v>
      </c>
      <c r="R1313" s="792"/>
      <c r="S1313" s="788"/>
      <c r="T1313" s="793">
        <v>44026</v>
      </c>
      <c r="U1313" s="792"/>
      <c r="V1313" s="791"/>
      <c r="W1313" s="486"/>
    </row>
    <row r="1314" spans="1:23" ht="14.25" customHeight="1">
      <c r="A1314" s="788" t="s">
        <v>2648</v>
      </c>
      <c r="B1314" s="789" t="s">
        <v>295</v>
      </c>
      <c r="C1314" s="790" t="s">
        <v>3301</v>
      </c>
      <c r="D1314" s="485"/>
      <c r="E1314" s="791">
        <v>196130</v>
      </c>
      <c r="F1314" s="791" t="s">
        <v>874</v>
      </c>
      <c r="G1314" s="791"/>
      <c r="H1314" s="791"/>
      <c r="I1314" s="791"/>
      <c r="J1314" s="659" t="s">
        <v>794</v>
      </c>
      <c r="K1314" s="659" t="s">
        <v>794</v>
      </c>
      <c r="L1314" s="659" t="s">
        <v>794</v>
      </c>
      <c r="M1314" s="791"/>
      <c r="N1314" s="791">
        <v>20.236940383911101</v>
      </c>
      <c r="O1314" s="791">
        <v>92.833259582519503</v>
      </c>
      <c r="P1314" s="791"/>
      <c r="Q1314" s="791" t="s">
        <v>3293</v>
      </c>
      <c r="R1314" s="792"/>
      <c r="S1314" s="788"/>
      <c r="T1314" s="793">
        <v>44026</v>
      </c>
      <c r="U1314" s="792"/>
      <c r="V1314" s="791"/>
      <c r="W1314" s="486"/>
    </row>
    <row r="1315" spans="1:23" ht="14.25" customHeight="1">
      <c r="A1315" s="788" t="s">
        <v>2648</v>
      </c>
      <c r="B1315" s="789" t="s">
        <v>295</v>
      </c>
      <c r="C1315" s="790" t="s">
        <v>3302</v>
      </c>
      <c r="D1315" s="485"/>
      <c r="E1315" s="791"/>
      <c r="F1315" s="791"/>
      <c r="G1315" s="791"/>
      <c r="H1315" s="791"/>
      <c r="I1315" s="791"/>
      <c r="J1315" s="659" t="s">
        <v>794</v>
      </c>
      <c r="K1315" s="659" t="s">
        <v>794</v>
      </c>
      <c r="L1315" s="659" t="s">
        <v>794</v>
      </c>
      <c r="M1315" s="791"/>
      <c r="N1315" s="791"/>
      <c r="O1315" s="791"/>
      <c r="P1315" s="791"/>
      <c r="Q1315" s="791" t="s">
        <v>3293</v>
      </c>
      <c r="R1315" s="792"/>
      <c r="S1315" s="788"/>
      <c r="T1315" s="793">
        <v>44026</v>
      </c>
      <c r="U1315" s="792"/>
      <c r="V1315" s="791"/>
      <c r="W1315" s="486"/>
    </row>
    <row r="1316" spans="1:23" ht="14.25" customHeight="1">
      <c r="A1316" s="788" t="s">
        <v>2648</v>
      </c>
      <c r="B1316" s="789" t="s">
        <v>295</v>
      </c>
      <c r="C1316" s="790" t="s">
        <v>3306</v>
      </c>
      <c r="D1316" s="485"/>
      <c r="E1316" s="791">
        <v>196196</v>
      </c>
      <c r="F1316" s="791" t="s">
        <v>2226</v>
      </c>
      <c r="G1316" s="791"/>
      <c r="H1316" s="791"/>
      <c r="I1316" s="791"/>
      <c r="J1316" s="659" t="s">
        <v>794</v>
      </c>
      <c r="K1316" s="659" t="s">
        <v>794</v>
      </c>
      <c r="L1316" s="659" t="s">
        <v>794</v>
      </c>
      <c r="M1316" s="791"/>
      <c r="N1316" s="791">
        <v>20.176319122314499</v>
      </c>
      <c r="O1316" s="791">
        <v>92.875183105468807</v>
      </c>
      <c r="P1316" s="791"/>
      <c r="Q1316" s="791" t="s">
        <v>3293</v>
      </c>
      <c r="R1316" s="792"/>
      <c r="S1316" s="788"/>
      <c r="T1316" s="793">
        <v>44026</v>
      </c>
      <c r="U1316" s="792"/>
      <c r="V1316" s="791"/>
      <c r="W1316" s="486"/>
    </row>
    <row r="1317" spans="1:23" ht="14.25" customHeight="1">
      <c r="A1317" s="788" t="s">
        <v>3274</v>
      </c>
      <c r="B1317" s="789" t="s">
        <v>3275</v>
      </c>
      <c r="C1317" s="790" t="s">
        <v>3307</v>
      </c>
      <c r="D1317" s="485"/>
      <c r="E1317" s="791"/>
      <c r="F1317" s="791"/>
      <c r="G1317" s="791"/>
      <c r="H1317" s="791"/>
      <c r="I1317" s="791"/>
      <c r="J1317" s="659" t="s">
        <v>794</v>
      </c>
      <c r="K1317" s="659" t="s">
        <v>794</v>
      </c>
      <c r="L1317" s="659" t="s">
        <v>794</v>
      </c>
      <c r="M1317" s="791"/>
      <c r="N1317" s="791"/>
      <c r="O1317" s="791"/>
      <c r="P1317" s="791"/>
      <c r="Q1317" s="791" t="s">
        <v>3293</v>
      </c>
      <c r="R1317" s="792"/>
      <c r="S1317" s="788"/>
      <c r="T1317" s="793">
        <v>44026</v>
      </c>
      <c r="U1317" s="792"/>
      <c r="V1317" s="791"/>
      <c r="W1317" s="486"/>
    </row>
    <row r="1318" spans="1:23" ht="14.25" customHeight="1">
      <c r="A1318" s="487" t="s">
        <v>3274</v>
      </c>
      <c r="B1318" s="514" t="s">
        <v>3275</v>
      </c>
      <c r="C1318" s="452" t="s">
        <v>3308</v>
      </c>
      <c r="D1318" s="485"/>
      <c r="E1318" s="482"/>
      <c r="F1318" s="482"/>
      <c r="G1318" s="482"/>
      <c r="H1318" s="482"/>
      <c r="I1318" s="482"/>
      <c r="J1318" s="659" t="s">
        <v>794</v>
      </c>
      <c r="K1318" s="659" t="s">
        <v>794</v>
      </c>
      <c r="L1318" s="659" t="s">
        <v>794</v>
      </c>
      <c r="M1318" s="482"/>
      <c r="N1318" s="482"/>
      <c r="O1318" s="482"/>
      <c r="P1318" s="482"/>
      <c r="Q1318" s="791" t="s">
        <v>3293</v>
      </c>
      <c r="R1318" s="792"/>
      <c r="S1318" s="788"/>
      <c r="T1318" s="793">
        <v>44026</v>
      </c>
      <c r="U1318" s="494"/>
      <c r="V1318" s="482"/>
      <c r="W1318" s="486"/>
    </row>
    <row r="1319" spans="1:23" ht="14.25" customHeight="1">
      <c r="A1319" s="487" t="s">
        <v>3274</v>
      </c>
      <c r="B1319" s="514" t="s">
        <v>3275</v>
      </c>
      <c r="C1319" s="452" t="s">
        <v>3309</v>
      </c>
      <c r="D1319" s="485"/>
      <c r="E1319" s="482"/>
      <c r="F1319" s="482"/>
      <c r="G1319" s="482"/>
      <c r="H1319" s="482"/>
      <c r="I1319" s="482"/>
      <c r="J1319" s="659" t="s">
        <v>794</v>
      </c>
      <c r="K1319" s="659" t="s">
        <v>794</v>
      </c>
      <c r="L1319" s="659" t="s">
        <v>794</v>
      </c>
      <c r="M1319" s="482"/>
      <c r="N1319" s="482"/>
      <c r="O1319" s="482"/>
      <c r="P1319" s="482"/>
      <c r="Q1319" s="791" t="s">
        <v>3293</v>
      </c>
      <c r="R1319" s="792"/>
      <c r="S1319" s="788"/>
      <c r="T1319" s="793">
        <v>44026</v>
      </c>
      <c r="U1319" s="494"/>
      <c r="V1319" s="482"/>
      <c r="W1319" s="486"/>
    </row>
    <row r="1320" spans="1:23" ht="14.25" customHeight="1">
      <c r="A1320" s="487" t="s">
        <v>3274</v>
      </c>
      <c r="B1320" s="514" t="s">
        <v>3275</v>
      </c>
      <c r="C1320" s="452" t="s">
        <v>3276</v>
      </c>
      <c r="D1320" s="485"/>
      <c r="E1320" s="482"/>
      <c r="F1320" s="482"/>
      <c r="G1320" s="482"/>
      <c r="H1320" s="482"/>
      <c r="I1320" s="482"/>
      <c r="J1320" s="659" t="s">
        <v>794</v>
      </c>
      <c r="K1320" s="659" t="s">
        <v>794</v>
      </c>
      <c r="L1320" s="659" t="s">
        <v>794</v>
      </c>
      <c r="M1320" s="482"/>
      <c r="N1320" s="482"/>
      <c r="O1320" s="482"/>
      <c r="P1320" s="482"/>
      <c r="Q1320" s="791" t="s">
        <v>3293</v>
      </c>
      <c r="R1320" s="792"/>
      <c r="S1320" s="788"/>
      <c r="T1320" s="793">
        <v>44026</v>
      </c>
      <c r="U1320" s="494"/>
      <c r="V1320" s="482"/>
      <c r="W1320" s="486"/>
    </row>
    <row r="1321" spans="1:23" ht="14.25" customHeight="1">
      <c r="A1321" s="487" t="s">
        <v>3274</v>
      </c>
      <c r="B1321" s="514" t="s">
        <v>3275</v>
      </c>
      <c r="C1321" s="452" t="s">
        <v>3277</v>
      </c>
      <c r="D1321" s="485"/>
      <c r="E1321" s="482"/>
      <c r="F1321" s="482"/>
      <c r="G1321" s="482"/>
      <c r="H1321" s="482"/>
      <c r="I1321" s="482"/>
      <c r="J1321" s="659" t="s">
        <v>794</v>
      </c>
      <c r="K1321" s="659" t="s">
        <v>794</v>
      </c>
      <c r="L1321" s="659" t="s">
        <v>794</v>
      </c>
      <c r="M1321" s="482"/>
      <c r="N1321" s="482"/>
      <c r="O1321" s="482"/>
      <c r="P1321" s="482"/>
      <c r="Q1321" s="791" t="s">
        <v>3293</v>
      </c>
      <c r="R1321" s="792"/>
      <c r="S1321" s="788"/>
      <c r="T1321" s="793">
        <v>44026</v>
      </c>
      <c r="U1321" s="494"/>
      <c r="V1321" s="482"/>
      <c r="W1321" s="486"/>
    </row>
    <row r="1322" spans="1:23" ht="14.25" customHeight="1">
      <c r="A1322" s="487" t="s">
        <v>3274</v>
      </c>
      <c r="B1322" s="514" t="s">
        <v>3275</v>
      </c>
      <c r="C1322" s="452" t="s">
        <v>3310</v>
      </c>
      <c r="D1322" s="485"/>
      <c r="E1322" s="482"/>
      <c r="F1322" s="482"/>
      <c r="G1322" s="482"/>
      <c r="H1322" s="482"/>
      <c r="I1322" s="482"/>
      <c r="J1322" s="659" t="s">
        <v>794</v>
      </c>
      <c r="K1322" s="659" t="s">
        <v>794</v>
      </c>
      <c r="L1322" s="659" t="s">
        <v>794</v>
      </c>
      <c r="M1322" s="482"/>
      <c r="N1322" s="482"/>
      <c r="O1322" s="482"/>
      <c r="P1322" s="482"/>
      <c r="Q1322" s="791" t="s">
        <v>3293</v>
      </c>
      <c r="R1322" s="792"/>
      <c r="S1322" s="788"/>
      <c r="T1322" s="793">
        <v>44026</v>
      </c>
      <c r="U1322" s="494"/>
      <c r="V1322" s="482"/>
      <c r="W1322" s="486"/>
    </row>
    <row r="1323" spans="1:23" ht="14.25" customHeight="1">
      <c r="A1323" s="487" t="s">
        <v>3274</v>
      </c>
      <c r="B1323" s="514" t="s">
        <v>3275</v>
      </c>
      <c r="C1323" s="452" t="s">
        <v>3278</v>
      </c>
      <c r="D1323" s="485"/>
      <c r="E1323" s="482"/>
      <c r="F1323" s="482"/>
      <c r="G1323" s="482"/>
      <c r="H1323" s="482"/>
      <c r="I1323" s="482"/>
      <c r="J1323" s="659" t="s">
        <v>794</v>
      </c>
      <c r="K1323" s="659" t="s">
        <v>794</v>
      </c>
      <c r="L1323" s="659" t="s">
        <v>794</v>
      </c>
      <c r="M1323" s="482"/>
      <c r="N1323" s="482"/>
      <c r="O1323" s="482"/>
      <c r="P1323" s="482"/>
      <c r="Q1323" s="791" t="s">
        <v>3293</v>
      </c>
      <c r="R1323" s="792"/>
      <c r="S1323" s="788"/>
      <c r="T1323" s="793">
        <v>44026</v>
      </c>
      <c r="U1323" s="494"/>
      <c r="V1323" s="482"/>
      <c r="W1323" s="486"/>
    </row>
    <row r="1324" spans="1:23" ht="14.25" customHeight="1">
      <c r="A1324" s="487" t="s">
        <v>3274</v>
      </c>
      <c r="B1324" s="514" t="s">
        <v>3275</v>
      </c>
      <c r="C1324" s="452" t="s">
        <v>3279</v>
      </c>
      <c r="D1324" s="485"/>
      <c r="E1324" s="482"/>
      <c r="F1324" s="482"/>
      <c r="G1324" s="482"/>
      <c r="H1324" s="482"/>
      <c r="I1324" s="482"/>
      <c r="J1324" s="659" t="s">
        <v>794</v>
      </c>
      <c r="K1324" s="659" t="s">
        <v>794</v>
      </c>
      <c r="L1324" s="659" t="s">
        <v>794</v>
      </c>
      <c r="M1324" s="482"/>
      <c r="N1324" s="482"/>
      <c r="O1324" s="482"/>
      <c r="P1324" s="482"/>
      <c r="Q1324" s="791" t="s">
        <v>3293</v>
      </c>
      <c r="R1324" s="792"/>
      <c r="S1324" s="788"/>
      <c r="T1324" s="793">
        <v>44026</v>
      </c>
      <c r="U1324" s="494"/>
      <c r="V1324" s="482"/>
      <c r="W1324" s="486"/>
    </row>
    <row r="1325" spans="1:23" ht="14.25" customHeight="1">
      <c r="A1325" s="487" t="s">
        <v>3274</v>
      </c>
      <c r="B1325" s="514" t="s">
        <v>3275</v>
      </c>
      <c r="C1325" s="452" t="s">
        <v>3280</v>
      </c>
      <c r="D1325" s="485"/>
      <c r="E1325" s="482"/>
      <c r="F1325" s="482"/>
      <c r="G1325" s="482"/>
      <c r="H1325" s="482"/>
      <c r="I1325" s="482"/>
      <c r="J1325" s="659" t="s">
        <v>794</v>
      </c>
      <c r="K1325" s="659" t="s">
        <v>794</v>
      </c>
      <c r="L1325" s="659" t="s">
        <v>794</v>
      </c>
      <c r="M1325" s="482"/>
      <c r="N1325" s="482"/>
      <c r="O1325" s="482"/>
      <c r="P1325" s="482"/>
      <c r="Q1325" s="791" t="s">
        <v>3293</v>
      </c>
      <c r="R1325" s="792"/>
      <c r="S1325" s="788"/>
      <c r="T1325" s="793">
        <v>44026</v>
      </c>
      <c r="U1325" s="494"/>
      <c r="V1325" s="482"/>
      <c r="W1325" s="486"/>
    </row>
    <row r="1326" spans="1:23" ht="14.25" customHeight="1">
      <c r="A1326" s="487" t="s">
        <v>3274</v>
      </c>
      <c r="B1326" s="514" t="s">
        <v>3275</v>
      </c>
      <c r="C1326" s="452" t="s">
        <v>3281</v>
      </c>
      <c r="D1326" s="485"/>
      <c r="E1326" s="482"/>
      <c r="F1326" s="482"/>
      <c r="G1326" s="482"/>
      <c r="H1326" s="482"/>
      <c r="I1326" s="482"/>
      <c r="J1326" s="659" t="s">
        <v>794</v>
      </c>
      <c r="K1326" s="659" t="s">
        <v>794</v>
      </c>
      <c r="L1326" s="659" t="s">
        <v>794</v>
      </c>
      <c r="M1326" s="482"/>
      <c r="N1326" s="482"/>
      <c r="O1326" s="482"/>
      <c r="P1326" s="482"/>
      <c r="Q1326" s="791" t="s">
        <v>3293</v>
      </c>
      <c r="R1326" s="792"/>
      <c r="S1326" s="788"/>
      <c r="T1326" s="793">
        <v>44026</v>
      </c>
      <c r="U1326" s="494"/>
      <c r="V1326" s="482"/>
      <c r="W1326" s="486"/>
    </row>
    <row r="1327" spans="1:23" ht="14.25" customHeight="1">
      <c r="A1327" s="487" t="s">
        <v>3274</v>
      </c>
      <c r="B1327" s="514" t="s">
        <v>3275</v>
      </c>
      <c r="C1327" s="452" t="s">
        <v>3282</v>
      </c>
      <c r="D1327" s="485"/>
      <c r="E1327" s="482"/>
      <c r="F1327" s="482"/>
      <c r="G1327" s="482"/>
      <c r="H1327" s="482"/>
      <c r="I1327" s="482"/>
      <c r="J1327" s="659" t="s">
        <v>794</v>
      </c>
      <c r="K1327" s="659" t="s">
        <v>794</v>
      </c>
      <c r="L1327" s="659" t="s">
        <v>794</v>
      </c>
      <c r="M1327" s="482"/>
      <c r="N1327" s="482"/>
      <c r="O1327" s="482"/>
      <c r="P1327" s="482"/>
      <c r="Q1327" s="791" t="s">
        <v>3293</v>
      </c>
      <c r="R1327" s="792"/>
      <c r="S1327" s="788"/>
      <c r="T1327" s="793">
        <v>44026</v>
      </c>
      <c r="U1327" s="494"/>
      <c r="V1327" s="482"/>
      <c r="W1327" s="486"/>
    </row>
    <row r="1328" spans="1:23" ht="14.25" customHeight="1">
      <c r="A1328" s="487" t="s">
        <v>3274</v>
      </c>
      <c r="B1328" s="514" t="s">
        <v>3275</v>
      </c>
      <c r="C1328" s="452" t="s">
        <v>3283</v>
      </c>
      <c r="D1328" s="485"/>
      <c r="E1328" s="482"/>
      <c r="F1328" s="482"/>
      <c r="G1328" s="482"/>
      <c r="H1328" s="482"/>
      <c r="I1328" s="482"/>
      <c r="J1328" s="659" t="s">
        <v>794</v>
      </c>
      <c r="K1328" s="659" t="s">
        <v>794</v>
      </c>
      <c r="L1328" s="659" t="s">
        <v>794</v>
      </c>
      <c r="M1328" s="482"/>
      <c r="N1328" s="482"/>
      <c r="O1328" s="482"/>
      <c r="P1328" s="482"/>
      <c r="Q1328" s="791" t="s">
        <v>3293</v>
      </c>
      <c r="R1328" s="792"/>
      <c r="S1328" s="788"/>
      <c r="T1328" s="793">
        <v>44026</v>
      </c>
      <c r="U1328" s="494"/>
      <c r="V1328" s="482"/>
      <c r="W1328" s="486"/>
    </row>
    <row r="1329" spans="1:23" ht="14.25" customHeight="1">
      <c r="A1329" s="487" t="s">
        <v>3274</v>
      </c>
      <c r="B1329" s="514" t="s">
        <v>3275</v>
      </c>
      <c r="C1329" s="452" t="s">
        <v>3284</v>
      </c>
      <c r="D1329" s="485"/>
      <c r="E1329" s="482"/>
      <c r="F1329" s="482"/>
      <c r="G1329" s="482"/>
      <c r="H1329" s="482"/>
      <c r="I1329" s="482"/>
      <c r="J1329" s="659" t="s">
        <v>794</v>
      </c>
      <c r="K1329" s="659" t="s">
        <v>794</v>
      </c>
      <c r="L1329" s="659" t="s">
        <v>794</v>
      </c>
      <c r="M1329" s="482"/>
      <c r="N1329" s="482"/>
      <c r="O1329" s="482"/>
      <c r="P1329" s="482"/>
      <c r="Q1329" s="791" t="s">
        <v>3293</v>
      </c>
      <c r="R1329" s="792"/>
      <c r="S1329" s="788"/>
      <c r="T1329" s="793">
        <v>44026</v>
      </c>
      <c r="U1329" s="494"/>
      <c r="V1329" s="482"/>
      <c r="W1329" s="486"/>
    </row>
    <row r="1330" spans="1:23" ht="14.25" customHeight="1">
      <c r="A1330" s="487" t="s">
        <v>3274</v>
      </c>
      <c r="B1330" s="514" t="s">
        <v>3275</v>
      </c>
      <c r="C1330" s="452" t="s">
        <v>3285</v>
      </c>
      <c r="D1330" s="485"/>
      <c r="E1330" s="482"/>
      <c r="F1330" s="482"/>
      <c r="G1330" s="482"/>
      <c r="H1330" s="482"/>
      <c r="I1330" s="482"/>
      <c r="J1330" s="659" t="s">
        <v>794</v>
      </c>
      <c r="K1330" s="659" t="s">
        <v>794</v>
      </c>
      <c r="L1330" s="659" t="s">
        <v>794</v>
      </c>
      <c r="M1330" s="482"/>
      <c r="N1330" s="482"/>
      <c r="O1330" s="482"/>
      <c r="P1330" s="482"/>
      <c r="Q1330" s="791" t="s">
        <v>3293</v>
      </c>
      <c r="R1330" s="792"/>
      <c r="S1330" s="788"/>
      <c r="T1330" s="793">
        <v>44026</v>
      </c>
      <c r="U1330" s="494"/>
      <c r="V1330" s="482"/>
      <c r="W1330" s="486"/>
    </row>
    <row r="1331" spans="1:23" ht="14.25" customHeight="1">
      <c r="A1331" s="487" t="s">
        <v>3274</v>
      </c>
      <c r="B1331" s="514" t="s">
        <v>3275</v>
      </c>
      <c r="C1331" s="452" t="s">
        <v>3286</v>
      </c>
      <c r="D1331" s="485"/>
      <c r="E1331" s="482"/>
      <c r="F1331" s="482"/>
      <c r="G1331" s="482"/>
      <c r="H1331" s="482"/>
      <c r="I1331" s="482"/>
      <c r="J1331" s="659" t="s">
        <v>794</v>
      </c>
      <c r="K1331" s="659" t="s">
        <v>794</v>
      </c>
      <c r="L1331" s="659" t="s">
        <v>794</v>
      </c>
      <c r="M1331" s="482"/>
      <c r="N1331" s="482"/>
      <c r="O1331" s="482"/>
      <c r="P1331" s="482"/>
      <c r="Q1331" s="791" t="s">
        <v>3293</v>
      </c>
      <c r="R1331" s="792"/>
      <c r="S1331" s="788"/>
      <c r="T1331" s="793">
        <v>44026</v>
      </c>
      <c r="U1331" s="494"/>
      <c r="V1331" s="482"/>
      <c r="W1331" s="486"/>
    </row>
    <row r="1332" spans="1:23" ht="14.25" customHeight="1">
      <c r="A1332" s="487" t="s">
        <v>3274</v>
      </c>
      <c r="B1332" s="514" t="s">
        <v>3275</v>
      </c>
      <c r="C1332" s="452" t="s">
        <v>3287</v>
      </c>
      <c r="D1332" s="485"/>
      <c r="E1332" s="482"/>
      <c r="F1332" s="482"/>
      <c r="G1332" s="482"/>
      <c r="H1332" s="482"/>
      <c r="I1332" s="482"/>
      <c r="J1332" s="659" t="s">
        <v>794</v>
      </c>
      <c r="K1332" s="659" t="s">
        <v>794</v>
      </c>
      <c r="L1332" s="659" t="s">
        <v>794</v>
      </c>
      <c r="M1332" s="482"/>
      <c r="N1332" s="482"/>
      <c r="O1332" s="482"/>
      <c r="P1332" s="482"/>
      <c r="Q1332" s="791" t="s">
        <v>3293</v>
      </c>
      <c r="R1332" s="792"/>
      <c r="S1332" s="788"/>
      <c r="T1332" s="793">
        <v>44026</v>
      </c>
      <c r="U1332" s="494"/>
      <c r="V1332" s="482"/>
      <c r="W1332" s="486"/>
    </row>
    <row r="1333" spans="1:23" ht="14.25" customHeight="1">
      <c r="A1333" s="487" t="s">
        <v>3274</v>
      </c>
      <c r="B1333" s="514" t="s">
        <v>3275</v>
      </c>
      <c r="C1333" s="452" t="s">
        <v>3288</v>
      </c>
      <c r="D1333" s="485"/>
      <c r="E1333" s="482"/>
      <c r="F1333" s="482"/>
      <c r="G1333" s="482"/>
      <c r="H1333" s="482"/>
      <c r="I1333" s="482"/>
      <c r="J1333" s="659" t="s">
        <v>794</v>
      </c>
      <c r="K1333" s="659" t="s">
        <v>794</v>
      </c>
      <c r="L1333" s="659" t="s">
        <v>794</v>
      </c>
      <c r="M1333" s="482"/>
      <c r="N1333" s="482"/>
      <c r="O1333" s="482"/>
      <c r="P1333" s="482"/>
      <c r="Q1333" s="791" t="s">
        <v>3293</v>
      </c>
      <c r="R1333" s="792"/>
      <c r="S1333" s="788"/>
      <c r="T1333" s="793">
        <v>44026</v>
      </c>
      <c r="U1333" s="494"/>
      <c r="V1333" s="482"/>
      <c r="W1333" s="486"/>
    </row>
    <row r="1334" spans="1:23" ht="14.25" customHeight="1">
      <c r="A1334" s="487" t="s">
        <v>3274</v>
      </c>
      <c r="B1334" s="514" t="s">
        <v>3275</v>
      </c>
      <c r="C1334" s="452" t="s">
        <v>3289</v>
      </c>
      <c r="D1334" s="485"/>
      <c r="E1334" s="482"/>
      <c r="F1334" s="482"/>
      <c r="G1334" s="482"/>
      <c r="H1334" s="482"/>
      <c r="I1334" s="482"/>
      <c r="J1334" s="659" t="s">
        <v>794</v>
      </c>
      <c r="K1334" s="659" t="s">
        <v>794</v>
      </c>
      <c r="L1334" s="659" t="s">
        <v>794</v>
      </c>
      <c r="M1334" s="482"/>
      <c r="N1334" s="482"/>
      <c r="O1334" s="482"/>
      <c r="P1334" s="482"/>
      <c r="Q1334" s="791" t="s">
        <v>3293</v>
      </c>
      <c r="R1334" s="792"/>
      <c r="S1334" s="788"/>
      <c r="T1334" s="793">
        <v>44026</v>
      </c>
      <c r="U1334" s="494"/>
      <c r="V1334" s="482"/>
      <c r="W1334" s="486"/>
    </row>
    <row r="1335" spans="1:23" ht="14.25" customHeight="1">
      <c r="A1335" s="487" t="s">
        <v>3274</v>
      </c>
      <c r="B1335" s="514" t="s">
        <v>3275</v>
      </c>
      <c r="C1335" s="452" t="s">
        <v>3290</v>
      </c>
      <c r="D1335" s="485"/>
      <c r="E1335" s="482"/>
      <c r="F1335" s="482"/>
      <c r="G1335" s="482"/>
      <c r="H1335" s="482"/>
      <c r="I1335" s="482"/>
      <c r="J1335" s="659" t="s">
        <v>794</v>
      </c>
      <c r="K1335" s="659" t="s">
        <v>794</v>
      </c>
      <c r="L1335" s="659" t="s">
        <v>794</v>
      </c>
      <c r="M1335" s="482"/>
      <c r="N1335" s="482"/>
      <c r="O1335" s="482"/>
      <c r="P1335" s="482"/>
      <c r="Q1335" s="791" t="s">
        <v>3293</v>
      </c>
      <c r="R1335" s="792"/>
      <c r="S1335" s="788"/>
      <c r="T1335" s="793">
        <v>44026</v>
      </c>
      <c r="U1335" s="494"/>
      <c r="V1335" s="482"/>
      <c r="W1335" s="486"/>
    </row>
    <row r="1336" spans="1:23" ht="14.25" customHeight="1">
      <c r="A1336" s="487" t="s">
        <v>3274</v>
      </c>
      <c r="B1336" s="514" t="s">
        <v>3275</v>
      </c>
      <c r="C1336" s="452" t="s">
        <v>3291</v>
      </c>
      <c r="D1336" s="485"/>
      <c r="E1336" s="482"/>
      <c r="F1336" s="482"/>
      <c r="G1336" s="482"/>
      <c r="H1336" s="482"/>
      <c r="I1336" s="482"/>
      <c r="J1336" s="659" t="s">
        <v>794</v>
      </c>
      <c r="K1336" s="659" t="s">
        <v>794</v>
      </c>
      <c r="L1336" s="659" t="s">
        <v>794</v>
      </c>
      <c r="M1336" s="482"/>
      <c r="N1336" s="482"/>
      <c r="O1336" s="482"/>
      <c r="P1336" s="482"/>
      <c r="Q1336" s="791" t="s">
        <v>3293</v>
      </c>
      <c r="R1336" s="792"/>
      <c r="S1336" s="788"/>
      <c r="T1336" s="793">
        <v>44026</v>
      </c>
      <c r="U1336" s="494"/>
      <c r="V1336" s="482"/>
      <c r="W1336" s="486"/>
    </row>
    <row r="1337" spans="1:23" ht="14.25" customHeight="1">
      <c r="A1337" s="487" t="s">
        <v>36</v>
      </c>
      <c r="B1337" s="514" t="s">
        <v>771</v>
      </c>
      <c r="C1337" s="452" t="s">
        <v>3233</v>
      </c>
      <c r="D1337" s="485"/>
      <c r="E1337" s="482"/>
      <c r="F1337" s="482"/>
      <c r="G1337" s="482"/>
      <c r="H1337" s="482"/>
      <c r="I1337" s="482"/>
      <c r="J1337" s="659" t="s">
        <v>794</v>
      </c>
      <c r="K1337" s="659" t="s">
        <v>794</v>
      </c>
      <c r="L1337" s="659" t="s">
        <v>794</v>
      </c>
      <c r="M1337" s="482"/>
      <c r="N1337" s="482"/>
      <c r="O1337" s="482"/>
      <c r="P1337" s="482"/>
      <c r="Q1337" s="791" t="s">
        <v>3293</v>
      </c>
      <c r="R1337" s="792"/>
      <c r="S1337" s="788"/>
      <c r="T1337" s="793">
        <v>44026</v>
      </c>
      <c r="U1337" s="494"/>
      <c r="V1337" s="482"/>
      <c r="W1337" s="486"/>
    </row>
    <row r="1338" spans="1:23" ht="14.25" customHeight="1">
      <c r="A1338" s="487" t="s">
        <v>36</v>
      </c>
      <c r="B1338" s="514" t="s">
        <v>771</v>
      </c>
      <c r="C1338" s="452" t="s">
        <v>3234</v>
      </c>
      <c r="D1338" s="485"/>
      <c r="E1338" s="482"/>
      <c r="F1338" s="482"/>
      <c r="G1338" s="482"/>
      <c r="H1338" s="482"/>
      <c r="I1338" s="482"/>
      <c r="J1338" s="659" t="s">
        <v>794</v>
      </c>
      <c r="K1338" s="659" t="s">
        <v>794</v>
      </c>
      <c r="L1338" s="659" t="s">
        <v>794</v>
      </c>
      <c r="M1338" s="482"/>
      <c r="N1338" s="482"/>
      <c r="O1338" s="482"/>
      <c r="P1338" s="482"/>
      <c r="Q1338" s="791" t="s">
        <v>3293</v>
      </c>
      <c r="R1338" s="792"/>
      <c r="S1338" s="788"/>
      <c r="T1338" s="793">
        <v>44026</v>
      </c>
      <c r="U1338" s="494"/>
      <c r="V1338" s="482"/>
      <c r="W1338" s="486"/>
    </row>
    <row r="1339" spans="1:23" ht="14.25" customHeight="1">
      <c r="A1339" s="487" t="s">
        <v>36</v>
      </c>
      <c r="B1339" s="514" t="s">
        <v>771</v>
      </c>
      <c r="C1339" s="452" t="s">
        <v>3235</v>
      </c>
      <c r="D1339" s="485"/>
      <c r="E1339" s="482"/>
      <c r="F1339" s="482"/>
      <c r="G1339" s="482"/>
      <c r="H1339" s="482"/>
      <c r="I1339" s="482"/>
      <c r="J1339" s="659" t="s">
        <v>794</v>
      </c>
      <c r="K1339" s="659" t="s">
        <v>794</v>
      </c>
      <c r="L1339" s="659" t="s">
        <v>794</v>
      </c>
      <c r="M1339" s="482"/>
      <c r="N1339" s="482"/>
      <c r="O1339" s="482"/>
      <c r="P1339" s="482"/>
      <c r="Q1339" s="791" t="s">
        <v>3293</v>
      </c>
      <c r="R1339" s="792"/>
      <c r="S1339" s="788"/>
      <c r="T1339" s="793">
        <v>44026</v>
      </c>
      <c r="U1339" s="494"/>
      <c r="V1339" s="482"/>
      <c r="W1339" s="486"/>
    </row>
    <row r="1340" spans="1:23" ht="14.25" customHeight="1">
      <c r="A1340" s="487" t="s">
        <v>36</v>
      </c>
      <c r="B1340" s="514" t="s">
        <v>771</v>
      </c>
      <c r="C1340" s="452" t="s">
        <v>3236</v>
      </c>
      <c r="D1340" s="485"/>
      <c r="E1340" s="482"/>
      <c r="F1340" s="482"/>
      <c r="G1340" s="482"/>
      <c r="H1340" s="482"/>
      <c r="I1340" s="482"/>
      <c r="J1340" s="659" t="s">
        <v>794</v>
      </c>
      <c r="K1340" s="659" t="s">
        <v>794</v>
      </c>
      <c r="L1340" s="659" t="s">
        <v>794</v>
      </c>
      <c r="M1340" s="482"/>
      <c r="N1340" s="482"/>
      <c r="O1340" s="482"/>
      <c r="P1340" s="482"/>
      <c r="Q1340" s="791" t="s">
        <v>3293</v>
      </c>
      <c r="R1340" s="792"/>
      <c r="S1340" s="788"/>
      <c r="T1340" s="793">
        <v>44026</v>
      </c>
      <c r="U1340" s="494"/>
      <c r="V1340" s="482"/>
      <c r="W1340" s="486"/>
    </row>
    <row r="1341" spans="1:23" ht="14.25" customHeight="1">
      <c r="A1341" s="487" t="s">
        <v>36</v>
      </c>
      <c r="B1341" s="514" t="s">
        <v>771</v>
      </c>
      <c r="C1341" s="452" t="s">
        <v>3237</v>
      </c>
      <c r="D1341" s="485"/>
      <c r="E1341" s="482"/>
      <c r="F1341" s="482"/>
      <c r="G1341" s="482"/>
      <c r="H1341" s="482"/>
      <c r="I1341" s="482"/>
      <c r="J1341" s="659" t="s">
        <v>794</v>
      </c>
      <c r="K1341" s="659" t="s">
        <v>794</v>
      </c>
      <c r="L1341" s="659" t="s">
        <v>794</v>
      </c>
      <c r="M1341" s="482"/>
      <c r="N1341" s="482"/>
      <c r="O1341" s="482"/>
      <c r="P1341" s="482"/>
      <c r="Q1341" s="791" t="s">
        <v>3293</v>
      </c>
      <c r="R1341" s="792"/>
      <c r="S1341" s="788"/>
      <c r="T1341" s="793">
        <v>44026</v>
      </c>
      <c r="U1341" s="494"/>
      <c r="V1341" s="482"/>
      <c r="W1341" s="486"/>
    </row>
    <row r="1342" spans="1:23" ht="14.25" customHeight="1">
      <c r="A1342" s="487" t="s">
        <v>36</v>
      </c>
      <c r="B1342" s="514" t="s">
        <v>771</v>
      </c>
      <c r="C1342" s="452" t="s">
        <v>3238</v>
      </c>
      <c r="D1342" s="485"/>
      <c r="E1342" s="482"/>
      <c r="F1342" s="482"/>
      <c r="G1342" s="482"/>
      <c r="H1342" s="482"/>
      <c r="I1342" s="482"/>
      <c r="J1342" s="659" t="s">
        <v>794</v>
      </c>
      <c r="K1342" s="659" t="s">
        <v>794</v>
      </c>
      <c r="L1342" s="659" t="s">
        <v>794</v>
      </c>
      <c r="M1342" s="482"/>
      <c r="N1342" s="482"/>
      <c r="O1342" s="482"/>
      <c r="P1342" s="482"/>
      <c r="Q1342" s="791" t="s">
        <v>3293</v>
      </c>
      <c r="R1342" s="792"/>
      <c r="S1342" s="788"/>
      <c r="T1342" s="793">
        <v>44026</v>
      </c>
      <c r="U1342" s="494"/>
      <c r="V1342" s="482"/>
      <c r="W1342" s="486"/>
    </row>
    <row r="1343" spans="1:23" ht="14.25" customHeight="1">
      <c r="A1343" s="487" t="s">
        <v>36</v>
      </c>
      <c r="B1343" s="514" t="s">
        <v>771</v>
      </c>
      <c r="C1343" s="452" t="s">
        <v>3239</v>
      </c>
      <c r="D1343" s="485"/>
      <c r="E1343" s="482"/>
      <c r="F1343" s="482"/>
      <c r="G1343" s="482"/>
      <c r="H1343" s="482"/>
      <c r="I1343" s="482"/>
      <c r="J1343" s="659" t="s">
        <v>794</v>
      </c>
      <c r="K1343" s="659" t="s">
        <v>794</v>
      </c>
      <c r="L1343" s="659" t="s">
        <v>794</v>
      </c>
      <c r="M1343" s="482"/>
      <c r="N1343" s="482"/>
      <c r="O1343" s="482"/>
      <c r="P1343" s="482"/>
      <c r="Q1343" s="791" t="s">
        <v>3293</v>
      </c>
      <c r="R1343" s="792"/>
      <c r="S1343" s="788"/>
      <c r="T1343" s="793">
        <v>44026</v>
      </c>
      <c r="U1343" s="494"/>
      <c r="V1343" s="482"/>
      <c r="W1343" s="486"/>
    </row>
    <row r="1344" spans="1:23" ht="14.25" customHeight="1">
      <c r="A1344" s="487" t="s">
        <v>36</v>
      </c>
      <c r="B1344" s="514" t="s">
        <v>771</v>
      </c>
      <c r="C1344" s="452" t="s">
        <v>3240</v>
      </c>
      <c r="D1344" s="485"/>
      <c r="E1344" s="482"/>
      <c r="F1344" s="482"/>
      <c r="G1344" s="482"/>
      <c r="H1344" s="482"/>
      <c r="I1344" s="482"/>
      <c r="J1344" s="659" t="s">
        <v>794</v>
      </c>
      <c r="K1344" s="659" t="s">
        <v>794</v>
      </c>
      <c r="L1344" s="659" t="s">
        <v>794</v>
      </c>
      <c r="M1344" s="482"/>
      <c r="N1344" s="482"/>
      <c r="O1344" s="482"/>
      <c r="P1344" s="482"/>
      <c r="Q1344" s="791" t="s">
        <v>3293</v>
      </c>
      <c r="R1344" s="792"/>
      <c r="S1344" s="788"/>
      <c r="T1344" s="793">
        <v>44026</v>
      </c>
      <c r="U1344" s="494"/>
      <c r="V1344" s="482"/>
      <c r="W1344" s="486"/>
    </row>
    <row r="1345" spans="1:23" ht="14.25" customHeight="1">
      <c r="A1345" s="487" t="s">
        <v>36</v>
      </c>
      <c r="B1345" s="514" t="s">
        <v>771</v>
      </c>
      <c r="C1345" s="452" t="s">
        <v>3241</v>
      </c>
      <c r="D1345" s="485"/>
      <c r="E1345" s="482"/>
      <c r="F1345" s="482"/>
      <c r="G1345" s="482"/>
      <c r="H1345" s="482"/>
      <c r="I1345" s="482"/>
      <c r="J1345" s="659" t="s">
        <v>794</v>
      </c>
      <c r="K1345" s="659" t="s">
        <v>794</v>
      </c>
      <c r="L1345" s="659" t="s">
        <v>794</v>
      </c>
      <c r="M1345" s="482"/>
      <c r="N1345" s="482"/>
      <c r="O1345" s="482"/>
      <c r="P1345" s="482"/>
      <c r="Q1345" s="791" t="s">
        <v>3293</v>
      </c>
      <c r="R1345" s="792"/>
      <c r="S1345" s="788"/>
      <c r="T1345" s="793">
        <v>44026</v>
      </c>
      <c r="U1345" s="494"/>
      <c r="V1345" s="482"/>
      <c r="W1345" s="486"/>
    </row>
    <row r="1346" spans="1:23" ht="14.25" customHeight="1">
      <c r="A1346" s="487" t="s">
        <v>36</v>
      </c>
      <c r="B1346" s="514" t="s">
        <v>771</v>
      </c>
      <c r="C1346" s="452" t="s">
        <v>3242</v>
      </c>
      <c r="D1346" s="485"/>
      <c r="E1346" s="482"/>
      <c r="F1346" s="482"/>
      <c r="G1346" s="482"/>
      <c r="H1346" s="482"/>
      <c r="I1346" s="482"/>
      <c r="J1346" s="659" t="s">
        <v>794</v>
      </c>
      <c r="K1346" s="659" t="s">
        <v>794</v>
      </c>
      <c r="L1346" s="659" t="s">
        <v>794</v>
      </c>
      <c r="M1346" s="482"/>
      <c r="N1346" s="482"/>
      <c r="O1346" s="482"/>
      <c r="P1346" s="482"/>
      <c r="Q1346" s="791" t="s">
        <v>3293</v>
      </c>
      <c r="R1346" s="792"/>
      <c r="S1346" s="788"/>
      <c r="T1346" s="793">
        <v>44026</v>
      </c>
      <c r="U1346" s="494"/>
      <c r="V1346" s="482"/>
      <c r="W1346" s="486"/>
    </row>
    <row r="1347" spans="1:23" ht="14.25" customHeight="1">
      <c r="A1347" s="487" t="s">
        <v>36</v>
      </c>
      <c r="B1347" s="514" t="s">
        <v>771</v>
      </c>
      <c r="C1347" s="452" t="s">
        <v>3243</v>
      </c>
      <c r="D1347" s="485"/>
      <c r="E1347" s="482"/>
      <c r="F1347" s="482"/>
      <c r="G1347" s="482"/>
      <c r="H1347" s="482"/>
      <c r="I1347" s="482"/>
      <c r="J1347" s="659" t="s">
        <v>794</v>
      </c>
      <c r="K1347" s="659" t="s">
        <v>794</v>
      </c>
      <c r="L1347" s="659" t="s">
        <v>794</v>
      </c>
      <c r="M1347" s="482"/>
      <c r="N1347" s="482"/>
      <c r="O1347" s="482"/>
      <c r="P1347" s="482"/>
      <c r="Q1347" s="791" t="s">
        <v>3293</v>
      </c>
      <c r="R1347" s="792"/>
      <c r="S1347" s="788"/>
      <c r="T1347" s="793">
        <v>44026</v>
      </c>
      <c r="U1347" s="494"/>
      <c r="V1347" s="482"/>
      <c r="W1347" s="486"/>
    </row>
    <row r="1348" spans="1:23" ht="14.25" customHeight="1">
      <c r="A1348" s="487" t="s">
        <v>36</v>
      </c>
      <c r="B1348" s="514" t="s">
        <v>771</v>
      </c>
      <c r="C1348" s="452" t="s">
        <v>3244</v>
      </c>
      <c r="D1348" s="485"/>
      <c r="E1348" s="482"/>
      <c r="F1348" s="482"/>
      <c r="G1348" s="482"/>
      <c r="H1348" s="482"/>
      <c r="I1348" s="482"/>
      <c r="J1348" s="659" t="s">
        <v>794</v>
      </c>
      <c r="K1348" s="659" t="s">
        <v>794</v>
      </c>
      <c r="L1348" s="659" t="s">
        <v>794</v>
      </c>
      <c r="M1348" s="482"/>
      <c r="N1348" s="482"/>
      <c r="O1348" s="482"/>
      <c r="P1348" s="482"/>
      <c r="Q1348" s="791" t="s">
        <v>3293</v>
      </c>
      <c r="R1348" s="792"/>
      <c r="S1348" s="788"/>
      <c r="T1348" s="793">
        <v>44026</v>
      </c>
      <c r="U1348" s="494"/>
      <c r="V1348" s="482"/>
      <c r="W1348" s="486"/>
    </row>
    <row r="1349" spans="1:23" ht="14.25" customHeight="1">
      <c r="A1349" s="487" t="s">
        <v>36</v>
      </c>
      <c r="B1349" s="514" t="s">
        <v>771</v>
      </c>
      <c r="C1349" s="452" t="s">
        <v>3245</v>
      </c>
      <c r="D1349" s="485"/>
      <c r="E1349" s="482"/>
      <c r="F1349" s="482"/>
      <c r="G1349" s="482"/>
      <c r="H1349" s="482"/>
      <c r="I1349" s="482"/>
      <c r="J1349" s="659" t="s">
        <v>794</v>
      </c>
      <c r="K1349" s="659" t="s">
        <v>794</v>
      </c>
      <c r="L1349" s="659" t="s">
        <v>794</v>
      </c>
      <c r="M1349" s="482"/>
      <c r="N1349" s="482"/>
      <c r="O1349" s="482"/>
      <c r="P1349" s="482"/>
      <c r="Q1349" s="791" t="s">
        <v>3293</v>
      </c>
      <c r="R1349" s="792"/>
      <c r="S1349" s="788"/>
      <c r="T1349" s="793">
        <v>44026</v>
      </c>
      <c r="U1349" s="494"/>
      <c r="V1349" s="482"/>
      <c r="W1349" s="486"/>
    </row>
    <row r="1350" spans="1:23" ht="14.25" customHeight="1">
      <c r="A1350" s="487" t="s">
        <v>36</v>
      </c>
      <c r="B1350" s="514" t="s">
        <v>771</v>
      </c>
      <c r="C1350" s="452" t="s">
        <v>3246</v>
      </c>
      <c r="D1350" s="485"/>
      <c r="E1350" s="482"/>
      <c r="F1350" s="482"/>
      <c r="G1350" s="482"/>
      <c r="H1350" s="482"/>
      <c r="I1350" s="482"/>
      <c r="J1350" s="659" t="s">
        <v>794</v>
      </c>
      <c r="K1350" s="659" t="s">
        <v>794</v>
      </c>
      <c r="L1350" s="659" t="s">
        <v>794</v>
      </c>
      <c r="M1350" s="482"/>
      <c r="N1350" s="482"/>
      <c r="O1350" s="482"/>
      <c r="P1350" s="482"/>
      <c r="Q1350" s="791" t="s">
        <v>3293</v>
      </c>
      <c r="R1350" s="792"/>
      <c r="S1350" s="788"/>
      <c r="T1350" s="793">
        <v>44026</v>
      </c>
      <c r="U1350" s="494"/>
      <c r="V1350" s="482"/>
      <c r="W1350" s="486"/>
    </row>
    <row r="1351" spans="1:23" ht="14.25" customHeight="1">
      <c r="A1351" s="487" t="s">
        <v>36</v>
      </c>
      <c r="B1351" s="514" t="s">
        <v>174</v>
      </c>
      <c r="C1351" s="452" t="s">
        <v>3247</v>
      </c>
      <c r="D1351" s="485"/>
      <c r="E1351" s="482"/>
      <c r="F1351" s="482"/>
      <c r="G1351" s="482"/>
      <c r="H1351" s="482"/>
      <c r="I1351" s="482"/>
      <c r="J1351" s="659" t="s">
        <v>794</v>
      </c>
      <c r="K1351" s="659" t="s">
        <v>794</v>
      </c>
      <c r="L1351" s="659" t="s">
        <v>794</v>
      </c>
      <c r="M1351" s="482"/>
      <c r="N1351" s="482"/>
      <c r="O1351" s="482"/>
      <c r="P1351" s="482"/>
      <c r="Q1351" s="791" t="s">
        <v>3293</v>
      </c>
      <c r="R1351" s="792"/>
      <c r="S1351" s="788"/>
      <c r="T1351" s="793">
        <v>44026</v>
      </c>
      <c r="U1351" s="494"/>
      <c r="V1351" s="482"/>
      <c r="W1351" s="486"/>
    </row>
    <row r="1352" spans="1:23" ht="14.25" customHeight="1">
      <c r="A1352" s="487" t="s">
        <v>36</v>
      </c>
      <c r="B1352" s="514" t="s">
        <v>174</v>
      </c>
      <c r="C1352" s="452" t="s">
        <v>3248</v>
      </c>
      <c r="D1352" s="485"/>
      <c r="E1352" s="482"/>
      <c r="F1352" s="482"/>
      <c r="G1352" s="482"/>
      <c r="H1352" s="482"/>
      <c r="I1352" s="482"/>
      <c r="J1352" s="659" t="s">
        <v>794</v>
      </c>
      <c r="K1352" s="659" t="s">
        <v>794</v>
      </c>
      <c r="L1352" s="659" t="s">
        <v>794</v>
      </c>
      <c r="M1352" s="482"/>
      <c r="N1352" s="482"/>
      <c r="O1352" s="482"/>
      <c r="P1352" s="482"/>
      <c r="Q1352" s="791" t="s">
        <v>3293</v>
      </c>
      <c r="R1352" s="792"/>
      <c r="S1352" s="788"/>
      <c r="T1352" s="793">
        <v>44026</v>
      </c>
      <c r="U1352" s="494"/>
      <c r="V1352" s="482"/>
      <c r="W1352" s="486"/>
    </row>
    <row r="1353" spans="1:23" ht="14.25" customHeight="1">
      <c r="A1353" s="487" t="s">
        <v>36</v>
      </c>
      <c r="B1353" s="514" t="s">
        <v>174</v>
      </c>
      <c r="C1353" s="452" t="s">
        <v>3249</v>
      </c>
      <c r="D1353" s="485"/>
      <c r="E1353" s="482"/>
      <c r="F1353" s="482"/>
      <c r="G1353" s="482"/>
      <c r="H1353" s="482"/>
      <c r="I1353" s="482"/>
      <c r="J1353" s="659" t="s">
        <v>794</v>
      </c>
      <c r="K1353" s="659" t="s">
        <v>794</v>
      </c>
      <c r="L1353" s="659" t="s">
        <v>794</v>
      </c>
      <c r="M1353" s="482"/>
      <c r="N1353" s="482"/>
      <c r="O1353" s="482"/>
      <c r="P1353" s="482"/>
      <c r="Q1353" s="791" t="s">
        <v>3293</v>
      </c>
      <c r="R1353" s="792"/>
      <c r="S1353" s="788"/>
      <c r="T1353" s="793">
        <v>44026</v>
      </c>
      <c r="U1353" s="494"/>
      <c r="V1353" s="482"/>
      <c r="W1353" s="486"/>
    </row>
    <row r="1354" spans="1:23" ht="14.25" customHeight="1">
      <c r="A1354" s="487" t="s">
        <v>36</v>
      </c>
      <c r="B1354" s="514" t="s">
        <v>174</v>
      </c>
      <c r="C1354" s="452" t="s">
        <v>3250</v>
      </c>
      <c r="D1354" s="485"/>
      <c r="E1354" s="482"/>
      <c r="F1354" s="482"/>
      <c r="G1354" s="482"/>
      <c r="H1354" s="482"/>
      <c r="I1354" s="482"/>
      <c r="J1354" s="659" t="s">
        <v>794</v>
      </c>
      <c r="K1354" s="659" t="s">
        <v>794</v>
      </c>
      <c r="L1354" s="659" t="s">
        <v>794</v>
      </c>
      <c r="M1354" s="482"/>
      <c r="N1354" s="482"/>
      <c r="O1354" s="482"/>
      <c r="P1354" s="482"/>
      <c r="Q1354" s="791" t="s">
        <v>3293</v>
      </c>
      <c r="R1354" s="792"/>
      <c r="S1354" s="788"/>
      <c r="T1354" s="793">
        <v>44026</v>
      </c>
      <c r="U1354" s="494"/>
      <c r="V1354" s="482"/>
      <c r="W1354" s="486"/>
    </row>
    <row r="1355" spans="1:23" ht="14.25" customHeight="1">
      <c r="A1355" s="487" t="s">
        <v>36</v>
      </c>
      <c r="B1355" s="514" t="s">
        <v>174</v>
      </c>
      <c r="C1355" s="452" t="s">
        <v>3251</v>
      </c>
      <c r="D1355" s="485"/>
      <c r="E1355" s="482"/>
      <c r="F1355" s="482"/>
      <c r="G1355" s="482"/>
      <c r="H1355" s="482"/>
      <c r="I1355" s="482"/>
      <c r="J1355" s="659" t="s">
        <v>794</v>
      </c>
      <c r="K1355" s="659" t="s">
        <v>794</v>
      </c>
      <c r="L1355" s="659" t="s">
        <v>794</v>
      </c>
      <c r="M1355" s="482"/>
      <c r="N1355" s="482"/>
      <c r="O1355" s="482"/>
      <c r="P1355" s="482"/>
      <c r="Q1355" s="791" t="s">
        <v>3293</v>
      </c>
      <c r="R1355" s="792"/>
      <c r="S1355" s="788"/>
      <c r="T1355" s="793">
        <v>44026</v>
      </c>
      <c r="U1355" s="494"/>
      <c r="V1355" s="482"/>
      <c r="W1355" s="486"/>
    </row>
    <row r="1356" spans="1:23" ht="14.25" customHeight="1">
      <c r="A1356" s="487" t="s">
        <v>36</v>
      </c>
      <c r="B1356" s="514" t="s">
        <v>174</v>
      </c>
      <c r="C1356" s="452" t="s">
        <v>3252</v>
      </c>
      <c r="D1356" s="485"/>
      <c r="E1356" s="482"/>
      <c r="F1356" s="482"/>
      <c r="G1356" s="482"/>
      <c r="H1356" s="482"/>
      <c r="I1356" s="482"/>
      <c r="J1356" s="659" t="s">
        <v>794</v>
      </c>
      <c r="K1356" s="659" t="s">
        <v>794</v>
      </c>
      <c r="L1356" s="659" t="s">
        <v>794</v>
      </c>
      <c r="M1356" s="482"/>
      <c r="N1356" s="482"/>
      <c r="O1356" s="482"/>
      <c r="P1356" s="482"/>
      <c r="Q1356" s="791" t="s">
        <v>3293</v>
      </c>
      <c r="R1356" s="792"/>
      <c r="S1356" s="788"/>
      <c r="T1356" s="793">
        <v>44026</v>
      </c>
      <c r="U1356" s="494"/>
      <c r="V1356" s="482"/>
      <c r="W1356" s="486"/>
    </row>
    <row r="1357" spans="1:23" ht="14.25" customHeight="1">
      <c r="A1357" s="487" t="s">
        <v>36</v>
      </c>
      <c r="B1357" s="514" t="s">
        <v>174</v>
      </c>
      <c r="C1357" s="452" t="s">
        <v>3253</v>
      </c>
      <c r="D1357" s="485"/>
      <c r="E1357" s="482"/>
      <c r="F1357" s="482"/>
      <c r="G1357" s="482"/>
      <c r="H1357" s="482"/>
      <c r="I1357" s="482"/>
      <c r="J1357" s="659" t="s">
        <v>794</v>
      </c>
      <c r="K1357" s="659" t="s">
        <v>794</v>
      </c>
      <c r="L1357" s="659" t="s">
        <v>794</v>
      </c>
      <c r="M1357" s="482"/>
      <c r="N1357" s="482"/>
      <c r="O1357" s="482"/>
      <c r="P1357" s="482"/>
      <c r="Q1357" s="791" t="s">
        <v>3293</v>
      </c>
      <c r="R1357" s="792"/>
      <c r="S1357" s="788"/>
      <c r="T1357" s="793">
        <v>44026</v>
      </c>
      <c r="U1357" s="494"/>
      <c r="V1357" s="482"/>
      <c r="W1357" s="486"/>
    </row>
    <row r="1358" spans="1:23" ht="14.25" customHeight="1">
      <c r="A1358" s="487" t="s">
        <v>36</v>
      </c>
      <c r="B1358" s="514" t="s">
        <v>174</v>
      </c>
      <c r="C1358" s="452" t="s">
        <v>3254</v>
      </c>
      <c r="D1358" s="485"/>
      <c r="E1358" s="482"/>
      <c r="F1358" s="482"/>
      <c r="G1358" s="482"/>
      <c r="H1358" s="482"/>
      <c r="I1358" s="482"/>
      <c r="J1358" s="659" t="s">
        <v>794</v>
      </c>
      <c r="K1358" s="659" t="s">
        <v>794</v>
      </c>
      <c r="L1358" s="659" t="s">
        <v>794</v>
      </c>
      <c r="M1358" s="482"/>
      <c r="N1358" s="482"/>
      <c r="O1358" s="482"/>
      <c r="P1358" s="482"/>
      <c r="Q1358" s="791" t="s">
        <v>3293</v>
      </c>
      <c r="R1358" s="792"/>
      <c r="S1358" s="788"/>
      <c r="T1358" s="793">
        <v>44026</v>
      </c>
      <c r="U1358" s="494"/>
      <c r="V1358" s="482"/>
      <c r="W1358" s="486"/>
    </row>
    <row r="1359" spans="1:23" ht="14.25" customHeight="1">
      <c r="A1359" s="487" t="s">
        <v>36</v>
      </c>
      <c r="B1359" s="514" t="s">
        <v>174</v>
      </c>
      <c r="C1359" s="452" t="s">
        <v>3255</v>
      </c>
      <c r="D1359" s="485"/>
      <c r="E1359" s="482"/>
      <c r="F1359" s="482"/>
      <c r="G1359" s="482"/>
      <c r="H1359" s="482"/>
      <c r="I1359" s="482"/>
      <c r="J1359" s="659" t="s">
        <v>794</v>
      </c>
      <c r="K1359" s="659" t="s">
        <v>794</v>
      </c>
      <c r="L1359" s="659" t="s">
        <v>794</v>
      </c>
      <c r="M1359" s="482"/>
      <c r="N1359" s="482"/>
      <c r="O1359" s="482"/>
      <c r="P1359" s="482"/>
      <c r="Q1359" s="791" t="s">
        <v>3293</v>
      </c>
      <c r="R1359" s="792"/>
      <c r="S1359" s="788"/>
      <c r="T1359" s="793">
        <v>44026</v>
      </c>
      <c r="U1359" s="494"/>
      <c r="V1359" s="482"/>
      <c r="W1359" s="486"/>
    </row>
    <row r="1360" spans="1:23" ht="14.25" customHeight="1">
      <c r="A1360" s="487" t="s">
        <v>36</v>
      </c>
      <c r="B1360" s="514" t="s">
        <v>174</v>
      </c>
      <c r="C1360" s="452" t="s">
        <v>3256</v>
      </c>
      <c r="D1360" s="485"/>
      <c r="E1360" s="482"/>
      <c r="F1360" s="482"/>
      <c r="G1360" s="482"/>
      <c r="H1360" s="482"/>
      <c r="I1360" s="482"/>
      <c r="J1360" s="659" t="s">
        <v>794</v>
      </c>
      <c r="K1360" s="659" t="s">
        <v>794</v>
      </c>
      <c r="L1360" s="659" t="s">
        <v>794</v>
      </c>
      <c r="M1360" s="482"/>
      <c r="N1360" s="482"/>
      <c r="O1360" s="482"/>
      <c r="P1360" s="482"/>
      <c r="Q1360" s="791" t="s">
        <v>3293</v>
      </c>
      <c r="R1360" s="792"/>
      <c r="S1360" s="788"/>
      <c r="T1360" s="793">
        <v>44026</v>
      </c>
      <c r="U1360" s="494"/>
      <c r="V1360" s="482"/>
      <c r="W1360" s="486"/>
    </row>
    <row r="1361" spans="1:23" ht="14.25" customHeight="1">
      <c r="A1361" s="487" t="s">
        <v>36</v>
      </c>
      <c r="B1361" s="514" t="s">
        <v>174</v>
      </c>
      <c r="C1361" s="452" t="s">
        <v>3257</v>
      </c>
      <c r="D1361" s="485"/>
      <c r="E1361" s="482"/>
      <c r="F1361" s="482"/>
      <c r="G1361" s="482"/>
      <c r="H1361" s="482"/>
      <c r="I1361" s="482"/>
      <c r="J1361" s="659" t="s">
        <v>794</v>
      </c>
      <c r="K1361" s="659" t="s">
        <v>794</v>
      </c>
      <c r="L1361" s="659" t="s">
        <v>794</v>
      </c>
      <c r="M1361" s="482"/>
      <c r="N1361" s="482"/>
      <c r="O1361" s="482"/>
      <c r="P1361" s="482"/>
      <c r="Q1361" s="791" t="s">
        <v>3293</v>
      </c>
      <c r="R1361" s="792"/>
      <c r="S1361" s="788"/>
      <c r="T1361" s="793">
        <v>44026</v>
      </c>
      <c r="U1361" s="494"/>
      <c r="V1361" s="482"/>
      <c r="W1361" s="486"/>
    </row>
    <row r="1362" spans="1:23" ht="14.25" customHeight="1">
      <c r="A1362" s="487" t="s">
        <v>36</v>
      </c>
      <c r="B1362" s="514" t="s">
        <v>174</v>
      </c>
      <c r="C1362" s="452" t="s">
        <v>3258</v>
      </c>
      <c r="D1362" s="485"/>
      <c r="E1362" s="482"/>
      <c r="F1362" s="482"/>
      <c r="G1362" s="482"/>
      <c r="H1362" s="482"/>
      <c r="I1362" s="482"/>
      <c r="J1362" s="659" t="s">
        <v>794</v>
      </c>
      <c r="K1362" s="659" t="s">
        <v>794</v>
      </c>
      <c r="L1362" s="659" t="s">
        <v>794</v>
      </c>
      <c r="M1362" s="482"/>
      <c r="N1362" s="482"/>
      <c r="O1362" s="482"/>
      <c r="P1362" s="482"/>
      <c r="Q1362" s="791" t="s">
        <v>3293</v>
      </c>
      <c r="R1362" s="792"/>
      <c r="S1362" s="788"/>
      <c r="T1362" s="793">
        <v>44026</v>
      </c>
      <c r="U1362" s="494"/>
      <c r="V1362" s="482"/>
      <c r="W1362" s="486"/>
    </row>
    <row r="1363" spans="1:23" ht="14.25" customHeight="1">
      <c r="A1363" s="487" t="s">
        <v>36</v>
      </c>
      <c r="B1363" s="514" t="s">
        <v>174</v>
      </c>
      <c r="C1363" s="452" t="s">
        <v>3259</v>
      </c>
      <c r="D1363" s="485"/>
      <c r="E1363" s="482"/>
      <c r="F1363" s="482"/>
      <c r="G1363" s="482"/>
      <c r="H1363" s="482"/>
      <c r="I1363" s="482"/>
      <c r="J1363" s="659" t="s">
        <v>794</v>
      </c>
      <c r="K1363" s="659" t="s">
        <v>794</v>
      </c>
      <c r="L1363" s="659" t="s">
        <v>794</v>
      </c>
      <c r="M1363" s="482"/>
      <c r="N1363" s="482"/>
      <c r="O1363" s="482"/>
      <c r="P1363" s="482"/>
      <c r="Q1363" s="791" t="s">
        <v>3293</v>
      </c>
      <c r="R1363" s="792"/>
      <c r="S1363" s="788"/>
      <c r="T1363" s="793">
        <v>44026</v>
      </c>
      <c r="U1363" s="494"/>
      <c r="V1363" s="482"/>
      <c r="W1363" s="486"/>
    </row>
    <row r="1364" spans="1:23" ht="14.25" customHeight="1">
      <c r="A1364" s="487" t="s">
        <v>36</v>
      </c>
      <c r="B1364" s="514" t="s">
        <v>174</v>
      </c>
      <c r="C1364" s="452" t="s">
        <v>3260</v>
      </c>
      <c r="D1364" s="485"/>
      <c r="E1364" s="482"/>
      <c r="F1364" s="482"/>
      <c r="G1364" s="482"/>
      <c r="H1364" s="482"/>
      <c r="I1364" s="482"/>
      <c r="J1364" s="659" t="s">
        <v>794</v>
      </c>
      <c r="K1364" s="659" t="s">
        <v>794</v>
      </c>
      <c r="L1364" s="659" t="s">
        <v>794</v>
      </c>
      <c r="M1364" s="482"/>
      <c r="N1364" s="482"/>
      <c r="O1364" s="482"/>
      <c r="P1364" s="482"/>
      <c r="Q1364" s="791" t="s">
        <v>3293</v>
      </c>
      <c r="R1364" s="792"/>
      <c r="S1364" s="788"/>
      <c r="T1364" s="793">
        <v>44026</v>
      </c>
      <c r="U1364" s="494"/>
      <c r="V1364" s="482"/>
      <c r="W1364" s="486"/>
    </row>
    <row r="1365" spans="1:23" ht="14.25" customHeight="1">
      <c r="A1365" s="835" t="s">
        <v>698</v>
      </c>
      <c r="B1365" s="836" t="s">
        <v>717</v>
      </c>
      <c r="C1365" s="837" t="s">
        <v>3262</v>
      </c>
      <c r="D1365" s="485"/>
      <c r="E1365" s="838"/>
      <c r="F1365" s="838"/>
      <c r="G1365" s="838"/>
      <c r="H1365" s="838"/>
      <c r="I1365" s="838"/>
      <c r="J1365" s="659" t="s">
        <v>794</v>
      </c>
      <c r="K1365" s="659" t="s">
        <v>794</v>
      </c>
      <c r="L1365" s="659" t="s">
        <v>794</v>
      </c>
      <c r="M1365" s="838"/>
      <c r="N1365" s="838"/>
      <c r="O1365" s="838"/>
      <c r="P1365" s="838"/>
      <c r="Q1365" s="791" t="s">
        <v>3293</v>
      </c>
      <c r="R1365" s="792"/>
      <c r="S1365" s="788"/>
      <c r="T1365" s="793">
        <v>44026</v>
      </c>
      <c r="U1365" s="839"/>
      <c r="V1365" s="838"/>
      <c r="W1365" s="486"/>
    </row>
    <row r="1366" spans="1:23" ht="14.25" customHeight="1">
      <c r="A1366" s="835" t="s">
        <v>698</v>
      </c>
      <c r="B1366" s="836" t="s">
        <v>717</v>
      </c>
      <c r="C1366" s="837" t="s">
        <v>3263</v>
      </c>
      <c r="D1366" s="485"/>
      <c r="E1366" s="838"/>
      <c r="F1366" s="838"/>
      <c r="G1366" s="838"/>
      <c r="H1366" s="838"/>
      <c r="I1366" s="838"/>
      <c r="J1366" s="659" t="s">
        <v>794</v>
      </c>
      <c r="K1366" s="659" t="s">
        <v>794</v>
      </c>
      <c r="L1366" s="659" t="s">
        <v>794</v>
      </c>
      <c r="M1366" s="838"/>
      <c r="N1366" s="838"/>
      <c r="O1366" s="838"/>
      <c r="P1366" s="838"/>
      <c r="Q1366" s="791" t="s">
        <v>3293</v>
      </c>
      <c r="R1366" s="792"/>
      <c r="S1366" s="788"/>
      <c r="T1366" s="793">
        <v>44026</v>
      </c>
      <c r="U1366" s="839"/>
      <c r="V1366" s="838"/>
      <c r="W1366" s="486"/>
    </row>
    <row r="1367" spans="1:23" ht="14.25" customHeight="1">
      <c r="A1367" s="835" t="s">
        <v>698</v>
      </c>
      <c r="B1367" s="836" t="s">
        <v>717</v>
      </c>
      <c r="C1367" s="837" t="s">
        <v>3264</v>
      </c>
      <c r="D1367" s="485"/>
      <c r="E1367" s="838"/>
      <c r="F1367" s="838"/>
      <c r="G1367" s="838"/>
      <c r="H1367" s="838"/>
      <c r="I1367" s="838"/>
      <c r="J1367" s="659" t="s">
        <v>794</v>
      </c>
      <c r="K1367" s="659" t="s">
        <v>794</v>
      </c>
      <c r="L1367" s="659" t="s">
        <v>794</v>
      </c>
      <c r="M1367" s="838"/>
      <c r="N1367" s="838"/>
      <c r="O1367" s="838"/>
      <c r="P1367" s="838"/>
      <c r="Q1367" s="791" t="s">
        <v>3293</v>
      </c>
      <c r="R1367" s="792"/>
      <c r="S1367" s="788"/>
      <c r="T1367" s="793">
        <v>44026</v>
      </c>
      <c r="U1367" s="839"/>
      <c r="V1367" s="838"/>
      <c r="W1367" s="486"/>
    </row>
    <row r="1368" spans="1:23" ht="14.25" customHeight="1">
      <c r="A1368" s="835" t="s">
        <v>698</v>
      </c>
      <c r="B1368" s="836" t="s">
        <v>1253</v>
      </c>
      <c r="C1368" s="837" t="s">
        <v>3265</v>
      </c>
      <c r="D1368" s="485"/>
      <c r="E1368" s="838"/>
      <c r="F1368" s="838"/>
      <c r="G1368" s="838"/>
      <c r="H1368" s="838"/>
      <c r="I1368" s="838"/>
      <c r="J1368" s="659" t="s">
        <v>794</v>
      </c>
      <c r="K1368" s="659" t="s">
        <v>794</v>
      </c>
      <c r="L1368" s="659" t="s">
        <v>794</v>
      </c>
      <c r="M1368" s="838"/>
      <c r="N1368" s="838"/>
      <c r="O1368" s="838"/>
      <c r="P1368" s="838"/>
      <c r="Q1368" s="791" t="s">
        <v>3293</v>
      </c>
      <c r="R1368" s="792"/>
      <c r="S1368" s="788"/>
      <c r="T1368" s="793">
        <v>44026</v>
      </c>
      <c r="U1368" s="839"/>
      <c r="V1368" s="838"/>
      <c r="W1368" s="486"/>
    </row>
    <row r="1369" spans="1:23" ht="14.25" customHeight="1">
      <c r="A1369" s="835" t="s">
        <v>698</v>
      </c>
      <c r="B1369" s="836" t="s">
        <v>1253</v>
      </c>
      <c r="C1369" s="837" t="s">
        <v>3266</v>
      </c>
      <c r="D1369" s="485"/>
      <c r="E1369" s="838"/>
      <c r="F1369" s="838"/>
      <c r="G1369" s="838"/>
      <c r="H1369" s="838"/>
      <c r="I1369" s="838"/>
      <c r="J1369" s="659" t="s">
        <v>794</v>
      </c>
      <c r="K1369" s="659" t="s">
        <v>794</v>
      </c>
      <c r="L1369" s="659" t="s">
        <v>794</v>
      </c>
      <c r="M1369" s="838"/>
      <c r="N1369" s="838"/>
      <c r="O1369" s="838"/>
      <c r="P1369" s="838"/>
      <c r="Q1369" s="791" t="s">
        <v>3293</v>
      </c>
      <c r="R1369" s="792"/>
      <c r="S1369" s="788"/>
      <c r="T1369" s="793">
        <v>44026</v>
      </c>
      <c r="U1369" s="839"/>
      <c r="V1369" s="838"/>
      <c r="W1369" s="486"/>
    </row>
    <row r="1370" spans="1:23" ht="14.25" customHeight="1">
      <c r="A1370" s="835" t="s">
        <v>698</v>
      </c>
      <c r="B1370" s="836" t="s">
        <v>1253</v>
      </c>
      <c r="C1370" s="837" t="s">
        <v>3267</v>
      </c>
      <c r="D1370" s="485"/>
      <c r="E1370" s="838"/>
      <c r="F1370" s="838"/>
      <c r="G1370" s="838"/>
      <c r="H1370" s="838"/>
      <c r="I1370" s="838"/>
      <c r="J1370" s="659" t="s">
        <v>794</v>
      </c>
      <c r="K1370" s="659" t="s">
        <v>794</v>
      </c>
      <c r="L1370" s="659" t="s">
        <v>794</v>
      </c>
      <c r="M1370" s="838"/>
      <c r="N1370" s="838"/>
      <c r="O1370" s="838"/>
      <c r="P1370" s="838"/>
      <c r="Q1370" s="791" t="s">
        <v>3293</v>
      </c>
      <c r="R1370" s="792"/>
      <c r="S1370" s="788"/>
      <c r="T1370" s="793">
        <v>44026</v>
      </c>
      <c r="U1370" s="839"/>
      <c r="V1370" s="838"/>
      <c r="W1370" s="486"/>
    </row>
    <row r="1371" spans="1:23" ht="14.25" customHeight="1">
      <c r="A1371" s="835" t="s">
        <v>698</v>
      </c>
      <c r="B1371" s="836" t="s">
        <v>1253</v>
      </c>
      <c r="C1371" s="837" t="s">
        <v>3268</v>
      </c>
      <c r="D1371" s="485"/>
      <c r="E1371" s="838"/>
      <c r="F1371" s="838"/>
      <c r="G1371" s="838"/>
      <c r="H1371" s="838"/>
      <c r="I1371" s="838"/>
      <c r="J1371" s="659" t="s">
        <v>794</v>
      </c>
      <c r="K1371" s="659" t="s">
        <v>794</v>
      </c>
      <c r="L1371" s="659" t="s">
        <v>794</v>
      </c>
      <c r="M1371" s="838"/>
      <c r="N1371" s="838"/>
      <c r="O1371" s="838"/>
      <c r="P1371" s="838"/>
      <c r="Q1371" s="791" t="s">
        <v>3293</v>
      </c>
      <c r="R1371" s="792"/>
      <c r="S1371" s="788"/>
      <c r="T1371" s="793">
        <v>44026</v>
      </c>
      <c r="U1371" s="839"/>
      <c r="V1371" s="838"/>
      <c r="W1371" s="486"/>
    </row>
    <row r="1372" spans="1:23" ht="14.25" customHeight="1">
      <c r="A1372" s="835" t="s">
        <v>698</v>
      </c>
      <c r="B1372" s="836" t="s">
        <v>1253</v>
      </c>
      <c r="C1372" s="837" t="s">
        <v>3269</v>
      </c>
      <c r="D1372" s="485"/>
      <c r="E1372" s="838"/>
      <c r="F1372" s="838"/>
      <c r="G1372" s="838"/>
      <c r="H1372" s="838"/>
      <c r="I1372" s="838"/>
      <c r="J1372" s="659" t="s">
        <v>794</v>
      </c>
      <c r="K1372" s="659" t="s">
        <v>794</v>
      </c>
      <c r="L1372" s="659" t="s">
        <v>794</v>
      </c>
      <c r="M1372" s="838"/>
      <c r="N1372" s="838"/>
      <c r="O1372" s="838"/>
      <c r="P1372" s="838"/>
      <c r="Q1372" s="791" t="s">
        <v>3293</v>
      </c>
      <c r="R1372" s="792"/>
      <c r="S1372" s="788"/>
      <c r="T1372" s="793">
        <v>44026</v>
      </c>
      <c r="U1372" s="839"/>
      <c r="V1372" s="838"/>
      <c r="W1372" s="486"/>
    </row>
    <row r="1373" spans="1:23" ht="14.25" customHeight="1">
      <c r="A1373" s="835" t="s">
        <v>698</v>
      </c>
      <c r="B1373" s="836" t="s">
        <v>1253</v>
      </c>
      <c r="C1373" s="837" t="s">
        <v>3270</v>
      </c>
      <c r="D1373" s="485"/>
      <c r="E1373" s="838"/>
      <c r="F1373" s="838"/>
      <c r="G1373" s="838"/>
      <c r="H1373" s="838"/>
      <c r="I1373" s="838"/>
      <c r="J1373" s="659" t="s">
        <v>794</v>
      </c>
      <c r="K1373" s="659" t="s">
        <v>794</v>
      </c>
      <c r="L1373" s="659" t="s">
        <v>794</v>
      </c>
      <c r="M1373" s="838"/>
      <c r="N1373" s="838"/>
      <c r="O1373" s="838"/>
      <c r="P1373" s="838"/>
      <c r="Q1373" s="791" t="s">
        <v>3293</v>
      </c>
      <c r="R1373" s="792"/>
      <c r="S1373" s="788"/>
      <c r="T1373" s="793">
        <v>44026</v>
      </c>
      <c r="U1373" s="839"/>
      <c r="V1373" s="838"/>
      <c r="W1373" s="486"/>
    </row>
  </sheetData>
  <conditionalFormatting sqref="V226">
    <cfRule type="duplicateValues" dxfId="535" priority="35"/>
  </conditionalFormatting>
  <conditionalFormatting sqref="V951">
    <cfRule type="duplicateValues" dxfId="534" priority="34"/>
  </conditionalFormatting>
  <conditionalFormatting sqref="V996">
    <cfRule type="duplicateValues" dxfId="533" priority="33"/>
  </conditionalFormatting>
  <conditionalFormatting sqref="V1120">
    <cfRule type="duplicateValues" dxfId="532" priority="32"/>
  </conditionalFormatting>
  <conditionalFormatting sqref="C844">
    <cfRule type="duplicateValues" dxfId="531" priority="30"/>
  </conditionalFormatting>
  <conditionalFormatting sqref="E844">
    <cfRule type="duplicateValues" dxfId="530" priority="31"/>
  </conditionalFormatting>
  <conditionalFormatting sqref="C851">
    <cfRule type="duplicateValues" dxfId="529" priority="28"/>
  </conditionalFormatting>
  <conditionalFormatting sqref="E851">
    <cfRule type="duplicateValues" dxfId="528" priority="29"/>
  </conditionalFormatting>
  <conditionalFormatting sqref="C845">
    <cfRule type="duplicateValues" dxfId="527" priority="26"/>
  </conditionalFormatting>
  <conditionalFormatting sqref="E845">
    <cfRule type="duplicateValues" dxfId="526" priority="27"/>
  </conditionalFormatting>
  <conditionalFormatting sqref="C846">
    <cfRule type="duplicateValues" dxfId="525" priority="24"/>
  </conditionalFormatting>
  <conditionalFormatting sqref="E846">
    <cfRule type="duplicateValues" dxfId="524" priority="25"/>
  </conditionalFormatting>
  <conditionalFormatting sqref="C874">
    <cfRule type="duplicateValues" dxfId="523" priority="22"/>
  </conditionalFormatting>
  <conditionalFormatting sqref="E874">
    <cfRule type="duplicateValues" dxfId="522" priority="23"/>
  </conditionalFormatting>
  <conditionalFormatting sqref="C876">
    <cfRule type="duplicateValues" dxfId="521" priority="20"/>
  </conditionalFormatting>
  <conditionalFormatting sqref="E876">
    <cfRule type="duplicateValues" dxfId="520" priority="21"/>
  </conditionalFormatting>
  <conditionalFormatting sqref="C877">
    <cfRule type="duplicateValues" dxfId="519" priority="18"/>
  </conditionalFormatting>
  <conditionalFormatting sqref="E877">
    <cfRule type="duplicateValues" dxfId="518" priority="19"/>
  </conditionalFormatting>
  <conditionalFormatting sqref="C688">
    <cfRule type="duplicateValues" dxfId="517" priority="16"/>
  </conditionalFormatting>
  <conditionalFormatting sqref="E688">
    <cfRule type="duplicateValues" dxfId="516" priority="17"/>
  </conditionalFormatting>
  <conditionalFormatting sqref="C685">
    <cfRule type="duplicateValues" dxfId="515" priority="14"/>
  </conditionalFormatting>
  <conditionalFormatting sqref="E685">
    <cfRule type="duplicateValues" dxfId="514" priority="15"/>
  </conditionalFormatting>
  <conditionalFormatting sqref="C686">
    <cfRule type="duplicateValues" dxfId="513" priority="12"/>
  </conditionalFormatting>
  <conditionalFormatting sqref="E686">
    <cfRule type="duplicateValues" dxfId="512" priority="13"/>
  </conditionalFormatting>
  <conditionalFormatting sqref="C687">
    <cfRule type="duplicateValues" dxfId="511" priority="10"/>
  </conditionalFormatting>
  <conditionalFormatting sqref="E687">
    <cfRule type="duplicateValues" dxfId="510" priority="11"/>
  </conditionalFormatting>
  <conditionalFormatting sqref="C722">
    <cfRule type="duplicateValues" dxfId="509" priority="8"/>
  </conditionalFormatting>
  <conditionalFormatting sqref="E722">
    <cfRule type="duplicateValues" dxfId="508" priority="9"/>
  </conditionalFormatting>
  <conditionalFormatting sqref="C737">
    <cfRule type="duplicateValues" dxfId="507" priority="6"/>
  </conditionalFormatting>
  <conditionalFormatting sqref="E737">
    <cfRule type="duplicateValues" dxfId="506" priority="7"/>
  </conditionalFormatting>
  <conditionalFormatting sqref="C738">
    <cfRule type="duplicateValues" dxfId="505" priority="4"/>
  </conditionalFormatting>
  <conditionalFormatting sqref="E738">
    <cfRule type="duplicateValues" dxfId="504" priority="5"/>
  </conditionalFormatting>
  <conditionalFormatting sqref="C798">
    <cfRule type="duplicateValues" dxfId="503" priority="2"/>
  </conditionalFormatting>
  <conditionalFormatting sqref="E1152">
    <cfRule type="duplicateValues" dxfId="502" priority="3"/>
  </conditionalFormatting>
  <conditionalFormatting sqref="C847:C850 C3:C684 C852:C873 C875 C878:C1144 C689:C721 C723:C736 C739:C797 C799:C843">
    <cfRule type="duplicateValues" dxfId="501" priority="12243"/>
  </conditionalFormatting>
  <conditionalFormatting sqref="E847:E850 E3:E684 E852:E873 E875 E878:E1144 E689:E721 E723:E736 E739:E797 E799:E843">
    <cfRule type="duplicateValues" dxfId="500" priority="12253"/>
  </conditionalFormatting>
  <conditionalFormatting sqref="C3:C1373">
    <cfRule type="duplicateValues" dxfId="499" priority="12541"/>
  </conditionalFormatting>
  <dataValidations count="1">
    <dataValidation type="list" allowBlank="1" showInputMessage="1" showErrorMessage="1" sqref="C774" xr:uid="{00000000-0002-0000-0300-000001000000}">
      <formula1>OFFSET(Township_start,MATCH(B774,Township_list, 0),1, COUNTIF(Township_list,B774),1)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BE1491-950D-4CE8-81F6-C21A5305EBD5}">
          <x14:formula1>
            <xm:f>'C:\Users\mthaw\Mee Mee\2. Information Management\C_Camp Info\2. CCCM Camp list\Kachin\2019\[shelter-nfi-cccm_kachin_northern_shan_cluster_analysis_report_march_2019.xlsx]Definition'!#REF!</xm:f>
          </x14:formula1>
          <xm:sqref>L530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0DCB-08BE-47BB-8F9F-0197E6D565FD}">
  <sheetPr>
    <tabColor rgb="FF92D050"/>
  </sheetPr>
  <dimension ref="A1:G47"/>
  <sheetViews>
    <sheetView zoomScale="110" zoomScaleNormal="110" zoomScaleSheetLayoutView="50" workbookViewId="0">
      <pane xSplit="2" ySplit="2" topLeftCell="C6" activePane="bottomRight" state="frozen"/>
      <selection activeCell="F61" sqref="F61"/>
      <selection pane="topRight" activeCell="F61" sqref="F61"/>
      <selection pane="bottomLeft" activeCell="F61" sqref="F61"/>
      <selection pane="bottomRight" activeCell="C33" sqref="C33"/>
    </sheetView>
  </sheetViews>
  <sheetFormatPr defaultColWidth="8" defaultRowHeight="45" customHeight="1"/>
  <cols>
    <col min="1" max="1" width="7.59765625" style="685" bestFit="1" customWidth="1"/>
    <col min="2" max="2" width="7.59765625" style="272" bestFit="1" customWidth="1"/>
    <col min="3" max="3" width="42.69921875" style="294" bestFit="1" customWidth="1"/>
    <col min="4" max="5" width="11.59765625" style="294" customWidth="1"/>
    <col min="6" max="6" width="61.5" style="294" bestFit="1" customWidth="1"/>
    <col min="7" max="7" width="57.19921875" style="537" bestFit="1" customWidth="1"/>
    <col min="8" max="16379" width="8" style="271"/>
    <col min="16380" max="16384" width="21.19921875" style="271" customWidth="1"/>
  </cols>
  <sheetData>
    <row r="1" spans="1:7" ht="45" customHeight="1">
      <c r="A1" s="683"/>
      <c r="B1" s="879"/>
      <c r="C1" s="879"/>
      <c r="D1" s="879"/>
      <c r="E1" s="879"/>
      <c r="F1" s="879"/>
    </row>
    <row r="2" spans="1:7" s="275" customFormat="1" ht="45" customHeight="1">
      <c r="A2" s="684"/>
      <c r="B2" s="273" t="s">
        <v>45</v>
      </c>
      <c r="C2" s="274" t="s">
        <v>2289</v>
      </c>
      <c r="D2" s="274" t="s">
        <v>2290</v>
      </c>
      <c r="E2" s="274" t="s">
        <v>2823</v>
      </c>
      <c r="F2" s="274" t="s">
        <v>46</v>
      </c>
      <c r="G2" s="186" t="s">
        <v>2358</v>
      </c>
    </row>
    <row r="3" spans="1:7" ht="45" customHeight="1">
      <c r="A3" s="883" t="s">
        <v>3131</v>
      </c>
      <c r="B3" s="276" t="s">
        <v>0</v>
      </c>
      <c r="C3" s="277" t="s">
        <v>2293</v>
      </c>
      <c r="D3" s="277" t="s">
        <v>14</v>
      </c>
      <c r="E3" s="277"/>
      <c r="F3" s="278"/>
      <c r="G3" s="538"/>
    </row>
    <row r="4" spans="1:7" ht="62.7" customHeight="1">
      <c r="A4" s="884"/>
      <c r="B4" s="276" t="s">
        <v>1</v>
      </c>
      <c r="C4" s="277" t="s">
        <v>2295</v>
      </c>
      <c r="D4" s="277" t="s">
        <v>14</v>
      </c>
      <c r="E4" s="277"/>
      <c r="F4" s="278" t="s">
        <v>2296</v>
      </c>
      <c r="G4" s="538"/>
    </row>
    <row r="5" spans="1:7" ht="45" customHeight="1">
      <c r="A5" s="884"/>
      <c r="B5" s="276" t="s">
        <v>2</v>
      </c>
      <c r="C5" s="277" t="s">
        <v>2297</v>
      </c>
      <c r="D5" s="277" t="s">
        <v>14</v>
      </c>
      <c r="E5" s="277"/>
      <c r="F5" s="278" t="s">
        <v>2298</v>
      </c>
      <c r="G5" s="538"/>
    </row>
    <row r="6" spans="1:7" ht="45" customHeight="1">
      <c r="A6" s="884"/>
      <c r="B6" s="276" t="s">
        <v>3</v>
      </c>
      <c r="C6" s="277" t="s">
        <v>2299</v>
      </c>
      <c r="D6" s="277" t="s">
        <v>16</v>
      </c>
      <c r="E6" s="277"/>
      <c r="F6" s="278" t="s">
        <v>2442</v>
      </c>
      <c r="G6" s="538"/>
    </row>
    <row r="7" spans="1:7" ht="45" customHeight="1">
      <c r="A7" s="884"/>
      <c r="B7" s="276" t="s">
        <v>4</v>
      </c>
      <c r="C7" s="277" t="s">
        <v>19</v>
      </c>
      <c r="D7" s="277" t="s">
        <v>14</v>
      </c>
      <c r="E7" s="277"/>
      <c r="F7" s="278" t="s">
        <v>2300</v>
      </c>
      <c r="G7" s="538"/>
    </row>
    <row r="8" spans="1:7" ht="45" customHeight="1">
      <c r="A8" s="884"/>
      <c r="B8" s="276" t="s">
        <v>1150</v>
      </c>
      <c r="C8" s="277" t="s">
        <v>20</v>
      </c>
      <c r="D8" s="277" t="s">
        <v>14</v>
      </c>
      <c r="E8" s="277"/>
      <c r="F8" s="278" t="s">
        <v>2300</v>
      </c>
      <c r="G8" s="538"/>
    </row>
    <row r="9" spans="1:7" ht="45" customHeight="1">
      <c r="A9" s="884"/>
      <c r="B9" s="276" t="s">
        <v>5</v>
      </c>
      <c r="C9" s="277" t="s">
        <v>2301</v>
      </c>
      <c r="D9" s="277" t="s">
        <v>2436</v>
      </c>
      <c r="E9" s="277"/>
      <c r="F9" s="278" t="s">
        <v>2302</v>
      </c>
      <c r="G9" s="538"/>
    </row>
    <row r="10" spans="1:7" ht="14.4">
      <c r="A10" s="884"/>
      <c r="B10" s="276" t="s">
        <v>6</v>
      </c>
      <c r="C10" s="277" t="s">
        <v>2887</v>
      </c>
      <c r="D10" s="277" t="s">
        <v>14</v>
      </c>
      <c r="E10" s="277"/>
      <c r="F10" s="278" t="s">
        <v>2304</v>
      </c>
      <c r="G10" s="538"/>
    </row>
    <row r="11" spans="1:7" ht="14.4">
      <c r="A11" s="884"/>
      <c r="B11" s="276" t="s">
        <v>49</v>
      </c>
      <c r="C11" s="277" t="s">
        <v>22</v>
      </c>
      <c r="D11" s="277" t="s">
        <v>15</v>
      </c>
      <c r="E11" s="277"/>
      <c r="F11" s="278" t="s">
        <v>2350</v>
      </c>
      <c r="G11" s="538"/>
    </row>
    <row r="12" spans="1:7" ht="14.4">
      <c r="A12" s="884"/>
      <c r="B12" s="276" t="s">
        <v>50</v>
      </c>
      <c r="C12" s="277" t="s">
        <v>1892</v>
      </c>
      <c r="D12" s="277" t="s">
        <v>15</v>
      </c>
      <c r="E12" s="277"/>
      <c r="F12" s="278" t="s">
        <v>2350</v>
      </c>
      <c r="G12" s="538"/>
    </row>
    <row r="13" spans="1:7" ht="14.4">
      <c r="A13" s="884"/>
      <c r="B13" s="276" t="s">
        <v>53</v>
      </c>
      <c r="C13" s="277" t="s">
        <v>2305</v>
      </c>
      <c r="D13" s="277" t="s">
        <v>17</v>
      </c>
      <c r="E13" s="277"/>
      <c r="F13" s="278" t="s">
        <v>2306</v>
      </c>
      <c r="G13" s="538"/>
    </row>
    <row r="14" spans="1:7" ht="14.4">
      <c r="A14" s="884"/>
      <c r="B14" s="276" t="s">
        <v>55</v>
      </c>
      <c r="C14" s="277" t="s">
        <v>2307</v>
      </c>
      <c r="D14" s="277" t="s">
        <v>17</v>
      </c>
      <c r="E14" s="277"/>
      <c r="F14" s="278" t="s">
        <v>2308</v>
      </c>
      <c r="G14" s="538"/>
    </row>
    <row r="15" spans="1:7" ht="14.4">
      <c r="A15" s="884"/>
      <c r="B15" s="276" t="s">
        <v>57</v>
      </c>
      <c r="C15" s="277" t="s">
        <v>2888</v>
      </c>
      <c r="D15" s="277" t="s">
        <v>15</v>
      </c>
      <c r="E15" s="277"/>
      <c r="F15" s="278"/>
      <c r="G15" s="538"/>
    </row>
    <row r="16" spans="1:7" ht="41.4">
      <c r="A16" s="885"/>
      <c r="B16" s="276" t="s">
        <v>110</v>
      </c>
      <c r="C16" s="277" t="s">
        <v>2889</v>
      </c>
      <c r="D16" s="277" t="s">
        <v>15</v>
      </c>
      <c r="E16" s="277"/>
      <c r="F16" s="278" t="s">
        <v>2459</v>
      </c>
      <c r="G16" s="538"/>
    </row>
    <row r="17" spans="1:7" ht="38.25" customHeight="1">
      <c r="A17" s="886" t="s">
        <v>1982</v>
      </c>
      <c r="B17" s="279" t="s">
        <v>111</v>
      </c>
      <c r="C17" s="533" t="s">
        <v>2835</v>
      </c>
      <c r="D17" s="190" t="s">
        <v>15</v>
      </c>
      <c r="E17" s="190" t="s">
        <v>2824</v>
      </c>
      <c r="F17" s="257" t="s">
        <v>2829</v>
      </c>
      <c r="G17" s="880" t="s">
        <v>3141</v>
      </c>
    </row>
    <row r="18" spans="1:7" ht="41.4">
      <c r="A18" s="887"/>
      <c r="B18" s="279" t="s">
        <v>59</v>
      </c>
      <c r="C18" s="533" t="s">
        <v>2834</v>
      </c>
      <c r="D18" s="190" t="s">
        <v>15</v>
      </c>
      <c r="E18" s="190" t="s">
        <v>2824</v>
      </c>
      <c r="F18" s="257" t="s">
        <v>2830</v>
      </c>
      <c r="G18" s="881"/>
    </row>
    <row r="19" spans="1:7" ht="45" customHeight="1">
      <c r="A19" s="887"/>
      <c r="B19" s="279" t="s">
        <v>58</v>
      </c>
      <c r="C19" s="533" t="s">
        <v>2828</v>
      </c>
      <c r="D19" s="190" t="s">
        <v>15</v>
      </c>
      <c r="E19" s="190" t="s">
        <v>2856</v>
      </c>
      <c r="F19" s="257" t="s">
        <v>2831</v>
      </c>
      <c r="G19" s="881"/>
    </row>
    <row r="20" spans="1:7" ht="45" customHeight="1">
      <c r="A20" s="887"/>
      <c r="B20" s="279" t="s">
        <v>60</v>
      </c>
      <c r="C20" s="533" t="s">
        <v>2991</v>
      </c>
      <c r="D20" s="190" t="s">
        <v>2992</v>
      </c>
      <c r="E20" s="190" t="s">
        <v>2824</v>
      </c>
      <c r="F20" s="257"/>
      <c r="G20" s="881"/>
    </row>
    <row r="21" spans="1:7" ht="38.25" customHeight="1">
      <c r="A21" s="887"/>
      <c r="B21" s="279" t="s">
        <v>1151</v>
      </c>
      <c r="C21" s="533" t="s">
        <v>2833</v>
      </c>
      <c r="D21" s="190" t="s">
        <v>15</v>
      </c>
      <c r="E21" s="190" t="s">
        <v>2824</v>
      </c>
      <c r="F21" s="257" t="s">
        <v>2890</v>
      </c>
      <c r="G21" s="881"/>
    </row>
    <row r="22" spans="1:7" ht="38.25" customHeight="1">
      <c r="A22" s="887"/>
      <c r="B22" s="279" t="s">
        <v>62</v>
      </c>
      <c r="C22" s="190" t="s">
        <v>2838</v>
      </c>
      <c r="D22" s="190" t="s">
        <v>15</v>
      </c>
      <c r="E22" s="190" t="s">
        <v>2824</v>
      </c>
      <c r="F22" s="257" t="s">
        <v>2832</v>
      </c>
      <c r="G22" s="881"/>
    </row>
    <row r="23" spans="1:7" ht="45" customHeight="1">
      <c r="A23" s="888"/>
      <c r="B23" s="279" t="s">
        <v>63</v>
      </c>
      <c r="C23" s="256" t="s">
        <v>2825</v>
      </c>
      <c r="D23" s="190" t="s">
        <v>16</v>
      </c>
      <c r="E23" s="190"/>
      <c r="F23" s="257"/>
      <c r="G23" s="882"/>
    </row>
    <row r="24" spans="1:7" ht="51" customHeight="1">
      <c r="A24" s="889" t="s">
        <v>1983</v>
      </c>
      <c r="B24" s="283" t="s">
        <v>64</v>
      </c>
      <c r="C24" s="202" t="s">
        <v>2837</v>
      </c>
      <c r="D24" s="202" t="s">
        <v>15</v>
      </c>
      <c r="E24" s="202" t="s">
        <v>2824</v>
      </c>
      <c r="F24" s="284"/>
      <c r="G24" s="691" t="s">
        <v>3142</v>
      </c>
    </row>
    <row r="25" spans="1:7" ht="27.6">
      <c r="A25" s="890"/>
      <c r="B25" s="283" t="s">
        <v>65</v>
      </c>
      <c r="C25" s="202" t="s">
        <v>2836</v>
      </c>
      <c r="D25" s="202" t="s">
        <v>2310</v>
      </c>
      <c r="E25" s="202" t="s">
        <v>2824</v>
      </c>
      <c r="F25" s="284"/>
      <c r="G25" s="538"/>
    </row>
    <row r="26" spans="1:7" ht="41.4">
      <c r="A26" s="890"/>
      <c r="B26" s="283" t="s">
        <v>1152</v>
      </c>
      <c r="C26" s="202" t="s">
        <v>2839</v>
      </c>
      <c r="D26" s="202" t="s">
        <v>15</v>
      </c>
      <c r="E26" s="202" t="s">
        <v>2824</v>
      </c>
      <c r="F26" s="284"/>
      <c r="G26" s="691" t="s">
        <v>3142</v>
      </c>
    </row>
    <row r="27" spans="1:7" ht="33" customHeight="1">
      <c r="A27" s="890"/>
      <c r="B27" s="283" t="s">
        <v>66</v>
      </c>
      <c r="C27" s="202" t="s">
        <v>2840</v>
      </c>
      <c r="D27" s="202" t="s">
        <v>15</v>
      </c>
      <c r="E27" s="202" t="s">
        <v>2824</v>
      </c>
      <c r="F27" s="284"/>
      <c r="G27" s="538"/>
    </row>
    <row r="28" spans="1:7" ht="33" customHeight="1">
      <c r="A28" s="890"/>
      <c r="B28" s="283" t="s">
        <v>67</v>
      </c>
      <c r="C28" s="202" t="s">
        <v>2842</v>
      </c>
      <c r="D28" s="202" t="s">
        <v>15</v>
      </c>
      <c r="E28" s="202" t="s">
        <v>2824</v>
      </c>
      <c r="F28" s="284"/>
      <c r="G28" s="691" t="s">
        <v>3142</v>
      </c>
    </row>
    <row r="29" spans="1:7" ht="33" customHeight="1">
      <c r="A29" s="890"/>
      <c r="B29" s="283" t="s">
        <v>68</v>
      </c>
      <c r="C29" s="202" t="s">
        <v>2841</v>
      </c>
      <c r="D29" s="202" t="s">
        <v>15</v>
      </c>
      <c r="E29" s="202" t="s">
        <v>2824</v>
      </c>
      <c r="F29" s="284"/>
      <c r="G29" s="692"/>
    </row>
    <row r="30" spans="1:7" ht="33" customHeight="1">
      <c r="A30" s="890"/>
      <c r="B30" s="283" t="s">
        <v>69</v>
      </c>
      <c r="C30" s="202" t="s">
        <v>2843</v>
      </c>
      <c r="D30" s="202" t="s">
        <v>15</v>
      </c>
      <c r="E30" s="202" t="s">
        <v>2824</v>
      </c>
      <c r="F30" s="284"/>
      <c r="G30" s="691" t="s">
        <v>3142</v>
      </c>
    </row>
    <row r="31" spans="1:7" ht="27.6">
      <c r="A31" s="891"/>
      <c r="B31" s="283" t="s">
        <v>1301</v>
      </c>
      <c r="C31" s="287" t="s">
        <v>2826</v>
      </c>
      <c r="D31" s="287" t="s">
        <v>16</v>
      </c>
      <c r="E31" s="287"/>
      <c r="F31" s="284"/>
      <c r="G31" s="693"/>
    </row>
    <row r="32" spans="1:7" ht="45" customHeight="1">
      <c r="A32" s="892" t="s">
        <v>1984</v>
      </c>
      <c r="B32" s="288" t="s">
        <v>1302</v>
      </c>
      <c r="C32" s="289" t="s">
        <v>2844</v>
      </c>
      <c r="D32" s="289" t="s">
        <v>15</v>
      </c>
      <c r="E32" s="259" t="s">
        <v>2824</v>
      </c>
      <c r="F32" s="291" t="s">
        <v>2891</v>
      </c>
      <c r="G32" s="877" t="s">
        <v>3143</v>
      </c>
    </row>
    <row r="33" spans="1:7" ht="45" customHeight="1">
      <c r="A33" s="893"/>
      <c r="B33" s="288" t="s">
        <v>1303</v>
      </c>
      <c r="C33" s="289" t="s">
        <v>2845</v>
      </c>
      <c r="D33" s="289" t="s">
        <v>15</v>
      </c>
      <c r="E33" s="259" t="s">
        <v>2824</v>
      </c>
      <c r="F33" s="291" t="s">
        <v>2892</v>
      </c>
      <c r="G33" s="878"/>
    </row>
    <row r="34" spans="1:7" ht="45" customHeight="1">
      <c r="A34" s="893"/>
      <c r="B34" s="288" t="s">
        <v>1304</v>
      </c>
      <c r="C34" s="289" t="s">
        <v>2846</v>
      </c>
      <c r="D34" s="289" t="s">
        <v>15</v>
      </c>
      <c r="E34" s="259" t="s">
        <v>2824</v>
      </c>
      <c r="F34" s="291" t="s">
        <v>2893</v>
      </c>
      <c r="G34" s="878"/>
    </row>
    <row r="35" spans="1:7" ht="45" customHeight="1">
      <c r="A35" s="893"/>
      <c r="B35" s="288" t="s">
        <v>1305</v>
      </c>
      <c r="C35" s="289" t="s">
        <v>2847</v>
      </c>
      <c r="D35" s="289" t="s">
        <v>15</v>
      </c>
      <c r="E35" s="259" t="s">
        <v>2824</v>
      </c>
      <c r="F35" s="291" t="s">
        <v>2894</v>
      </c>
      <c r="G35" s="878"/>
    </row>
    <row r="36" spans="1:7" ht="45" customHeight="1">
      <c r="A36" s="893"/>
      <c r="B36" s="288" t="s">
        <v>1306</v>
      </c>
      <c r="C36" s="289" t="s">
        <v>2848</v>
      </c>
      <c r="D36" s="289" t="s">
        <v>15</v>
      </c>
      <c r="E36" s="259" t="s">
        <v>2824</v>
      </c>
      <c r="F36" s="291" t="s">
        <v>2848</v>
      </c>
      <c r="G36" s="878"/>
    </row>
    <row r="37" spans="1:7" ht="45" customHeight="1">
      <c r="A37" s="893"/>
      <c r="B37" s="288" t="s">
        <v>1307</v>
      </c>
      <c r="C37" s="289" t="s">
        <v>2849</v>
      </c>
      <c r="D37" s="289" t="s">
        <v>15</v>
      </c>
      <c r="E37" s="259" t="s">
        <v>2824</v>
      </c>
      <c r="F37" s="291" t="s">
        <v>2849</v>
      </c>
      <c r="G37" s="878"/>
    </row>
    <row r="38" spans="1:7" ht="14.4">
      <c r="A38" s="893"/>
      <c r="B38" s="288" t="s">
        <v>1308</v>
      </c>
      <c r="C38" s="534" t="s">
        <v>2881</v>
      </c>
      <c r="D38" s="289" t="s">
        <v>15</v>
      </c>
      <c r="E38" s="259" t="s">
        <v>2824</v>
      </c>
      <c r="F38" s="291" t="s">
        <v>2850</v>
      </c>
      <c r="G38" s="688"/>
    </row>
    <row r="39" spans="1:7" ht="45" customHeight="1">
      <c r="A39" s="893"/>
      <c r="B39" s="288" t="s">
        <v>1309</v>
      </c>
      <c r="C39" s="289" t="s">
        <v>2851</v>
      </c>
      <c r="D39" s="289" t="s">
        <v>15</v>
      </c>
      <c r="E39" s="259" t="s">
        <v>2824</v>
      </c>
      <c r="F39" s="291" t="s">
        <v>2851</v>
      </c>
      <c r="G39" s="688"/>
    </row>
    <row r="40" spans="1:7" ht="45" customHeight="1">
      <c r="A40" s="893"/>
      <c r="B40" s="288" t="s">
        <v>1310</v>
      </c>
      <c r="C40" s="631" t="s">
        <v>2932</v>
      </c>
      <c r="D40" s="289" t="s">
        <v>15</v>
      </c>
      <c r="E40" s="259" t="s">
        <v>2824</v>
      </c>
      <c r="F40" s="293"/>
      <c r="G40" s="878" t="s">
        <v>3143</v>
      </c>
    </row>
    <row r="41" spans="1:7" ht="45" customHeight="1">
      <c r="A41" s="893"/>
      <c r="B41" s="288" t="s">
        <v>1969</v>
      </c>
      <c r="C41" s="631" t="s">
        <v>2933</v>
      </c>
      <c r="D41" s="289" t="s">
        <v>15</v>
      </c>
      <c r="E41" s="259" t="s">
        <v>2824</v>
      </c>
      <c r="F41" s="293"/>
      <c r="G41" s="878"/>
    </row>
    <row r="42" spans="1:7" ht="45" customHeight="1">
      <c r="A42" s="894"/>
      <c r="B42" s="288" t="s">
        <v>1970</v>
      </c>
      <c r="C42" s="292" t="s">
        <v>2827</v>
      </c>
      <c r="D42" s="292" t="s">
        <v>16</v>
      </c>
      <c r="E42" s="292"/>
      <c r="F42" s="293"/>
      <c r="G42" s="689"/>
    </row>
    <row r="43" spans="1:7" ht="45" customHeight="1">
      <c r="A43" s="872" t="s">
        <v>2938</v>
      </c>
      <c r="B43" s="536" t="s">
        <v>2210</v>
      </c>
      <c r="C43" s="535" t="s">
        <v>2855</v>
      </c>
      <c r="D43" s="535" t="s">
        <v>54</v>
      </c>
      <c r="E43" s="535"/>
      <c r="F43" s="535" t="s">
        <v>2852</v>
      </c>
      <c r="G43" s="539"/>
    </row>
    <row r="44" spans="1:7" ht="45" customHeight="1">
      <c r="A44" s="873"/>
      <c r="B44" s="536" t="s">
        <v>2318</v>
      </c>
      <c r="C44" s="535" t="s">
        <v>2854</v>
      </c>
      <c r="D44" s="535" t="s">
        <v>54</v>
      </c>
      <c r="E44" s="535"/>
      <c r="F44" s="535" t="s">
        <v>2853</v>
      </c>
      <c r="G44" s="539"/>
    </row>
    <row r="45" spans="1:7" ht="45" customHeight="1">
      <c r="A45" s="874" t="s">
        <v>3132</v>
      </c>
      <c r="B45" s="695" t="s">
        <v>2319</v>
      </c>
      <c r="C45" s="682" t="s">
        <v>3127</v>
      </c>
      <c r="D45" s="682" t="s">
        <v>15</v>
      </c>
      <c r="E45" s="682" t="s">
        <v>2824</v>
      </c>
      <c r="F45" s="682"/>
      <c r="G45" s="690" t="s">
        <v>3128</v>
      </c>
    </row>
    <row r="46" spans="1:7" ht="45" customHeight="1">
      <c r="A46" s="875"/>
      <c r="B46" s="695" t="s">
        <v>2320</v>
      </c>
      <c r="C46" s="682" t="s">
        <v>3129</v>
      </c>
      <c r="D46" s="682" t="s">
        <v>15</v>
      </c>
      <c r="E46" s="682" t="s">
        <v>2824</v>
      </c>
      <c r="F46" s="682"/>
      <c r="G46" s="690" t="s">
        <v>3128</v>
      </c>
    </row>
    <row r="47" spans="1:7" ht="45" customHeight="1">
      <c r="A47" s="876"/>
      <c r="B47" s="695" t="s">
        <v>2321</v>
      </c>
      <c r="C47" s="682" t="s">
        <v>3130</v>
      </c>
      <c r="D47" s="682" t="s">
        <v>15</v>
      </c>
      <c r="E47" s="682" t="s">
        <v>2824</v>
      </c>
      <c r="F47" s="682"/>
      <c r="G47" s="690" t="s">
        <v>3128</v>
      </c>
    </row>
  </sheetData>
  <autoFilter ref="B2:G42" xr:uid="{00000000-0009-0000-0000-000004000000}"/>
  <mergeCells count="10">
    <mergeCell ref="A43:A44"/>
    <mergeCell ref="A45:A47"/>
    <mergeCell ref="G32:G37"/>
    <mergeCell ref="G40:G41"/>
    <mergeCell ref="B1:F1"/>
    <mergeCell ref="G17:G23"/>
    <mergeCell ref="A3:A16"/>
    <mergeCell ref="A17:A23"/>
    <mergeCell ref="A24:A31"/>
    <mergeCell ref="A32:A42"/>
  </mergeCells>
  <phoneticPr fontId="133" type="noConversion"/>
  <pageMargins left="0.25" right="0.25" top="0" bottom="0" header="0.3" footer="0.3"/>
  <pageSetup scale="60" orientation="portrait" r:id="rId1"/>
  <rowBreaks count="1" manualBreakCount="1">
    <brk id="20"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4"/>
  <sheetViews>
    <sheetView topLeftCell="A14" zoomScale="110" zoomScaleNormal="110" zoomScaleSheetLayoutView="91" workbookViewId="0">
      <selection activeCell="C19" sqref="C19"/>
    </sheetView>
  </sheetViews>
  <sheetFormatPr defaultColWidth="8" defaultRowHeight="45" customHeight="1"/>
  <cols>
    <col min="1" max="1" width="6.09765625" style="272" customWidth="1"/>
    <col min="2" max="2" width="40.19921875" style="301" customWidth="1"/>
    <col min="3" max="3" width="11.59765625" style="294" customWidth="1"/>
    <col min="4" max="4" width="16.59765625" style="294" hidden="1" customWidth="1"/>
    <col min="5" max="5" width="13.19921875" style="294" bestFit="1" customWidth="1"/>
    <col min="6" max="6" width="65.19921875" style="300" customWidth="1"/>
    <col min="7" max="7" width="21.09765625" style="183" customWidth="1"/>
    <col min="8" max="8" width="20.69921875" style="183" customWidth="1"/>
    <col min="9" max="9" width="57.19921875" style="182" bestFit="1" customWidth="1"/>
    <col min="10" max="16384" width="8" style="295"/>
  </cols>
  <sheetData>
    <row r="1" spans="1:9" ht="45" customHeight="1">
      <c r="A1" s="895"/>
      <c r="B1" s="895"/>
      <c r="C1" s="895"/>
      <c r="D1" s="895"/>
      <c r="E1" s="895"/>
      <c r="F1" s="895"/>
      <c r="G1" s="181" t="s">
        <v>44</v>
      </c>
      <c r="H1" s="181" t="s">
        <v>44</v>
      </c>
    </row>
    <row r="2" spans="1:9" s="296" customFormat="1" ht="56.25" customHeight="1">
      <c r="A2" s="273" t="s">
        <v>45</v>
      </c>
      <c r="B2" s="248" t="s">
        <v>2289</v>
      </c>
      <c r="C2" s="274" t="s">
        <v>2290</v>
      </c>
      <c r="D2" s="274" t="s">
        <v>2291</v>
      </c>
      <c r="E2" s="274" t="s">
        <v>2292</v>
      </c>
      <c r="F2" s="274" t="s">
        <v>46</v>
      </c>
      <c r="G2" s="184" t="s">
        <v>47</v>
      </c>
      <c r="H2" s="185" t="s">
        <v>48</v>
      </c>
      <c r="I2" s="186" t="s">
        <v>2358</v>
      </c>
    </row>
    <row r="3" spans="1:9" ht="36" customHeight="1">
      <c r="A3" s="276" t="s">
        <v>0</v>
      </c>
      <c r="B3" s="247" t="s">
        <v>2360</v>
      </c>
      <c r="C3" s="277" t="s">
        <v>14</v>
      </c>
      <c r="D3" s="277"/>
      <c r="E3" s="277" t="s">
        <v>2294</v>
      </c>
      <c r="F3" s="245" t="s">
        <v>2360</v>
      </c>
      <c r="G3" s="187"/>
      <c r="H3" s="188"/>
      <c r="I3" s="189"/>
    </row>
    <row r="4" spans="1:9" ht="36" customHeight="1">
      <c r="A4" s="276" t="s">
        <v>1</v>
      </c>
      <c r="B4" s="247" t="s">
        <v>2361</v>
      </c>
      <c r="C4" s="277" t="s">
        <v>14</v>
      </c>
      <c r="D4" s="277"/>
      <c r="E4" s="277" t="s">
        <v>2294</v>
      </c>
      <c r="F4" s="245" t="s">
        <v>2445</v>
      </c>
      <c r="G4" s="187"/>
      <c r="H4" s="188"/>
      <c r="I4" s="189"/>
    </row>
    <row r="5" spans="1:9" ht="36" customHeight="1">
      <c r="A5" s="276" t="s">
        <v>2</v>
      </c>
      <c r="B5" s="247" t="s">
        <v>2362</v>
      </c>
      <c r="C5" s="277" t="s">
        <v>14</v>
      </c>
      <c r="D5" s="277"/>
      <c r="E5" s="277" t="s">
        <v>2294</v>
      </c>
      <c r="F5" s="245" t="s">
        <v>2362</v>
      </c>
      <c r="G5" s="187"/>
      <c r="H5" s="188"/>
      <c r="I5" s="189"/>
    </row>
    <row r="6" spans="1:9" ht="36" customHeight="1">
      <c r="A6" s="276" t="s">
        <v>3</v>
      </c>
      <c r="B6" s="247" t="s">
        <v>2363</v>
      </c>
      <c r="C6" s="277" t="s">
        <v>16</v>
      </c>
      <c r="D6" s="277"/>
      <c r="E6" s="277" t="s">
        <v>2294</v>
      </c>
      <c r="F6" s="245" t="s">
        <v>2444</v>
      </c>
      <c r="G6" s="187"/>
      <c r="H6" s="188"/>
      <c r="I6" s="189"/>
    </row>
    <row r="7" spans="1:9" ht="36" customHeight="1">
      <c r="A7" s="276" t="s">
        <v>4</v>
      </c>
      <c r="B7" s="247" t="s">
        <v>2364</v>
      </c>
      <c r="C7" s="277" t="s">
        <v>14</v>
      </c>
      <c r="D7" s="277"/>
      <c r="E7" s="277" t="s">
        <v>2294</v>
      </c>
      <c r="F7" s="245" t="s">
        <v>2364</v>
      </c>
      <c r="G7" s="187"/>
      <c r="H7" s="188"/>
      <c r="I7" s="189"/>
    </row>
    <row r="8" spans="1:9" ht="36" customHeight="1">
      <c r="A8" s="276" t="s">
        <v>1150</v>
      </c>
      <c r="B8" s="247" t="s">
        <v>2365</v>
      </c>
      <c r="C8" s="277" t="s">
        <v>14</v>
      </c>
      <c r="D8" s="277"/>
      <c r="E8" s="277" t="s">
        <v>2294</v>
      </c>
      <c r="F8" s="245" t="s">
        <v>2365</v>
      </c>
      <c r="G8" s="187"/>
      <c r="H8" s="188"/>
      <c r="I8" s="189"/>
    </row>
    <row r="9" spans="1:9" ht="45" customHeight="1">
      <c r="A9" s="276" t="s">
        <v>5</v>
      </c>
      <c r="B9" s="247" t="s">
        <v>2366</v>
      </c>
      <c r="C9" s="277" t="s">
        <v>2436</v>
      </c>
      <c r="D9" s="277"/>
      <c r="E9" s="277" t="s">
        <v>2294</v>
      </c>
      <c r="F9" s="245" t="s">
        <v>2366</v>
      </c>
      <c r="G9" s="187"/>
      <c r="H9" s="188"/>
      <c r="I9" s="189"/>
    </row>
    <row r="10" spans="1:9" ht="45" customHeight="1">
      <c r="A10" s="276" t="s">
        <v>6</v>
      </c>
      <c r="B10" s="247" t="s">
        <v>2367</v>
      </c>
      <c r="C10" s="277" t="s">
        <v>14</v>
      </c>
      <c r="D10" s="277"/>
      <c r="E10" s="277" t="s">
        <v>2294</v>
      </c>
      <c r="F10" s="245" t="s">
        <v>2367</v>
      </c>
      <c r="G10" s="187"/>
      <c r="H10" s="188"/>
      <c r="I10" s="189"/>
    </row>
    <row r="11" spans="1:9" ht="37.5" customHeight="1">
      <c r="A11" s="276" t="s">
        <v>49</v>
      </c>
      <c r="B11" s="247" t="s">
        <v>2409</v>
      </c>
      <c r="C11" s="277" t="s">
        <v>15</v>
      </c>
      <c r="D11" s="277"/>
      <c r="E11" s="277" t="s">
        <v>2294</v>
      </c>
      <c r="F11" s="245" t="s">
        <v>2446</v>
      </c>
      <c r="G11" s="187"/>
      <c r="H11" s="188"/>
      <c r="I11" s="189"/>
    </row>
    <row r="12" spans="1:9" ht="37.5" customHeight="1">
      <c r="A12" s="276" t="s">
        <v>50</v>
      </c>
      <c r="B12" s="247" t="s">
        <v>2408</v>
      </c>
      <c r="C12" s="277" t="s">
        <v>15</v>
      </c>
      <c r="D12" s="277"/>
      <c r="E12" s="277" t="s">
        <v>2294</v>
      </c>
      <c r="F12" s="245" t="s">
        <v>2447</v>
      </c>
      <c r="G12" s="187"/>
      <c r="H12" s="188"/>
      <c r="I12" s="189"/>
    </row>
    <row r="13" spans="1:9" ht="37.5" customHeight="1">
      <c r="A13" s="276" t="s">
        <v>53</v>
      </c>
      <c r="B13" s="247" t="s">
        <v>2368</v>
      </c>
      <c r="C13" s="277" t="s">
        <v>17</v>
      </c>
      <c r="D13" s="277"/>
      <c r="E13" s="277" t="s">
        <v>2294</v>
      </c>
      <c r="F13" s="245" t="s">
        <v>2368</v>
      </c>
      <c r="G13" s="187"/>
      <c r="H13" s="188"/>
      <c r="I13" s="189"/>
    </row>
    <row r="14" spans="1:9" ht="37.5" customHeight="1">
      <c r="A14" s="276" t="s">
        <v>55</v>
      </c>
      <c r="B14" s="247" t="s">
        <v>2369</v>
      </c>
      <c r="C14" s="277" t="s">
        <v>17</v>
      </c>
      <c r="D14" s="277"/>
      <c r="E14" s="277" t="s">
        <v>2294</v>
      </c>
      <c r="F14" s="245" t="s">
        <v>2369</v>
      </c>
      <c r="G14" s="187"/>
      <c r="H14" s="188"/>
      <c r="I14" s="189"/>
    </row>
    <row r="15" spans="1:9" ht="45" customHeight="1">
      <c r="A15" s="276" t="s">
        <v>57</v>
      </c>
      <c r="B15" s="247" t="s">
        <v>2466</v>
      </c>
      <c r="C15" s="277" t="s">
        <v>15</v>
      </c>
      <c r="D15" s="277"/>
      <c r="E15" s="277" t="s">
        <v>2434</v>
      </c>
      <c r="F15" s="245" t="s">
        <v>2466</v>
      </c>
      <c r="G15" s="187"/>
      <c r="H15" s="188"/>
      <c r="I15" s="189"/>
    </row>
    <row r="16" spans="1:9" ht="45" customHeight="1">
      <c r="A16" s="276" t="s">
        <v>110</v>
      </c>
      <c r="B16" s="247" t="s">
        <v>1971</v>
      </c>
      <c r="C16" s="277" t="s">
        <v>15</v>
      </c>
      <c r="D16" s="277"/>
      <c r="E16" s="277" t="s">
        <v>294</v>
      </c>
      <c r="F16" s="245" t="s">
        <v>2370</v>
      </c>
      <c r="G16" s="187"/>
      <c r="H16" s="188"/>
      <c r="I16" s="189"/>
    </row>
    <row r="17" spans="1:9" ht="45" customHeight="1">
      <c r="A17" s="276" t="s">
        <v>111</v>
      </c>
      <c r="B17" s="247" t="s">
        <v>2371</v>
      </c>
      <c r="C17" s="277" t="s">
        <v>15</v>
      </c>
      <c r="D17" s="277"/>
      <c r="E17" s="277" t="s">
        <v>294</v>
      </c>
      <c r="F17" s="245" t="s">
        <v>2372</v>
      </c>
      <c r="G17" s="187"/>
      <c r="H17" s="188"/>
      <c r="I17" s="189"/>
    </row>
    <row r="18" spans="1:9" ht="38.4">
      <c r="A18" s="276" t="s">
        <v>59</v>
      </c>
      <c r="B18" s="247" t="s">
        <v>2373</v>
      </c>
      <c r="C18" s="277" t="s">
        <v>15</v>
      </c>
      <c r="D18" s="277" t="s">
        <v>2458</v>
      </c>
      <c r="E18" s="277" t="s">
        <v>2294</v>
      </c>
      <c r="F18" s="245" t="s">
        <v>2374</v>
      </c>
      <c r="G18" s="187"/>
      <c r="H18" s="188"/>
      <c r="I18" s="189"/>
    </row>
    <row r="19" spans="1:9" ht="45" customHeight="1">
      <c r="A19" s="276" t="s">
        <v>58</v>
      </c>
      <c r="B19" s="247" t="s">
        <v>2375</v>
      </c>
      <c r="C19" s="277" t="s">
        <v>2310</v>
      </c>
      <c r="D19" s="277"/>
      <c r="E19" s="277" t="s">
        <v>2294</v>
      </c>
      <c r="F19" s="245" t="s">
        <v>2448</v>
      </c>
      <c r="G19" s="187"/>
      <c r="H19" s="188"/>
      <c r="I19" s="189"/>
    </row>
    <row r="20" spans="1:9" ht="36" customHeight="1">
      <c r="A20" s="276" t="s">
        <v>60</v>
      </c>
      <c r="B20" s="247" t="s">
        <v>2376</v>
      </c>
      <c r="C20" s="277" t="s">
        <v>15</v>
      </c>
      <c r="D20" s="277"/>
      <c r="E20" s="277" t="s">
        <v>2294</v>
      </c>
      <c r="F20" s="245" t="s">
        <v>2450</v>
      </c>
      <c r="G20" s="187"/>
      <c r="H20" s="188"/>
      <c r="I20" s="189"/>
    </row>
    <row r="21" spans="1:9" ht="35.25" customHeight="1">
      <c r="A21" s="276" t="s">
        <v>1151</v>
      </c>
      <c r="B21" s="247" t="s">
        <v>2377</v>
      </c>
      <c r="C21" s="277" t="s">
        <v>15</v>
      </c>
      <c r="D21" s="277"/>
      <c r="E21" s="277" t="s">
        <v>2294</v>
      </c>
      <c r="F21" s="245" t="s">
        <v>2449</v>
      </c>
      <c r="G21" s="187"/>
      <c r="H21" s="188"/>
      <c r="I21" s="189"/>
    </row>
    <row r="22" spans="1:9" ht="52.5" customHeight="1">
      <c r="A22" s="279" t="s">
        <v>62</v>
      </c>
      <c r="B22" s="237" t="s">
        <v>2437</v>
      </c>
      <c r="C22" s="190" t="s">
        <v>15</v>
      </c>
      <c r="D22" s="190"/>
      <c r="E22" s="190" t="s">
        <v>2294</v>
      </c>
      <c r="F22" s="235" t="s">
        <v>2451</v>
      </c>
      <c r="G22" s="191" t="s">
        <v>56</v>
      </c>
      <c r="H22" s="192" t="s">
        <v>56</v>
      </c>
      <c r="I22" s="193" t="s">
        <v>2312</v>
      </c>
    </row>
    <row r="23" spans="1:9" ht="45" customHeight="1">
      <c r="A23" s="279" t="s">
        <v>63</v>
      </c>
      <c r="B23" s="237" t="s">
        <v>2414</v>
      </c>
      <c r="C23" s="190" t="s">
        <v>15</v>
      </c>
      <c r="D23" s="190"/>
      <c r="E23" s="190" t="s">
        <v>2294</v>
      </c>
      <c r="F23" s="235" t="s">
        <v>2414</v>
      </c>
      <c r="G23" s="187"/>
      <c r="H23" s="188"/>
      <c r="I23" s="189"/>
    </row>
    <row r="24" spans="1:9" ht="45" customHeight="1">
      <c r="A24" s="279" t="s">
        <v>64</v>
      </c>
      <c r="B24" s="237" t="s">
        <v>2415</v>
      </c>
      <c r="C24" s="190" t="s">
        <v>15</v>
      </c>
      <c r="D24" s="190"/>
      <c r="E24" s="190" t="s">
        <v>2294</v>
      </c>
      <c r="F24" s="238" t="s">
        <v>2416</v>
      </c>
      <c r="G24" s="187"/>
      <c r="H24" s="188"/>
      <c r="I24" s="189"/>
    </row>
    <row r="25" spans="1:9" ht="57.6">
      <c r="A25" s="279" t="s">
        <v>65</v>
      </c>
      <c r="B25" s="239" t="s">
        <v>2467</v>
      </c>
      <c r="C25" s="194" t="s">
        <v>15</v>
      </c>
      <c r="D25" s="190"/>
      <c r="E25" s="194" t="s">
        <v>2294</v>
      </c>
      <c r="F25" s="236" t="s">
        <v>2438</v>
      </c>
      <c r="G25" s="191" t="s">
        <v>56</v>
      </c>
      <c r="H25" s="192" t="s">
        <v>56</v>
      </c>
      <c r="I25" s="193" t="s">
        <v>2312</v>
      </c>
    </row>
    <row r="26" spans="1:9" ht="54" customHeight="1">
      <c r="A26" s="279" t="s">
        <v>67</v>
      </c>
      <c r="B26" s="237" t="s">
        <v>2439</v>
      </c>
      <c r="C26" s="194" t="s">
        <v>15</v>
      </c>
      <c r="D26" s="190"/>
      <c r="E26" s="194" t="s">
        <v>2294</v>
      </c>
      <c r="F26" s="238" t="s">
        <v>2402</v>
      </c>
      <c r="G26" s="187"/>
      <c r="H26" s="188"/>
      <c r="I26" s="189"/>
    </row>
    <row r="27" spans="1:9" ht="96">
      <c r="A27" s="279" t="s">
        <v>1152</v>
      </c>
      <c r="B27" s="239" t="s">
        <v>2468</v>
      </c>
      <c r="C27" s="194" t="s">
        <v>15</v>
      </c>
      <c r="D27" s="190"/>
      <c r="E27" s="194" t="s">
        <v>2294</v>
      </c>
      <c r="F27" s="239" t="s">
        <v>2468</v>
      </c>
      <c r="G27" s="187"/>
      <c r="H27" s="188"/>
      <c r="I27" s="189"/>
    </row>
    <row r="28" spans="1:9" ht="96">
      <c r="A28" s="279" t="s">
        <v>66</v>
      </c>
      <c r="B28" s="237" t="s">
        <v>2469</v>
      </c>
      <c r="C28" s="194" t="s">
        <v>15</v>
      </c>
      <c r="D28" s="190"/>
      <c r="E28" s="194" t="s">
        <v>2294</v>
      </c>
      <c r="F28" s="237" t="s">
        <v>2469</v>
      </c>
      <c r="G28" s="187"/>
      <c r="H28" s="188"/>
      <c r="I28" s="189"/>
    </row>
    <row r="29" spans="1:9" ht="55.5" customHeight="1">
      <c r="A29" s="279" t="s">
        <v>68</v>
      </c>
      <c r="B29" s="239" t="s">
        <v>2452</v>
      </c>
      <c r="C29" s="194" t="s">
        <v>2460</v>
      </c>
      <c r="D29" s="194" t="s">
        <v>2433</v>
      </c>
      <c r="E29" s="194" t="s">
        <v>2294</v>
      </c>
      <c r="F29" s="236" t="s">
        <v>2403</v>
      </c>
      <c r="G29" s="191" t="s">
        <v>56</v>
      </c>
      <c r="H29" s="191" t="s">
        <v>56</v>
      </c>
      <c r="I29" s="193" t="s">
        <v>2312</v>
      </c>
    </row>
    <row r="30" spans="1:9" ht="51.75" customHeight="1">
      <c r="A30" s="279" t="s">
        <v>69</v>
      </c>
      <c r="B30" s="239" t="s">
        <v>2457</v>
      </c>
      <c r="C30" s="194" t="s">
        <v>2460</v>
      </c>
      <c r="D30" s="194"/>
      <c r="E30" s="194" t="s">
        <v>2294</v>
      </c>
      <c r="F30" s="236" t="s">
        <v>2417</v>
      </c>
      <c r="G30" s="260"/>
      <c r="H30" s="188"/>
      <c r="I30" s="189"/>
    </row>
    <row r="31" spans="1:9" ht="69" customHeight="1">
      <c r="A31" s="279" t="s">
        <v>1301</v>
      </c>
      <c r="B31" s="239" t="s">
        <v>2470</v>
      </c>
      <c r="C31" s="194" t="s">
        <v>2460</v>
      </c>
      <c r="D31" s="194"/>
      <c r="E31" s="194" t="s">
        <v>2294</v>
      </c>
      <c r="F31" s="236" t="s">
        <v>2418</v>
      </c>
      <c r="G31" s="261"/>
      <c r="H31" s="251"/>
      <c r="I31" s="252"/>
    </row>
    <row r="32" spans="1:9" s="298" customFormat="1" ht="61.95" customHeight="1">
      <c r="A32" s="297" t="s">
        <v>1302</v>
      </c>
      <c r="B32" s="239" t="s">
        <v>2378</v>
      </c>
      <c r="C32" s="194" t="s">
        <v>2410</v>
      </c>
      <c r="D32" s="190" t="s">
        <v>2461</v>
      </c>
      <c r="E32" s="194" t="s">
        <v>2434</v>
      </c>
      <c r="F32" s="238" t="s">
        <v>2379</v>
      </c>
      <c r="G32" s="253" t="s">
        <v>56</v>
      </c>
      <c r="H32" s="254" t="s">
        <v>56</v>
      </c>
      <c r="I32" s="255" t="s">
        <v>2312</v>
      </c>
    </row>
    <row r="33" spans="1:9" s="298" customFormat="1" ht="60.75" customHeight="1">
      <c r="A33" s="297" t="s">
        <v>1303</v>
      </c>
      <c r="B33" s="239" t="s">
        <v>2431</v>
      </c>
      <c r="C33" s="262" t="s">
        <v>15</v>
      </c>
      <c r="D33" s="190" t="s">
        <v>2311</v>
      </c>
      <c r="E33" s="262" t="s">
        <v>294</v>
      </c>
      <c r="F33" s="258" t="s">
        <v>2380</v>
      </c>
      <c r="G33" s="253" t="s">
        <v>2313</v>
      </c>
      <c r="H33" s="254" t="s">
        <v>2313</v>
      </c>
      <c r="I33" s="255" t="s">
        <v>2312</v>
      </c>
    </row>
    <row r="34" spans="1:9" s="298" customFormat="1" ht="61.5" customHeight="1">
      <c r="A34" s="297" t="s">
        <v>1304</v>
      </c>
      <c r="B34" s="239" t="s">
        <v>2471</v>
      </c>
      <c r="C34" s="262" t="s">
        <v>2410</v>
      </c>
      <c r="D34" s="190" t="s">
        <v>2311</v>
      </c>
      <c r="E34" s="262" t="s">
        <v>2294</v>
      </c>
      <c r="F34" s="258" t="s">
        <v>2472</v>
      </c>
      <c r="G34" s="253" t="s">
        <v>2313</v>
      </c>
      <c r="H34" s="254" t="s">
        <v>2314</v>
      </c>
      <c r="I34" s="255" t="s">
        <v>2312</v>
      </c>
    </row>
    <row r="35" spans="1:9" s="298" customFormat="1" ht="61.5" customHeight="1">
      <c r="A35" s="297" t="s">
        <v>1305</v>
      </c>
      <c r="B35" s="239" t="s">
        <v>2473</v>
      </c>
      <c r="C35" s="280" t="s">
        <v>15</v>
      </c>
      <c r="D35" s="281"/>
      <c r="E35" s="282" t="s">
        <v>294</v>
      </c>
      <c r="F35" s="239" t="s">
        <v>2473</v>
      </c>
      <c r="G35" s="195"/>
      <c r="H35" s="196"/>
      <c r="I35" s="207"/>
    </row>
    <row r="36" spans="1:9" s="298" customFormat="1" ht="55.2" customHeight="1">
      <c r="A36" s="297" t="s">
        <v>1306</v>
      </c>
      <c r="B36" s="239" t="s">
        <v>2474</v>
      </c>
      <c r="C36" s="282" t="s">
        <v>15</v>
      </c>
      <c r="D36" s="282"/>
      <c r="E36" s="282" t="s">
        <v>294</v>
      </c>
      <c r="F36" s="258" t="s">
        <v>2475</v>
      </c>
      <c r="G36" s="195"/>
      <c r="H36" s="196"/>
      <c r="I36" s="207"/>
    </row>
    <row r="37" spans="1:9" s="298" customFormat="1" ht="45" customHeight="1">
      <c r="A37" s="297" t="s">
        <v>1307</v>
      </c>
      <c r="B37" s="239" t="s">
        <v>2420</v>
      </c>
      <c r="C37" s="197" t="s">
        <v>15</v>
      </c>
      <c r="D37" s="197"/>
      <c r="E37" s="197" t="s">
        <v>2294</v>
      </c>
      <c r="F37" s="258" t="s">
        <v>2421</v>
      </c>
      <c r="G37" s="187"/>
      <c r="H37" s="188"/>
      <c r="I37" s="189"/>
    </row>
    <row r="38" spans="1:9" s="298" customFormat="1" ht="57.6">
      <c r="A38" s="297" t="s">
        <v>1308</v>
      </c>
      <c r="B38" s="239" t="s">
        <v>2419</v>
      </c>
      <c r="C38" s="197" t="s">
        <v>15</v>
      </c>
      <c r="D38" s="197"/>
      <c r="E38" s="197" t="s">
        <v>2294</v>
      </c>
      <c r="F38" s="258" t="s">
        <v>2419</v>
      </c>
      <c r="G38" s="187"/>
      <c r="H38" s="188"/>
      <c r="I38" s="189"/>
    </row>
    <row r="39" spans="1:9" s="298" customFormat="1" ht="45" customHeight="1">
      <c r="A39" s="297" t="s">
        <v>1309</v>
      </c>
      <c r="B39" s="239" t="s">
        <v>2424</v>
      </c>
      <c r="C39" s="198" t="s">
        <v>15</v>
      </c>
      <c r="D39" s="198"/>
      <c r="E39" s="197" t="s">
        <v>2294</v>
      </c>
      <c r="F39" s="258" t="s">
        <v>2422</v>
      </c>
      <c r="G39" s="187"/>
      <c r="H39" s="188"/>
      <c r="I39" s="189"/>
    </row>
    <row r="40" spans="1:9" s="298" customFormat="1" ht="62.7" customHeight="1">
      <c r="A40" s="297" t="s">
        <v>1310</v>
      </c>
      <c r="B40" s="239" t="s">
        <v>2425</v>
      </c>
      <c r="C40" s="198" t="s">
        <v>15</v>
      </c>
      <c r="D40" s="198"/>
      <c r="E40" s="197" t="s">
        <v>2294</v>
      </c>
      <c r="F40" s="258" t="s">
        <v>2423</v>
      </c>
      <c r="G40" s="187"/>
      <c r="H40" s="188"/>
      <c r="I40" s="189"/>
    </row>
    <row r="41" spans="1:9" ht="45" customHeight="1">
      <c r="A41" s="297" t="s">
        <v>1969</v>
      </c>
      <c r="B41" s="239" t="s">
        <v>2476</v>
      </c>
      <c r="C41" s="194" t="s">
        <v>15</v>
      </c>
      <c r="D41" s="194"/>
      <c r="E41" s="197" t="s">
        <v>2434</v>
      </c>
      <c r="F41" s="258" t="s">
        <v>2477</v>
      </c>
      <c r="G41" s="187"/>
      <c r="H41" s="188"/>
      <c r="I41" s="189"/>
    </row>
    <row r="42" spans="1:9" ht="45" customHeight="1">
      <c r="A42" s="297" t="s">
        <v>1970</v>
      </c>
      <c r="B42" s="239" t="s">
        <v>2478</v>
      </c>
      <c r="C42" s="256" t="s">
        <v>15</v>
      </c>
      <c r="D42" s="194"/>
      <c r="E42" s="197" t="s">
        <v>2434</v>
      </c>
      <c r="F42" s="258" t="s">
        <v>2479</v>
      </c>
      <c r="G42" s="187"/>
      <c r="H42" s="188"/>
      <c r="I42" s="189"/>
    </row>
    <row r="43" spans="1:9" ht="47.25" customHeight="1">
      <c r="A43" s="297" t="s">
        <v>2210</v>
      </c>
      <c r="B43" s="239" t="s">
        <v>2381</v>
      </c>
      <c r="C43" s="256" t="s">
        <v>16</v>
      </c>
      <c r="D43" s="256"/>
      <c r="E43" s="256" t="s">
        <v>2294</v>
      </c>
      <c r="F43" s="258" t="s">
        <v>2381</v>
      </c>
      <c r="G43" s="187"/>
      <c r="H43" s="188"/>
      <c r="I43" s="189"/>
    </row>
    <row r="44" spans="1:9" ht="87.6" customHeight="1">
      <c r="A44" s="283" t="s">
        <v>2318</v>
      </c>
      <c r="B44" s="240" t="s">
        <v>2453</v>
      </c>
      <c r="C44" s="202" t="s">
        <v>15</v>
      </c>
      <c r="D44" s="202"/>
      <c r="E44" s="202" t="s">
        <v>2294</v>
      </c>
      <c r="F44" s="241" t="s">
        <v>2432</v>
      </c>
      <c r="G44" s="199" t="s">
        <v>2315</v>
      </c>
      <c r="H44" s="200" t="s">
        <v>2316</v>
      </c>
      <c r="I44" s="201" t="s">
        <v>2317</v>
      </c>
    </row>
    <row r="45" spans="1:9" ht="55.2">
      <c r="A45" s="283" t="s">
        <v>2319</v>
      </c>
      <c r="B45" s="240" t="s">
        <v>2480</v>
      </c>
      <c r="C45" s="202" t="s">
        <v>15</v>
      </c>
      <c r="D45" s="202"/>
      <c r="E45" s="202" t="s">
        <v>2294</v>
      </c>
      <c r="F45" s="241" t="s">
        <v>2454</v>
      </c>
      <c r="G45" s="199" t="s">
        <v>2315</v>
      </c>
      <c r="H45" s="200" t="s">
        <v>2316</v>
      </c>
      <c r="I45" s="201" t="s">
        <v>2317</v>
      </c>
    </row>
    <row r="46" spans="1:9" ht="45" customHeight="1">
      <c r="A46" s="283" t="s">
        <v>2320</v>
      </c>
      <c r="B46" s="240" t="s">
        <v>2481</v>
      </c>
      <c r="C46" s="202" t="s">
        <v>16</v>
      </c>
      <c r="D46" s="202"/>
      <c r="E46" s="202" t="s">
        <v>2294</v>
      </c>
      <c r="F46" s="241" t="s">
        <v>2482</v>
      </c>
      <c r="G46" s="187"/>
      <c r="H46" s="188"/>
      <c r="I46" s="189"/>
    </row>
    <row r="47" spans="1:9" ht="72.75" customHeight="1">
      <c r="A47" s="283" t="s">
        <v>2321</v>
      </c>
      <c r="B47" s="240" t="s">
        <v>2483</v>
      </c>
      <c r="C47" s="202" t="s">
        <v>15</v>
      </c>
      <c r="D47" s="202"/>
      <c r="E47" s="202" t="s">
        <v>2294</v>
      </c>
      <c r="F47" s="241" t="s">
        <v>2484</v>
      </c>
      <c r="G47" s="187"/>
      <c r="H47" s="188"/>
      <c r="I47" s="189"/>
    </row>
    <row r="48" spans="1:9" ht="94.5" customHeight="1">
      <c r="A48" s="283" t="s">
        <v>2323</v>
      </c>
      <c r="B48" s="240" t="s">
        <v>2485</v>
      </c>
      <c r="C48" s="202" t="s">
        <v>15</v>
      </c>
      <c r="D48" s="202"/>
      <c r="E48" s="202" t="s">
        <v>2294</v>
      </c>
      <c r="F48" s="241" t="s">
        <v>2486</v>
      </c>
      <c r="G48" s="187"/>
      <c r="H48" s="188"/>
      <c r="I48" s="189"/>
    </row>
    <row r="49" spans="1:9" ht="54" customHeight="1">
      <c r="A49" s="283" t="s">
        <v>2324</v>
      </c>
      <c r="B49" s="240" t="s">
        <v>2426</v>
      </c>
      <c r="C49" s="202" t="s">
        <v>15</v>
      </c>
      <c r="D49" s="202"/>
      <c r="E49" s="202" t="s">
        <v>2294</v>
      </c>
      <c r="F49" s="241" t="s">
        <v>2427</v>
      </c>
      <c r="G49" s="199" t="s">
        <v>2322</v>
      </c>
      <c r="H49" s="200" t="s">
        <v>61</v>
      </c>
      <c r="I49" s="201" t="s">
        <v>2317</v>
      </c>
    </row>
    <row r="50" spans="1:9" ht="55.2">
      <c r="A50" s="283" t="s">
        <v>2325</v>
      </c>
      <c r="B50" s="240" t="s">
        <v>2429</v>
      </c>
      <c r="C50" s="285" t="s">
        <v>2460</v>
      </c>
      <c r="D50" s="285"/>
      <c r="E50" s="285" t="s">
        <v>294</v>
      </c>
      <c r="F50" s="241" t="s">
        <v>2428</v>
      </c>
      <c r="G50" s="199" t="s">
        <v>2315</v>
      </c>
      <c r="H50" s="200" t="s">
        <v>61</v>
      </c>
      <c r="I50" s="201" t="s">
        <v>2317</v>
      </c>
    </row>
    <row r="51" spans="1:9" ht="38.4">
      <c r="A51" s="283" t="s">
        <v>2326</v>
      </c>
      <c r="B51" s="240" t="s">
        <v>2430</v>
      </c>
      <c r="C51" s="202" t="s">
        <v>15</v>
      </c>
      <c r="D51" s="202"/>
      <c r="E51" s="202" t="s">
        <v>294</v>
      </c>
      <c r="F51" s="241" t="s">
        <v>2382</v>
      </c>
      <c r="G51" s="187"/>
      <c r="H51" s="188"/>
      <c r="I51" s="189"/>
    </row>
    <row r="52" spans="1:9" ht="61.95" customHeight="1">
      <c r="A52" s="283" t="s">
        <v>2327</v>
      </c>
      <c r="B52" s="242" t="s">
        <v>2383</v>
      </c>
      <c r="C52" s="202" t="s">
        <v>2413</v>
      </c>
      <c r="D52" s="286"/>
      <c r="E52" s="286" t="s">
        <v>2294</v>
      </c>
      <c r="F52" s="241" t="s">
        <v>2384</v>
      </c>
      <c r="G52" s="187"/>
      <c r="H52" s="188"/>
      <c r="I52" s="189"/>
    </row>
    <row r="53" spans="1:9" ht="63" customHeight="1">
      <c r="A53" s="283" t="s">
        <v>2328</v>
      </c>
      <c r="B53" s="242" t="s">
        <v>2404</v>
      </c>
      <c r="C53" s="202" t="s">
        <v>2412</v>
      </c>
      <c r="D53" s="287"/>
      <c r="E53" s="287" t="s">
        <v>2294</v>
      </c>
      <c r="F53" s="241" t="s">
        <v>2385</v>
      </c>
      <c r="G53" s="187"/>
      <c r="H53" s="188"/>
      <c r="I53" s="189"/>
    </row>
    <row r="54" spans="1:9" ht="34.5" customHeight="1">
      <c r="A54" s="283" t="s">
        <v>2329</v>
      </c>
      <c r="B54" s="242" t="s">
        <v>2386</v>
      </c>
      <c r="C54" s="287" t="s">
        <v>15</v>
      </c>
      <c r="D54" s="287"/>
      <c r="E54" s="287" t="s">
        <v>2294</v>
      </c>
      <c r="F54" s="241" t="s">
        <v>2387</v>
      </c>
      <c r="G54" s="187"/>
      <c r="H54" s="188"/>
      <c r="I54" s="189"/>
    </row>
    <row r="55" spans="1:9" ht="45" customHeight="1">
      <c r="A55" s="283" t="s">
        <v>2330</v>
      </c>
      <c r="B55" s="242" t="s">
        <v>2388</v>
      </c>
      <c r="C55" s="287" t="s">
        <v>15</v>
      </c>
      <c r="D55" s="287"/>
      <c r="E55" s="287" t="s">
        <v>2294</v>
      </c>
      <c r="F55" s="241" t="s">
        <v>2389</v>
      </c>
      <c r="G55" s="187"/>
      <c r="H55" s="188"/>
      <c r="I55" s="189"/>
    </row>
    <row r="56" spans="1:9" ht="55.2">
      <c r="A56" s="283" t="s">
        <v>2331</v>
      </c>
      <c r="B56" s="242" t="s">
        <v>2487</v>
      </c>
      <c r="C56" s="287" t="s">
        <v>15</v>
      </c>
      <c r="D56" s="287"/>
      <c r="E56" s="287" t="s">
        <v>2434</v>
      </c>
      <c r="F56" s="241" t="s">
        <v>2488</v>
      </c>
      <c r="G56" s="199" t="s">
        <v>2315</v>
      </c>
      <c r="H56" s="200" t="s">
        <v>61</v>
      </c>
      <c r="I56" s="201" t="s">
        <v>2317</v>
      </c>
    </row>
    <row r="57" spans="1:9" ht="41.25" customHeight="1">
      <c r="A57" s="283" t="s">
        <v>2332</v>
      </c>
      <c r="B57" s="242" t="s">
        <v>2390</v>
      </c>
      <c r="C57" s="287" t="s">
        <v>16</v>
      </c>
      <c r="D57" s="287"/>
      <c r="E57" s="287" t="s">
        <v>2294</v>
      </c>
      <c r="F57" s="241" t="s">
        <v>2391</v>
      </c>
      <c r="G57" s="187"/>
      <c r="H57" s="188"/>
      <c r="I57" s="189"/>
    </row>
    <row r="58" spans="1:9" ht="38.4">
      <c r="A58" s="288" t="s">
        <v>2333</v>
      </c>
      <c r="B58" s="243" t="s">
        <v>2392</v>
      </c>
      <c r="C58" s="289" t="s">
        <v>15</v>
      </c>
      <c r="D58" s="289"/>
      <c r="E58" s="289" t="s">
        <v>2462</v>
      </c>
      <c r="F58" s="246" t="s">
        <v>2393</v>
      </c>
      <c r="G58" s="187"/>
      <c r="H58" s="188"/>
      <c r="I58" s="189"/>
    </row>
    <row r="59" spans="1:9" ht="38.4">
      <c r="A59" s="288" t="s">
        <v>2334</v>
      </c>
      <c r="B59" s="243" t="s">
        <v>2455</v>
      </c>
      <c r="C59" s="289" t="s">
        <v>15</v>
      </c>
      <c r="D59" s="289"/>
      <c r="E59" s="289" t="s">
        <v>2462</v>
      </c>
      <c r="F59" s="246" t="s">
        <v>2455</v>
      </c>
      <c r="G59" s="187"/>
      <c r="H59" s="188"/>
      <c r="I59" s="189"/>
    </row>
    <row r="60" spans="1:9" ht="38.4">
      <c r="A60" s="288" t="s">
        <v>2338</v>
      </c>
      <c r="B60" s="243" t="s">
        <v>2394</v>
      </c>
      <c r="C60" s="290" t="s">
        <v>15</v>
      </c>
      <c r="D60" s="290"/>
      <c r="E60" s="290" t="s">
        <v>294</v>
      </c>
      <c r="F60" s="246" t="s">
        <v>2394</v>
      </c>
      <c r="G60" s="187"/>
      <c r="H60" s="188"/>
      <c r="I60" s="189"/>
    </row>
    <row r="61" spans="1:9" ht="56.7" customHeight="1">
      <c r="A61" s="288" t="s">
        <v>2339</v>
      </c>
      <c r="B61" s="243" t="s">
        <v>2395</v>
      </c>
      <c r="C61" s="290" t="s">
        <v>15</v>
      </c>
      <c r="D61" s="290"/>
      <c r="E61" s="289" t="s">
        <v>2462</v>
      </c>
      <c r="F61" s="246" t="s">
        <v>2396</v>
      </c>
      <c r="G61" s="187"/>
      <c r="H61" s="188"/>
      <c r="I61" s="189"/>
    </row>
    <row r="62" spans="1:9" ht="56.7" customHeight="1">
      <c r="A62" s="288" t="s">
        <v>2341</v>
      </c>
      <c r="B62" s="243" t="s">
        <v>2456</v>
      </c>
      <c r="C62" s="290" t="s">
        <v>15</v>
      </c>
      <c r="D62" s="290"/>
      <c r="E62" s="289" t="s">
        <v>2462</v>
      </c>
      <c r="F62" s="246" t="s">
        <v>2456</v>
      </c>
      <c r="G62" s="187"/>
      <c r="H62" s="188"/>
      <c r="I62" s="189"/>
    </row>
    <row r="63" spans="1:9" ht="56.7" customHeight="1">
      <c r="A63" s="288" t="s">
        <v>2343</v>
      </c>
      <c r="B63" s="244" t="s">
        <v>2405</v>
      </c>
      <c r="C63" s="290" t="s">
        <v>15</v>
      </c>
      <c r="D63" s="290"/>
      <c r="E63" s="290" t="s">
        <v>2294</v>
      </c>
      <c r="F63" s="246" t="s">
        <v>2406</v>
      </c>
      <c r="G63" s="203" t="s">
        <v>2335</v>
      </c>
      <c r="H63" s="204" t="s">
        <v>2336</v>
      </c>
      <c r="I63" s="205" t="s">
        <v>2337</v>
      </c>
    </row>
    <row r="64" spans="1:9" ht="51" customHeight="1">
      <c r="A64" s="288" t="s">
        <v>2344</v>
      </c>
      <c r="B64" s="244" t="s">
        <v>2407</v>
      </c>
      <c r="C64" s="290" t="s">
        <v>15</v>
      </c>
      <c r="D64" s="290"/>
      <c r="E64" s="290" t="s">
        <v>2294</v>
      </c>
      <c r="F64" s="246" t="s">
        <v>2397</v>
      </c>
      <c r="G64" s="203" t="s">
        <v>2335</v>
      </c>
      <c r="H64" s="204" t="s">
        <v>2335</v>
      </c>
      <c r="I64" s="205" t="s">
        <v>2337</v>
      </c>
    </row>
    <row r="65" spans="1:9" ht="44.25" customHeight="1">
      <c r="A65" s="288" t="s">
        <v>2345</v>
      </c>
      <c r="B65" s="244" t="s">
        <v>2398</v>
      </c>
      <c r="C65" s="259" t="s">
        <v>15</v>
      </c>
      <c r="D65" s="259"/>
      <c r="E65" s="290" t="s">
        <v>2294</v>
      </c>
      <c r="F65" s="246" t="s">
        <v>2398</v>
      </c>
      <c r="G65" s="206" t="s">
        <v>2340</v>
      </c>
      <c r="H65" s="204" t="s">
        <v>61</v>
      </c>
      <c r="I65" s="205" t="s">
        <v>2337</v>
      </c>
    </row>
    <row r="66" spans="1:9" ht="64.5" customHeight="1">
      <c r="A66" s="288" t="s">
        <v>2440</v>
      </c>
      <c r="B66" s="244" t="s">
        <v>2399</v>
      </c>
      <c r="C66" s="259" t="s">
        <v>15</v>
      </c>
      <c r="D66" s="259"/>
      <c r="E66" s="290" t="s">
        <v>2294</v>
      </c>
      <c r="F66" s="246" t="s">
        <v>2399</v>
      </c>
      <c r="G66" s="206" t="s">
        <v>2342</v>
      </c>
      <c r="H66" s="204" t="s">
        <v>61</v>
      </c>
      <c r="I66" s="205" t="s">
        <v>2337</v>
      </c>
    </row>
    <row r="67" spans="1:9" ht="45" customHeight="1">
      <c r="A67" s="288" t="s">
        <v>2441</v>
      </c>
      <c r="B67" s="244" t="s">
        <v>2400</v>
      </c>
      <c r="C67" s="259" t="s">
        <v>2411</v>
      </c>
      <c r="D67" s="259"/>
      <c r="E67" s="259" t="s">
        <v>2434</v>
      </c>
      <c r="F67" s="246" t="s">
        <v>2400</v>
      </c>
      <c r="G67" s="187"/>
      <c r="H67" s="188"/>
      <c r="I67" s="189"/>
    </row>
    <row r="68" spans="1:9" ht="76.8">
      <c r="A68" s="288" t="s">
        <v>2463</v>
      </c>
      <c r="B68" s="244" t="s">
        <v>2489</v>
      </c>
      <c r="C68" s="259" t="s">
        <v>15</v>
      </c>
      <c r="D68" s="259"/>
      <c r="E68" s="259" t="s">
        <v>2434</v>
      </c>
      <c r="F68" s="246" t="s">
        <v>2489</v>
      </c>
      <c r="G68" s="187"/>
      <c r="H68" s="188"/>
      <c r="I68" s="189"/>
    </row>
    <row r="69" spans="1:9" ht="38.4">
      <c r="A69" s="288" t="s">
        <v>2464</v>
      </c>
      <c r="B69" s="244" t="s">
        <v>2490</v>
      </c>
      <c r="C69" s="292" t="s">
        <v>54</v>
      </c>
      <c r="D69" s="292"/>
      <c r="E69" s="259" t="s">
        <v>294</v>
      </c>
      <c r="F69" s="246" t="s">
        <v>2490</v>
      </c>
      <c r="G69" s="195"/>
      <c r="H69" s="196"/>
      <c r="I69" s="207"/>
    </row>
    <row r="70" spans="1:9" ht="54.75" customHeight="1">
      <c r="A70" s="288" t="s">
        <v>2465</v>
      </c>
      <c r="B70" s="244" t="s">
        <v>2401</v>
      </c>
      <c r="C70" s="292" t="s">
        <v>16</v>
      </c>
      <c r="D70" s="292"/>
      <c r="E70" s="292" t="s">
        <v>2294</v>
      </c>
      <c r="F70" s="246" t="s">
        <v>2401</v>
      </c>
      <c r="G70" s="195"/>
      <c r="H70" s="196"/>
      <c r="I70" s="207"/>
    </row>
    <row r="74" spans="1:9" ht="45" customHeight="1">
      <c r="B74" s="299" t="s">
        <v>1635</v>
      </c>
    </row>
  </sheetData>
  <mergeCells count="1">
    <mergeCell ref="A1:F1"/>
  </mergeCells>
  <pageMargins left="0" right="0" top="0.25" bottom="0.25" header="0.3" footer="0.3"/>
  <pageSetup scale="65" orientation="portrait" r:id="rId1"/>
  <rowBreaks count="3" manualBreakCount="3">
    <brk id="25" max="5" man="1"/>
    <brk id="48" max="5" man="1"/>
    <brk id="70" max="16383" man="1"/>
  </rowBreaks>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CFF7-5548-4056-B5C9-5FD0F029EB6E}">
  <sheetPr>
    <tabColor rgb="FF92D050"/>
  </sheetPr>
  <dimension ref="A1:F11"/>
  <sheetViews>
    <sheetView view="pageBreakPreview" topLeftCell="A5" zoomScale="89" zoomScaleNormal="85" zoomScaleSheetLayoutView="89" workbookViewId="0">
      <selection activeCell="D7" sqref="D7"/>
    </sheetView>
  </sheetViews>
  <sheetFormatPr defaultColWidth="6.69921875" defaultRowHeight="15.6"/>
  <cols>
    <col min="1" max="1" width="10.69921875" style="208" customWidth="1"/>
    <col min="2" max="2" width="39.19921875" style="208" customWidth="1"/>
    <col min="3" max="3" width="19" style="208" customWidth="1"/>
    <col min="4" max="4" width="63.5" style="208" customWidth="1"/>
    <col min="5" max="5" width="40.69921875" style="210" customWidth="1"/>
    <col min="6" max="16384" width="6.69921875" style="210"/>
  </cols>
  <sheetData>
    <row r="1" spans="1:6">
      <c r="B1" s="209" t="s">
        <v>2346</v>
      </c>
      <c r="C1" s="209"/>
      <c r="D1" s="209"/>
    </row>
    <row r="2" spans="1:6" ht="38.4">
      <c r="A2" s="211" t="s">
        <v>70</v>
      </c>
      <c r="B2" s="211" t="s">
        <v>2347</v>
      </c>
      <c r="C2" s="211" t="s">
        <v>71</v>
      </c>
      <c r="D2" s="211" t="s">
        <v>72</v>
      </c>
      <c r="E2" s="211" t="s">
        <v>1300</v>
      </c>
    </row>
    <row r="3" spans="1:6" ht="153.6">
      <c r="A3" s="212" t="s">
        <v>1311</v>
      </c>
      <c r="B3" s="212" t="s">
        <v>3133</v>
      </c>
      <c r="C3" s="212" t="s">
        <v>2883</v>
      </c>
      <c r="D3" s="213" t="s">
        <v>2884</v>
      </c>
      <c r="E3" s="212" t="s">
        <v>2885</v>
      </c>
    </row>
    <row r="4" spans="1:6" ht="76.8">
      <c r="A4" s="214" t="s">
        <v>1312</v>
      </c>
      <c r="B4" s="214" t="s">
        <v>3134</v>
      </c>
      <c r="C4" s="214" t="s">
        <v>3175</v>
      </c>
      <c r="D4" s="214" t="s">
        <v>3174</v>
      </c>
      <c r="E4" s="214" t="s">
        <v>2886</v>
      </c>
    </row>
    <row r="5" spans="1:6" ht="220.95" customHeight="1">
      <c r="A5" s="215" t="s">
        <v>1628</v>
      </c>
      <c r="B5" s="215" t="s">
        <v>3135</v>
      </c>
      <c r="C5" s="215" t="s">
        <v>3145</v>
      </c>
      <c r="D5" s="215" t="s">
        <v>3144</v>
      </c>
      <c r="E5" s="215"/>
    </row>
    <row r="6" spans="1:6" ht="134.4">
      <c r="A6" s="686" t="s">
        <v>3136</v>
      </c>
      <c r="B6" s="686" t="s">
        <v>3137</v>
      </c>
      <c r="C6" s="686" t="s">
        <v>3146</v>
      </c>
      <c r="D6" s="686" t="s">
        <v>3140</v>
      </c>
      <c r="E6" s="686"/>
    </row>
    <row r="7" spans="1:6" ht="76.8">
      <c r="A7" s="687" t="s">
        <v>3138</v>
      </c>
      <c r="B7" s="687" t="s">
        <v>3139</v>
      </c>
      <c r="C7" s="687"/>
      <c r="D7" s="687"/>
      <c r="E7" s="687"/>
    </row>
    <row r="8" spans="1:6" s="208" customFormat="1">
      <c r="F8" s="216"/>
    </row>
    <row r="9" spans="1:6" s="208" customFormat="1"/>
    <row r="10" spans="1:6">
      <c r="E10" s="208"/>
    </row>
    <row r="11" spans="1:6">
      <c r="E11" s="208"/>
    </row>
  </sheetData>
  <pageMargins left="0" right="0" top="0.5" bottom="0.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73"/>
  <sheetViews>
    <sheetView showGridLines="0" topLeftCell="A49" zoomScale="82" zoomScaleNormal="82" workbookViewId="0">
      <selection activeCell="H26" sqref="H26"/>
    </sheetView>
  </sheetViews>
  <sheetFormatPr defaultColWidth="9" defaultRowHeight="15.6"/>
  <cols>
    <col min="1" max="1" width="9.59765625" style="58" customWidth="1"/>
    <col min="2" max="2" width="17.09765625" style="58" customWidth="1"/>
    <col min="3" max="3" width="41.09765625" style="58" customWidth="1"/>
    <col min="4" max="5" width="25.19921875" style="58" customWidth="1"/>
    <col min="6" max="6" width="27.69921875" style="58" customWidth="1"/>
    <col min="7" max="7" width="16.19921875" style="58" customWidth="1"/>
    <col min="8" max="8" width="16.69921875" style="58" bestFit="1" customWidth="1"/>
    <col min="9" max="9" width="13.19921875" style="58" customWidth="1"/>
    <col min="10" max="12" width="9.59765625" style="58" customWidth="1"/>
    <col min="13" max="13" width="14.19921875" style="58" customWidth="1"/>
    <col min="14" max="15" width="17" style="58" customWidth="1"/>
    <col min="16" max="16" width="9.59765625" style="58" customWidth="1"/>
    <col min="17" max="17" width="13.19921875" style="58" customWidth="1"/>
    <col min="18" max="18" width="17.09765625" style="58" customWidth="1"/>
    <col min="19" max="19" width="19" style="58" customWidth="1"/>
    <col min="20" max="21" width="16.09765625" style="58" customWidth="1"/>
    <col min="22" max="22" width="21.59765625" style="58" customWidth="1"/>
    <col min="23" max="23" width="19.19921875" style="58" bestFit="1" customWidth="1"/>
    <col min="24" max="24" width="9.59765625" style="58" customWidth="1"/>
    <col min="25" max="25" width="30.09765625" style="58" bestFit="1" customWidth="1"/>
    <col min="26" max="26" width="10.69921875" style="58" bestFit="1" customWidth="1"/>
    <col min="27" max="37" width="9.19921875" style="58" customWidth="1"/>
    <col min="38" max="38" width="16.59765625" style="58" customWidth="1"/>
    <col min="39" max="39" width="16.69921875" style="58" customWidth="1"/>
    <col min="40" max="40" width="9.19921875" style="58" customWidth="1"/>
    <col min="41" max="41" width="24.5" style="58" customWidth="1"/>
    <col min="42" max="42" width="22.19921875" style="58" customWidth="1"/>
    <col min="43" max="43" width="19.19921875" style="58" bestFit="1" customWidth="1"/>
    <col min="44" max="44" width="9.19921875" style="58" customWidth="1"/>
    <col min="45" max="45" width="23" style="58" customWidth="1"/>
    <col min="46" max="46" width="9.19921875" style="58" customWidth="1"/>
    <col min="47" max="47" width="10.19921875" style="58" customWidth="1"/>
    <col min="48" max="16384" width="9" style="58"/>
  </cols>
  <sheetData>
    <row r="1" spans="2:35">
      <c r="D1" s="157"/>
      <c r="M1"/>
      <c r="N1"/>
      <c r="O1"/>
      <c r="P1"/>
      <c r="Q1"/>
      <c r="R1"/>
      <c r="S1"/>
      <c r="T1"/>
      <c r="U1"/>
      <c r="V1"/>
      <c r="W1"/>
    </row>
    <row r="2" spans="2:35">
      <c r="M2"/>
      <c r="N2"/>
      <c r="O2"/>
      <c r="P2"/>
      <c r="Q2"/>
      <c r="S2"/>
      <c r="T2"/>
      <c r="U2"/>
      <c r="V2"/>
      <c r="W2"/>
    </row>
    <row r="3" spans="2:35">
      <c r="B3" s="820" t="s">
        <v>18</v>
      </c>
      <c r="C3" s="798" t="s">
        <v>3199</v>
      </c>
      <c r="M3" s="797" t="s">
        <v>32</v>
      </c>
      <c r="N3" s="798" t="s">
        <v>32</v>
      </c>
      <c r="Q3"/>
      <c r="R3"/>
      <c r="V3"/>
      <c r="W3"/>
      <c r="X3"/>
    </row>
    <row r="4" spans="2:35">
      <c r="B4" s="797" t="s">
        <v>32</v>
      </c>
      <c r="C4" s="798" t="s">
        <v>32</v>
      </c>
      <c r="M4" s="797" t="s">
        <v>19</v>
      </c>
      <c r="N4" s="798" t="s">
        <v>2648</v>
      </c>
      <c r="Q4"/>
      <c r="V4"/>
    </row>
    <row r="5" spans="2:35">
      <c r="B5" s="797" t="s">
        <v>124</v>
      </c>
      <c r="C5" s="798" t="s">
        <v>794</v>
      </c>
      <c r="I5" s="59"/>
      <c r="J5" s="59"/>
      <c r="K5" s="59"/>
      <c r="L5" s="59"/>
      <c r="M5" s="797" t="s">
        <v>124</v>
      </c>
      <c r="N5" s="798" t="s">
        <v>794</v>
      </c>
      <c r="Q5"/>
      <c r="V5"/>
    </row>
    <row r="6" spans="2:35">
      <c r="M6"/>
      <c r="N6"/>
      <c r="O6" t="s">
        <v>2646</v>
      </c>
      <c r="P6"/>
      <c r="Q6"/>
      <c r="S6"/>
      <c r="T6"/>
      <c r="U6"/>
      <c r="V6"/>
      <c r="Y6"/>
      <c r="Z6"/>
      <c r="AA6"/>
      <c r="AE6" s="393"/>
      <c r="AF6" s="393"/>
      <c r="AG6" s="393"/>
    </row>
    <row r="7" spans="2:35" ht="62.4">
      <c r="B7" s="813" t="s">
        <v>1637</v>
      </c>
      <c r="C7" s="824" t="s">
        <v>1652</v>
      </c>
      <c r="D7" s="825" t="s">
        <v>2506</v>
      </c>
      <c r="E7" s="827" t="s">
        <v>2507</v>
      </c>
      <c r="F7" s="829" t="s">
        <v>2508</v>
      </c>
      <c r="G7" s="831" t="s">
        <v>2946</v>
      </c>
      <c r="H7" s="831" t="s">
        <v>2907</v>
      </c>
      <c r="I7"/>
      <c r="J7"/>
      <c r="K7" s="393"/>
      <c r="M7" s="798"/>
      <c r="N7" s="819" t="s">
        <v>1652</v>
      </c>
      <c r="O7" s="822" t="s">
        <v>2506</v>
      </c>
      <c r="P7" s="798" t="s">
        <v>2507</v>
      </c>
      <c r="Q7" s="798" t="s">
        <v>2508</v>
      </c>
      <c r="R7" s="798" t="s">
        <v>3311</v>
      </c>
      <c r="S7"/>
      <c r="T7"/>
      <c r="U7"/>
      <c r="V7"/>
      <c r="W7"/>
      <c r="Y7"/>
      <c r="Z7"/>
      <c r="AA7"/>
      <c r="AB7"/>
      <c r="AC7"/>
      <c r="AE7"/>
      <c r="AF7"/>
      <c r="AG7"/>
      <c r="AH7"/>
      <c r="AI7"/>
    </row>
    <row r="8" spans="2:35">
      <c r="B8" s="799" t="s">
        <v>36</v>
      </c>
      <c r="C8" s="823">
        <v>11571</v>
      </c>
      <c r="D8" s="821">
        <v>2904</v>
      </c>
      <c r="E8" s="826">
        <v>1670</v>
      </c>
      <c r="F8" s="828">
        <v>331</v>
      </c>
      <c r="G8" s="800">
        <v>0</v>
      </c>
      <c r="H8" s="830"/>
      <c r="I8"/>
      <c r="J8"/>
      <c r="K8" s="393"/>
      <c r="M8" s="798" t="s">
        <v>3150</v>
      </c>
      <c r="N8" s="818">
        <v>134193</v>
      </c>
      <c r="O8" s="809">
        <v>113604</v>
      </c>
      <c r="P8" s="809">
        <v>44392</v>
      </c>
      <c r="Q8" s="809">
        <v>41621</v>
      </c>
      <c r="R8" s="809">
        <v>23081</v>
      </c>
      <c r="S8"/>
      <c r="T8"/>
      <c r="U8"/>
      <c r="V8"/>
      <c r="W8"/>
      <c r="Y8"/>
      <c r="Z8"/>
      <c r="AA8"/>
      <c r="AB8"/>
      <c r="AC8"/>
      <c r="AE8"/>
      <c r="AF8"/>
      <c r="AG8"/>
      <c r="AH8"/>
      <c r="AI8"/>
    </row>
    <row r="9" spans="2:35">
      <c r="B9" s="799" t="s">
        <v>698</v>
      </c>
      <c r="C9" s="823">
        <v>5926</v>
      </c>
      <c r="D9" s="821">
        <v>3054</v>
      </c>
      <c r="E9" s="826">
        <v>2394</v>
      </c>
      <c r="F9" s="828">
        <v>1044</v>
      </c>
      <c r="G9" s="800">
        <v>1044</v>
      </c>
      <c r="H9" s="830">
        <v>512</v>
      </c>
      <c r="I9"/>
      <c r="J9"/>
      <c r="K9" s="393"/>
      <c r="M9" s="798" t="s">
        <v>3199</v>
      </c>
      <c r="N9" s="818">
        <v>141021</v>
      </c>
      <c r="O9" s="809">
        <v>111709</v>
      </c>
      <c r="P9" s="809">
        <v>45023</v>
      </c>
      <c r="Q9" s="809">
        <v>30321</v>
      </c>
      <c r="R9" s="809">
        <v>26321</v>
      </c>
      <c r="S9"/>
      <c r="T9"/>
      <c r="U9"/>
      <c r="V9"/>
      <c r="W9"/>
      <c r="Y9"/>
      <c r="Z9"/>
      <c r="AA9"/>
      <c r="AB9"/>
      <c r="AC9"/>
      <c r="AE9"/>
      <c r="AF9"/>
      <c r="AG9"/>
      <c r="AH9"/>
      <c r="AI9"/>
    </row>
    <row r="10" spans="2:35">
      <c r="B10" s="799" t="s">
        <v>2648</v>
      </c>
      <c r="C10" s="823">
        <v>141021</v>
      </c>
      <c r="D10" s="821">
        <v>111709</v>
      </c>
      <c r="E10" s="826">
        <v>45023</v>
      </c>
      <c r="F10" s="828">
        <v>30321</v>
      </c>
      <c r="G10" s="830">
        <v>26321</v>
      </c>
      <c r="H10" s="830">
        <v>6915</v>
      </c>
      <c r="I10"/>
      <c r="J10"/>
      <c r="M10" s="798" t="s">
        <v>1639</v>
      </c>
      <c r="N10" s="818">
        <v>275214</v>
      </c>
      <c r="O10" s="832">
        <v>225313</v>
      </c>
      <c r="P10" s="809">
        <v>89415</v>
      </c>
      <c r="Q10" s="809">
        <v>71942</v>
      </c>
      <c r="R10" s="809">
        <v>49402</v>
      </c>
      <c r="S10"/>
      <c r="T10"/>
      <c r="U10"/>
      <c r="W10"/>
      <c r="X10"/>
      <c r="Y10"/>
      <c r="Z10"/>
      <c r="AA10"/>
      <c r="AB10"/>
      <c r="AC10"/>
    </row>
    <row r="11" spans="2:35">
      <c r="B11" s="799" t="s">
        <v>3274</v>
      </c>
      <c r="C11" s="823">
        <v>7593</v>
      </c>
      <c r="D11" s="821">
        <v>7144</v>
      </c>
      <c r="E11" s="826">
        <v>4602</v>
      </c>
      <c r="F11" s="828">
        <v>0</v>
      </c>
      <c r="G11" s="800">
        <v>0</v>
      </c>
      <c r="H11" s="830">
        <v>0</v>
      </c>
      <c r="I11"/>
      <c r="J11"/>
      <c r="M11"/>
      <c r="N11"/>
      <c r="O11"/>
      <c r="P11"/>
      <c r="Q11"/>
      <c r="R11"/>
      <c r="S11"/>
      <c r="T11"/>
      <c r="U11"/>
      <c r="W11"/>
      <c r="X11"/>
      <c r="Y11"/>
      <c r="Z11"/>
      <c r="AA11"/>
      <c r="AB11"/>
      <c r="AC11"/>
    </row>
    <row r="12" spans="2:35">
      <c r="B12" s="799" t="s">
        <v>1639</v>
      </c>
      <c r="C12" s="823">
        <v>166111</v>
      </c>
      <c r="D12" s="821">
        <v>124811</v>
      </c>
      <c r="E12" s="826">
        <v>53689</v>
      </c>
      <c r="F12" s="828">
        <v>31696</v>
      </c>
      <c r="G12" s="830">
        <v>27365</v>
      </c>
      <c r="H12" s="830">
        <v>7427</v>
      </c>
      <c r="M12"/>
      <c r="N12"/>
      <c r="O12"/>
      <c r="P12"/>
      <c r="R12"/>
      <c r="S12"/>
      <c r="T12"/>
      <c r="U12"/>
      <c r="W12"/>
      <c r="X12"/>
      <c r="Y12"/>
      <c r="Z12"/>
    </row>
    <row r="13" spans="2:35" ht="16.2" thickBot="1">
      <c r="C13" s="146"/>
      <c r="D13" s="421"/>
      <c r="E13" s="146"/>
      <c r="F13" s="146"/>
    </row>
    <row r="14" spans="2:35" ht="31.8" thickBot="1">
      <c r="G14" s="60"/>
      <c r="J14" s="144" t="s">
        <v>1910</v>
      </c>
      <c r="K14" s="145"/>
      <c r="L14" s="897" t="s">
        <v>1911</v>
      </c>
      <c r="M14" s="897"/>
      <c r="N14" s="898"/>
    </row>
    <row r="15" spans="2:35" ht="60" customHeight="1">
      <c r="C15" s="79" t="s">
        <v>1640</v>
      </c>
      <c r="D15" s="80" t="s">
        <v>1641</v>
      </c>
      <c r="E15" s="80" t="s">
        <v>1642</v>
      </c>
      <c r="F15" s="81" t="s">
        <v>2905</v>
      </c>
      <c r="G15" s="82" t="s">
        <v>2906</v>
      </c>
      <c r="H15" s="82" t="s">
        <v>1991</v>
      </c>
      <c r="I15" s="82" t="s">
        <v>1992</v>
      </c>
      <c r="J15" s="76" t="s">
        <v>1643</v>
      </c>
      <c r="K15" s="77" t="s">
        <v>1644</v>
      </c>
      <c r="L15" s="77" t="s">
        <v>1645</v>
      </c>
      <c r="M15" s="77" t="s">
        <v>1646</v>
      </c>
      <c r="N15" s="78" t="s">
        <v>1647</v>
      </c>
      <c r="O15" s="82" t="s">
        <v>1649</v>
      </c>
    </row>
    <row r="16" spans="2:35" ht="25.5" customHeight="1">
      <c r="C16" s="902" t="s">
        <v>2348</v>
      </c>
      <c r="D16" s="559" t="s">
        <v>2648</v>
      </c>
      <c r="E16" s="560">
        <v>284447.02999999997</v>
      </c>
      <c r="F16" s="560">
        <v>86458</v>
      </c>
      <c r="G16" s="561">
        <f>GETPIVOTDATA(" HRP1",$M$7,"Reporting Period","2020_Q1")</f>
        <v>113604</v>
      </c>
      <c r="H16" s="562">
        <f t="shared" ref="H16:H39" si="0">G16/F16</f>
        <v>1.3139790418469084</v>
      </c>
      <c r="I16" s="562">
        <f t="shared" ref="I16:I30" si="1">1-H16</f>
        <v>-0.31397904184690839</v>
      </c>
      <c r="J16" s="563">
        <f t="shared" ref="J16:J30" si="2">G16*0.45</f>
        <v>51121.8</v>
      </c>
      <c r="K16" s="560">
        <f t="shared" ref="K16:K30" si="3">G16*0.55</f>
        <v>62482.200000000004</v>
      </c>
      <c r="L16" s="560">
        <f t="shared" ref="L16:L30" si="4">G16*0.35</f>
        <v>39761.399999999994</v>
      </c>
      <c r="M16" s="560">
        <f t="shared" ref="M16:M30" si="5">G16*0.4</f>
        <v>45441.600000000006</v>
      </c>
      <c r="N16" s="561">
        <f t="shared" ref="N16:N30" si="6">G16*0.25</f>
        <v>28401</v>
      </c>
      <c r="O16" s="561">
        <f t="shared" ref="O16:O30" si="7">F16-G16</f>
        <v>-27146</v>
      </c>
    </row>
    <row r="17" spans="3:15">
      <c r="C17" s="903"/>
      <c r="D17" s="564" t="s">
        <v>2647</v>
      </c>
      <c r="E17" s="565">
        <v>227920</v>
      </c>
      <c r="F17" s="565">
        <v>176245</v>
      </c>
      <c r="G17" s="566"/>
      <c r="H17" s="567">
        <f t="shared" si="0"/>
        <v>0</v>
      </c>
      <c r="I17" s="567">
        <f t="shared" ref="I17:I22" si="8">1-H17</f>
        <v>1</v>
      </c>
      <c r="J17" s="568">
        <f t="shared" ref="J17:J22" si="9">G17*0.45</f>
        <v>0</v>
      </c>
      <c r="K17" s="565">
        <f t="shared" ref="K17:K22" si="10">G17*0.55</f>
        <v>0</v>
      </c>
      <c r="L17" s="565">
        <f t="shared" ref="L17:L22" si="11">G17*0.35</f>
        <v>0</v>
      </c>
      <c r="M17" s="565">
        <f t="shared" ref="M17:M22" si="12">G17*0.4</f>
        <v>0</v>
      </c>
      <c r="N17" s="566">
        <f t="shared" ref="N17:N22" si="13">G17*0.25</f>
        <v>0</v>
      </c>
      <c r="O17" s="566">
        <f t="shared" ref="O17:O22" si="14">F17-G17</f>
        <v>176245</v>
      </c>
    </row>
    <row r="18" spans="3:15">
      <c r="C18" s="903"/>
      <c r="D18" s="564" t="s">
        <v>36</v>
      </c>
      <c r="E18" s="565">
        <v>53281.579802514039</v>
      </c>
      <c r="F18" s="565">
        <v>15522.400000000009</v>
      </c>
      <c r="G18" s="566">
        <f>GETPIVOTDATA(" HRP1",$B$7,"State","Kachin")</f>
        <v>2904</v>
      </c>
      <c r="H18" s="567">
        <f t="shared" ref="H18" si="15">G18/F18</f>
        <v>0.18708447147348337</v>
      </c>
      <c r="I18" s="567">
        <f t="shared" si="8"/>
        <v>0.81291552852651661</v>
      </c>
      <c r="J18" s="568">
        <f t="shared" si="9"/>
        <v>1306.8</v>
      </c>
      <c r="K18" s="565">
        <f t="shared" si="10"/>
        <v>1597.2</v>
      </c>
      <c r="L18" s="565">
        <f t="shared" si="11"/>
        <v>1016.4</v>
      </c>
      <c r="M18" s="565">
        <f t="shared" si="12"/>
        <v>1161.6000000000001</v>
      </c>
      <c r="N18" s="566">
        <f t="shared" si="13"/>
        <v>726</v>
      </c>
      <c r="O18" s="566">
        <f t="shared" si="14"/>
        <v>12618.400000000009</v>
      </c>
    </row>
    <row r="19" spans="3:15">
      <c r="C19" s="903"/>
      <c r="D19" s="564" t="s">
        <v>698</v>
      </c>
      <c r="E19" s="565">
        <v>47833.624732911274</v>
      </c>
      <c r="F19" s="565">
        <v>11607</v>
      </c>
      <c r="G19" s="566">
        <f>GETPIVOTDATA(" HRP1",$B$7,"State","Shan (North)")</f>
        <v>3054</v>
      </c>
      <c r="H19" s="567">
        <f t="shared" ref="H19" si="16">G19/F19</f>
        <v>0.26311708451796328</v>
      </c>
      <c r="I19" s="567">
        <f t="shared" si="8"/>
        <v>0.73688291548203666</v>
      </c>
      <c r="J19" s="568">
        <f t="shared" si="9"/>
        <v>1374.3</v>
      </c>
      <c r="K19" s="565">
        <f t="shared" si="10"/>
        <v>1679.7</v>
      </c>
      <c r="L19" s="565">
        <f t="shared" si="11"/>
        <v>1068.8999999999999</v>
      </c>
      <c r="M19" s="565">
        <f t="shared" si="12"/>
        <v>1221.6000000000001</v>
      </c>
      <c r="N19" s="566">
        <f t="shared" si="13"/>
        <v>763.5</v>
      </c>
      <c r="O19" s="566">
        <f t="shared" si="14"/>
        <v>8553</v>
      </c>
    </row>
    <row r="20" spans="3:15">
      <c r="C20" s="903"/>
      <c r="D20" s="564" t="s">
        <v>3274</v>
      </c>
      <c r="E20" s="565">
        <v>9132</v>
      </c>
      <c r="F20" s="565">
        <v>9132</v>
      </c>
      <c r="G20" s="566">
        <f>GETPIVOTDATA(" HRP1",$B$7,"State","Kayin")</f>
        <v>7144</v>
      </c>
      <c r="H20" s="567">
        <f t="shared" ref="H20" si="17">G20/F20</f>
        <v>0.78230398598335527</v>
      </c>
      <c r="I20" s="567">
        <f t="shared" si="8"/>
        <v>0.21769601401664473</v>
      </c>
      <c r="J20" s="568">
        <f t="shared" si="9"/>
        <v>3214.8</v>
      </c>
      <c r="K20" s="565">
        <f t="shared" si="10"/>
        <v>3929.2000000000003</v>
      </c>
      <c r="L20" s="565">
        <f t="shared" si="11"/>
        <v>2500.3999999999996</v>
      </c>
      <c r="M20" s="565">
        <f t="shared" si="12"/>
        <v>2857.6000000000004</v>
      </c>
      <c r="N20" s="566">
        <f t="shared" si="13"/>
        <v>1786</v>
      </c>
      <c r="O20" s="566">
        <f t="shared" si="14"/>
        <v>1988</v>
      </c>
    </row>
    <row r="21" spans="3:15">
      <c r="C21" s="903"/>
      <c r="D21" s="786" t="s">
        <v>807</v>
      </c>
      <c r="E21" s="787">
        <v>4279</v>
      </c>
      <c r="F21" s="787">
        <v>1000</v>
      </c>
      <c r="G21" s="787"/>
      <c r="H21" s="567">
        <f t="shared" ref="H21" si="18">G21/F21</f>
        <v>0</v>
      </c>
      <c r="I21" s="567">
        <f t="shared" si="8"/>
        <v>1</v>
      </c>
      <c r="J21" s="568">
        <f t="shared" si="9"/>
        <v>0</v>
      </c>
      <c r="K21" s="565">
        <f t="shared" si="10"/>
        <v>0</v>
      </c>
      <c r="L21" s="565">
        <f t="shared" si="11"/>
        <v>0</v>
      </c>
      <c r="M21" s="565">
        <f t="shared" si="12"/>
        <v>0</v>
      </c>
      <c r="N21" s="566">
        <f t="shared" si="13"/>
        <v>0</v>
      </c>
      <c r="O21" s="566">
        <f t="shared" si="14"/>
        <v>1000</v>
      </c>
    </row>
    <row r="22" spans="3:15">
      <c r="C22" s="904"/>
      <c r="D22" s="557" t="s">
        <v>1893</v>
      </c>
      <c r="E22" s="558">
        <f>SUM(E16:E21)</f>
        <v>626893.2345354252</v>
      </c>
      <c r="F22" s="558">
        <f t="shared" ref="F22:G22" si="19">SUM(F16:F21)</f>
        <v>299964.40000000002</v>
      </c>
      <c r="G22" s="558">
        <f t="shared" si="19"/>
        <v>126706</v>
      </c>
      <c r="H22" s="796">
        <f t="shared" si="0"/>
        <v>0.42240345854374717</v>
      </c>
      <c r="I22" s="558">
        <f t="shared" si="8"/>
        <v>0.57759654145625283</v>
      </c>
      <c r="J22" s="558">
        <f t="shared" si="9"/>
        <v>57017.700000000004</v>
      </c>
      <c r="K22" s="558">
        <f t="shared" si="10"/>
        <v>69688.3</v>
      </c>
      <c r="L22" s="558">
        <f t="shared" si="11"/>
        <v>44347.1</v>
      </c>
      <c r="M22" s="558">
        <f t="shared" si="12"/>
        <v>50682.400000000001</v>
      </c>
      <c r="N22" s="558">
        <f t="shared" si="13"/>
        <v>31676.5</v>
      </c>
      <c r="O22" s="558">
        <f t="shared" si="14"/>
        <v>173258.40000000002</v>
      </c>
    </row>
    <row r="23" spans="3:15" ht="21" customHeight="1">
      <c r="C23" s="899" t="s">
        <v>2349</v>
      </c>
      <c r="D23" s="569" t="s">
        <v>2648</v>
      </c>
      <c r="E23" s="570">
        <v>284447.02999999997</v>
      </c>
      <c r="F23" s="570">
        <v>86458</v>
      </c>
      <c r="G23" s="571">
        <f>GETPIVOTDATA(" HRP2",$B$7,"State","Central Rakhine")</f>
        <v>45023</v>
      </c>
      <c r="H23" s="572">
        <f t="shared" si="0"/>
        <v>0.52074995951791625</v>
      </c>
      <c r="I23" s="572">
        <f t="shared" si="1"/>
        <v>0.47925004048208375</v>
      </c>
      <c r="J23" s="573">
        <f t="shared" si="2"/>
        <v>20260.350000000002</v>
      </c>
      <c r="K23" s="570">
        <f t="shared" si="3"/>
        <v>24762.65</v>
      </c>
      <c r="L23" s="570">
        <f t="shared" si="4"/>
        <v>15758.05</v>
      </c>
      <c r="M23" s="570">
        <f t="shared" si="5"/>
        <v>18009.2</v>
      </c>
      <c r="N23" s="574">
        <f t="shared" si="6"/>
        <v>11255.75</v>
      </c>
      <c r="O23" s="574">
        <f t="shared" si="7"/>
        <v>41435</v>
      </c>
    </row>
    <row r="24" spans="3:15" ht="21" customHeight="1">
      <c r="C24" s="900"/>
      <c r="D24" s="575" t="s">
        <v>2647</v>
      </c>
      <c r="E24" s="576">
        <v>227920</v>
      </c>
      <c r="F24" s="576">
        <v>176245</v>
      </c>
      <c r="G24" s="577"/>
      <c r="H24" s="578">
        <f t="shared" si="0"/>
        <v>0</v>
      </c>
      <c r="I24" s="578">
        <f t="shared" ref="I24:I29" si="20">1-H24</f>
        <v>1</v>
      </c>
      <c r="J24" s="579">
        <f t="shared" ref="J24:J29" si="21">G24*0.45</f>
        <v>0</v>
      </c>
      <c r="K24" s="576">
        <f t="shared" ref="K24:K29" si="22">G24*0.55</f>
        <v>0</v>
      </c>
      <c r="L24" s="576">
        <f t="shared" ref="L24:L29" si="23">G24*0.35</f>
        <v>0</v>
      </c>
      <c r="M24" s="576">
        <f t="shared" ref="M24:M29" si="24">G24*0.4</f>
        <v>0</v>
      </c>
      <c r="N24" s="580">
        <f t="shared" ref="N24:N29" si="25">G24*0.25</f>
        <v>0</v>
      </c>
      <c r="O24" s="580">
        <f t="shared" ref="O24:O29" si="26">F24-G24</f>
        <v>176245</v>
      </c>
    </row>
    <row r="25" spans="3:15" ht="21" customHeight="1">
      <c r="C25" s="900"/>
      <c r="D25" s="575" t="s">
        <v>36</v>
      </c>
      <c r="E25" s="576">
        <v>53281.579802514039</v>
      </c>
      <c r="F25" s="576">
        <v>15522.400000000009</v>
      </c>
      <c r="G25" s="662">
        <f>GETPIVOTDATA(" HRP2",$B$7,"State","Kachin")</f>
        <v>1670</v>
      </c>
      <c r="H25" s="578">
        <f t="shared" ref="H25" si="27">G25/F25</f>
        <v>0.10758645570272632</v>
      </c>
      <c r="I25" s="578">
        <f t="shared" si="20"/>
        <v>0.89241354429727371</v>
      </c>
      <c r="J25" s="579">
        <f t="shared" si="21"/>
        <v>751.5</v>
      </c>
      <c r="K25" s="576">
        <f t="shared" si="22"/>
        <v>918.50000000000011</v>
      </c>
      <c r="L25" s="576">
        <f t="shared" si="23"/>
        <v>584.5</v>
      </c>
      <c r="M25" s="576">
        <f t="shared" si="24"/>
        <v>668</v>
      </c>
      <c r="N25" s="580">
        <f t="shared" si="25"/>
        <v>417.5</v>
      </c>
      <c r="O25" s="580">
        <f t="shared" si="26"/>
        <v>13852.400000000009</v>
      </c>
    </row>
    <row r="26" spans="3:15" ht="21" customHeight="1">
      <c r="C26" s="900"/>
      <c r="D26" s="575" t="s">
        <v>698</v>
      </c>
      <c r="E26" s="576">
        <v>47833.624732911274</v>
      </c>
      <c r="F26" s="576">
        <v>11607</v>
      </c>
      <c r="G26" s="662">
        <f>GETPIVOTDATA(" HRP2",$B$7,"State","Shan (North)")</f>
        <v>2394</v>
      </c>
      <c r="H26" s="578">
        <f t="shared" ref="H26" si="28">G26/F26</f>
        <v>0.20625484621349185</v>
      </c>
      <c r="I26" s="578">
        <f t="shared" si="20"/>
        <v>0.79374515378650812</v>
      </c>
      <c r="J26" s="579">
        <f t="shared" si="21"/>
        <v>1077.3</v>
      </c>
      <c r="K26" s="576">
        <f t="shared" si="22"/>
        <v>1316.7</v>
      </c>
      <c r="L26" s="576">
        <f t="shared" si="23"/>
        <v>837.9</v>
      </c>
      <c r="M26" s="576">
        <f t="shared" si="24"/>
        <v>957.6</v>
      </c>
      <c r="N26" s="580">
        <f t="shared" si="25"/>
        <v>598.5</v>
      </c>
      <c r="O26" s="580">
        <f t="shared" si="26"/>
        <v>9213</v>
      </c>
    </row>
    <row r="27" spans="3:15" ht="21" customHeight="1">
      <c r="C27" s="900"/>
      <c r="D27" s="575" t="s">
        <v>3274</v>
      </c>
      <c r="E27" s="576">
        <v>9132</v>
      </c>
      <c r="F27" s="576">
        <v>9132</v>
      </c>
      <c r="G27" s="662">
        <f>GETPIVOTDATA(" HRP2",$B$7,"State","Kayin")</f>
        <v>4602</v>
      </c>
      <c r="H27" s="578">
        <f t="shared" ref="H27" si="29">G27/F27</f>
        <v>0.50394218134034163</v>
      </c>
      <c r="I27" s="578">
        <f t="shared" si="20"/>
        <v>0.49605781865965837</v>
      </c>
      <c r="J27" s="579">
        <f t="shared" si="21"/>
        <v>2070.9</v>
      </c>
      <c r="K27" s="576">
        <f t="shared" si="22"/>
        <v>2531.1000000000004</v>
      </c>
      <c r="L27" s="576">
        <f t="shared" si="23"/>
        <v>1610.6999999999998</v>
      </c>
      <c r="M27" s="576">
        <f t="shared" si="24"/>
        <v>1840.8000000000002</v>
      </c>
      <c r="N27" s="580">
        <f t="shared" si="25"/>
        <v>1150.5</v>
      </c>
      <c r="O27" s="580">
        <f t="shared" si="26"/>
        <v>4530</v>
      </c>
    </row>
    <row r="28" spans="3:15" ht="21" customHeight="1">
      <c r="C28" s="900"/>
      <c r="D28" s="575" t="s">
        <v>807</v>
      </c>
      <c r="E28" s="576">
        <v>4279</v>
      </c>
      <c r="F28" s="576">
        <v>1000</v>
      </c>
      <c r="G28" s="662"/>
      <c r="H28" s="578">
        <f t="shared" ref="H28" si="30">G28/F28</f>
        <v>0</v>
      </c>
      <c r="I28" s="578">
        <f t="shared" si="20"/>
        <v>1</v>
      </c>
      <c r="J28" s="579">
        <f t="shared" si="21"/>
        <v>0</v>
      </c>
      <c r="K28" s="576">
        <f t="shared" si="22"/>
        <v>0</v>
      </c>
      <c r="L28" s="576">
        <f t="shared" si="23"/>
        <v>0</v>
      </c>
      <c r="M28" s="576">
        <f t="shared" si="24"/>
        <v>0</v>
      </c>
      <c r="N28" s="580">
        <f t="shared" si="25"/>
        <v>0</v>
      </c>
      <c r="O28" s="580">
        <f t="shared" si="26"/>
        <v>1000</v>
      </c>
    </row>
    <row r="29" spans="3:15">
      <c r="C29" s="901"/>
      <c r="D29" s="592" t="s">
        <v>1893</v>
      </c>
      <c r="E29" s="593">
        <f>SUM(E23:E28)</f>
        <v>626893.2345354252</v>
      </c>
      <c r="F29" s="593">
        <f t="shared" ref="F29:G29" si="31">SUM(F23:F28)</f>
        <v>299964.40000000002</v>
      </c>
      <c r="G29" s="593">
        <f t="shared" si="31"/>
        <v>53689</v>
      </c>
      <c r="H29" s="594">
        <f t="shared" si="0"/>
        <v>0.17898457283597652</v>
      </c>
      <c r="I29" s="594">
        <f t="shared" si="20"/>
        <v>0.82101542716402354</v>
      </c>
      <c r="J29" s="595">
        <f t="shared" si="21"/>
        <v>24160.05</v>
      </c>
      <c r="K29" s="593">
        <f t="shared" si="22"/>
        <v>29528.95</v>
      </c>
      <c r="L29" s="593">
        <f t="shared" si="23"/>
        <v>18791.149999999998</v>
      </c>
      <c r="M29" s="593">
        <f t="shared" si="24"/>
        <v>21475.600000000002</v>
      </c>
      <c r="N29" s="596">
        <f t="shared" si="25"/>
        <v>13422.25</v>
      </c>
      <c r="O29" s="596">
        <f t="shared" si="26"/>
        <v>246275.40000000002</v>
      </c>
    </row>
    <row r="30" spans="3:15">
      <c r="C30" s="905" t="s">
        <v>2491</v>
      </c>
      <c r="D30" s="581" t="s">
        <v>2648</v>
      </c>
      <c r="E30" s="582">
        <v>284447.02999999997</v>
      </c>
      <c r="F30" s="582">
        <v>86458</v>
      </c>
      <c r="G30" s="583">
        <f>GETPIVOTDATA(" HRP3",$M$7,"Reporting Period","2020_Q1")</f>
        <v>41621</v>
      </c>
      <c r="H30" s="584">
        <f t="shared" si="0"/>
        <v>0.48140137407758682</v>
      </c>
      <c r="I30" s="584">
        <f t="shared" si="1"/>
        <v>0.51859862592241313</v>
      </c>
      <c r="J30" s="585">
        <f t="shared" si="2"/>
        <v>18729.45</v>
      </c>
      <c r="K30" s="582">
        <f t="shared" si="3"/>
        <v>22891.550000000003</v>
      </c>
      <c r="L30" s="582">
        <f t="shared" si="4"/>
        <v>14567.349999999999</v>
      </c>
      <c r="M30" s="582">
        <f t="shared" si="5"/>
        <v>16648.400000000001</v>
      </c>
      <c r="N30" s="586">
        <f t="shared" si="6"/>
        <v>10405.25</v>
      </c>
      <c r="O30" s="586">
        <f t="shared" si="7"/>
        <v>44837</v>
      </c>
    </row>
    <row r="31" spans="3:15">
      <c r="C31" s="906"/>
      <c r="D31" s="581" t="s">
        <v>2647</v>
      </c>
      <c r="E31" s="582">
        <v>227920</v>
      </c>
      <c r="F31" s="582">
        <v>176245</v>
      </c>
      <c r="G31" s="583"/>
      <c r="H31" s="584">
        <f t="shared" si="0"/>
        <v>0</v>
      </c>
      <c r="I31" s="584">
        <f t="shared" ref="I31:I43" si="32">1-H31</f>
        <v>1</v>
      </c>
      <c r="J31" s="585">
        <f t="shared" ref="J31:J40" si="33">G31*0.45</f>
        <v>0</v>
      </c>
      <c r="K31" s="582">
        <f t="shared" ref="K31:K40" si="34">G31*0.55</f>
        <v>0</v>
      </c>
      <c r="L31" s="582">
        <f t="shared" ref="L31:L40" si="35">G31*0.35</f>
        <v>0</v>
      </c>
      <c r="M31" s="582">
        <f t="shared" ref="M31:M40" si="36">G31*0.4</f>
        <v>0</v>
      </c>
      <c r="N31" s="586">
        <f t="shared" ref="N31:N40" si="37">G31*0.25</f>
        <v>0</v>
      </c>
      <c r="O31" s="586">
        <f t="shared" ref="O31:O40" si="38">F31-G31</f>
        <v>176245</v>
      </c>
    </row>
    <row r="32" spans="3:15">
      <c r="C32" s="906"/>
      <c r="D32" s="581" t="s">
        <v>36</v>
      </c>
      <c r="E32" s="582">
        <v>53281.579802514039</v>
      </c>
      <c r="F32" s="582">
        <v>15522.400000000009</v>
      </c>
      <c r="G32" s="663">
        <f>GETPIVOTDATA(" HRP3",$B$7,"State","Kachin")</f>
        <v>331</v>
      </c>
      <c r="H32" s="584">
        <f t="shared" ref="H32" si="39">G32/F32</f>
        <v>2.132402205844456E-2</v>
      </c>
      <c r="I32" s="584">
        <f t="shared" ref="I32" si="40">1-H32</f>
        <v>0.97867597794155547</v>
      </c>
      <c r="J32" s="585">
        <f t="shared" ref="J32" si="41">G32*0.45</f>
        <v>148.95000000000002</v>
      </c>
      <c r="K32" s="582">
        <f t="shared" ref="K32" si="42">G32*0.55</f>
        <v>182.05</v>
      </c>
      <c r="L32" s="582">
        <f t="shared" ref="L32" si="43">G32*0.35</f>
        <v>115.85</v>
      </c>
      <c r="M32" s="582">
        <f t="shared" ref="M32" si="44">G32*0.4</f>
        <v>132.4</v>
      </c>
      <c r="N32" s="586">
        <f t="shared" ref="N32" si="45">G32*0.25</f>
        <v>82.75</v>
      </c>
      <c r="O32" s="586">
        <f t="shared" ref="O32" si="46">F32-G32</f>
        <v>15191.400000000009</v>
      </c>
    </row>
    <row r="33" spans="1:18">
      <c r="C33" s="906"/>
      <c r="D33" s="581" t="s">
        <v>698</v>
      </c>
      <c r="E33" s="582">
        <v>47833.624732911274</v>
      </c>
      <c r="F33" s="582">
        <v>11607</v>
      </c>
      <c r="G33" s="663">
        <f>GETPIVOTDATA(" HRP3",$B$7,"State","Shan (North)")</f>
        <v>1044</v>
      </c>
      <c r="H33" s="584">
        <f t="shared" ref="H33" si="47">G33/F33</f>
        <v>8.9945722408891191E-2</v>
      </c>
      <c r="I33" s="584">
        <f t="shared" ref="I33" si="48">1-H33</f>
        <v>0.9100542775911088</v>
      </c>
      <c r="J33" s="585">
        <f t="shared" si="33"/>
        <v>469.8</v>
      </c>
      <c r="K33" s="582">
        <f t="shared" si="34"/>
        <v>574.20000000000005</v>
      </c>
      <c r="L33" s="582">
        <f t="shared" si="35"/>
        <v>365.4</v>
      </c>
      <c r="M33" s="582">
        <f t="shared" si="36"/>
        <v>417.6</v>
      </c>
      <c r="N33" s="586">
        <f t="shared" si="37"/>
        <v>261</v>
      </c>
      <c r="O33" s="586">
        <f t="shared" si="38"/>
        <v>10563</v>
      </c>
    </row>
    <row r="34" spans="1:18">
      <c r="C34" s="906"/>
      <c r="D34" s="581" t="s">
        <v>3274</v>
      </c>
      <c r="E34" s="582">
        <v>9132</v>
      </c>
      <c r="F34" s="582">
        <v>9132</v>
      </c>
      <c r="G34" s="663">
        <f>GETPIVOTDATA(" HRP3",$B$7,"State","Kayin")</f>
        <v>0</v>
      </c>
      <c r="H34" s="584">
        <f t="shared" ref="H34" si="49">G34/F34</f>
        <v>0</v>
      </c>
      <c r="I34" s="584">
        <f t="shared" ref="I34" si="50">1-H34</f>
        <v>1</v>
      </c>
      <c r="J34" s="585">
        <f t="shared" ref="J34" si="51">G34*0.45</f>
        <v>0</v>
      </c>
      <c r="K34" s="582">
        <f t="shared" ref="K34" si="52">G34*0.55</f>
        <v>0</v>
      </c>
      <c r="L34" s="582">
        <f t="shared" ref="L34" si="53">G34*0.35</f>
        <v>0</v>
      </c>
      <c r="M34" s="582">
        <f t="shared" ref="M34" si="54">G34*0.4</f>
        <v>0</v>
      </c>
      <c r="N34" s="586">
        <f t="shared" ref="N34" si="55">G34*0.25</f>
        <v>0</v>
      </c>
      <c r="O34" s="586">
        <f t="shared" ref="O34" si="56">F34-G34</f>
        <v>9132</v>
      </c>
    </row>
    <row r="35" spans="1:18">
      <c r="C35" s="906"/>
      <c r="D35" s="581" t="s">
        <v>807</v>
      </c>
      <c r="E35" s="582">
        <v>4279</v>
      </c>
      <c r="F35" s="582">
        <v>1000</v>
      </c>
      <c r="G35" s="663"/>
      <c r="H35" s="584">
        <f t="shared" ref="H35" si="57">G35/F35</f>
        <v>0</v>
      </c>
      <c r="I35" s="584">
        <f t="shared" ref="I35" si="58">1-H35</f>
        <v>1</v>
      </c>
      <c r="J35" s="585">
        <f t="shared" ref="J35" si="59">G35*0.45</f>
        <v>0</v>
      </c>
      <c r="K35" s="582">
        <f t="shared" ref="K35" si="60">G35*0.55</f>
        <v>0</v>
      </c>
      <c r="L35" s="582">
        <f t="shared" ref="L35" si="61">G35*0.35</f>
        <v>0</v>
      </c>
      <c r="M35" s="582">
        <f t="shared" ref="M35" si="62">G35*0.4</f>
        <v>0</v>
      </c>
      <c r="N35" s="586">
        <f t="shared" ref="N35" si="63">G35*0.25</f>
        <v>0</v>
      </c>
      <c r="O35" s="586">
        <f t="shared" ref="O35" si="64">F35-G35</f>
        <v>1000</v>
      </c>
    </row>
    <row r="36" spans="1:18">
      <c r="C36" s="907"/>
      <c r="D36" s="597" t="s">
        <v>1893</v>
      </c>
      <c r="E36" s="600">
        <f>SUM(E30:E33)</f>
        <v>613482.2345354252</v>
      </c>
      <c r="F36" s="600">
        <f>SUM(F30:F33)</f>
        <v>289832.40000000002</v>
      </c>
      <c r="G36" s="600">
        <f>SUM(G30:G33)</f>
        <v>42996</v>
      </c>
      <c r="H36" s="598">
        <f t="shared" si="0"/>
        <v>0.14834780376521051</v>
      </c>
      <c r="I36" s="598">
        <f t="shared" si="32"/>
        <v>0.85165219623478949</v>
      </c>
      <c r="J36" s="599">
        <f t="shared" si="33"/>
        <v>19348.2</v>
      </c>
      <c r="K36" s="600">
        <f t="shared" si="34"/>
        <v>23647.800000000003</v>
      </c>
      <c r="L36" s="600">
        <f t="shared" si="35"/>
        <v>15048.599999999999</v>
      </c>
      <c r="M36" s="600">
        <f t="shared" si="36"/>
        <v>17198.400000000001</v>
      </c>
      <c r="N36" s="601">
        <f t="shared" si="37"/>
        <v>10749</v>
      </c>
      <c r="O36" s="601">
        <f t="shared" si="38"/>
        <v>246836.40000000002</v>
      </c>
    </row>
    <row r="37" spans="1:18" ht="31.5" customHeight="1">
      <c r="B37" s="896" t="s">
        <v>2908</v>
      </c>
      <c r="C37" s="908" t="s">
        <v>2650</v>
      </c>
      <c r="D37" s="587" t="s">
        <v>2648</v>
      </c>
      <c r="E37" s="605">
        <v>284447.02999999997</v>
      </c>
      <c r="F37" s="605">
        <v>86458</v>
      </c>
      <c r="G37" s="589">
        <f>GETPIVOTDATA(" # People received regular supply of hygiene items",$B$7,"State","Central Rakhine")</f>
        <v>26321</v>
      </c>
      <c r="H37" s="590">
        <f t="shared" si="0"/>
        <v>0.30443683638298363</v>
      </c>
      <c r="I37" s="590">
        <f t="shared" si="32"/>
        <v>0.69556316361701631</v>
      </c>
      <c r="J37" s="591">
        <f t="shared" si="33"/>
        <v>11844.45</v>
      </c>
      <c r="K37" s="588">
        <f t="shared" si="34"/>
        <v>14476.550000000001</v>
      </c>
      <c r="L37" s="588">
        <f t="shared" si="35"/>
        <v>9212.3499999999985</v>
      </c>
      <c r="M37" s="588">
        <f t="shared" si="36"/>
        <v>10528.400000000001</v>
      </c>
      <c r="N37" s="589">
        <f t="shared" si="37"/>
        <v>6580.25</v>
      </c>
      <c r="O37" s="589">
        <f t="shared" si="38"/>
        <v>60137</v>
      </c>
    </row>
    <row r="38" spans="1:18" ht="31.5" customHeight="1">
      <c r="B38" s="896"/>
      <c r="C38" s="909"/>
      <c r="D38" s="587" t="s">
        <v>2647</v>
      </c>
      <c r="E38" s="605">
        <v>227920</v>
      </c>
      <c r="F38" s="605">
        <v>176245</v>
      </c>
      <c r="G38" s="589"/>
      <c r="H38" s="590">
        <f t="shared" ref="H38" si="65">G38/F38</f>
        <v>0</v>
      </c>
      <c r="I38" s="590">
        <f t="shared" ref="I38" si="66">1-H38</f>
        <v>1</v>
      </c>
      <c r="J38" s="591">
        <f t="shared" ref="J38" si="67">G38*0.45</f>
        <v>0</v>
      </c>
      <c r="K38" s="588">
        <f t="shared" ref="K38" si="68">G38*0.55</f>
        <v>0</v>
      </c>
      <c r="L38" s="588">
        <f t="shared" ref="L38" si="69">G38*0.35</f>
        <v>0</v>
      </c>
      <c r="M38" s="588">
        <f t="shared" ref="M38" si="70">G38*0.4</f>
        <v>0</v>
      </c>
      <c r="N38" s="589">
        <f t="shared" ref="N38" si="71">G38*0.25</f>
        <v>0</v>
      </c>
      <c r="O38" s="589">
        <f t="shared" ref="O38" si="72">F38-G38</f>
        <v>176245</v>
      </c>
    </row>
    <row r="39" spans="1:18">
      <c r="B39" s="896"/>
      <c r="C39" s="909"/>
      <c r="D39" s="587" t="s">
        <v>36</v>
      </c>
      <c r="E39" s="605">
        <v>53281.579802514039</v>
      </c>
      <c r="F39" s="605">
        <v>15522.400000000009</v>
      </c>
      <c r="G39" s="589">
        <f>GETPIVOTDATA(" # People received regular supply of hygiene items",$B$7,"State","Kachin")</f>
        <v>0</v>
      </c>
      <c r="H39" s="590">
        <f t="shared" si="0"/>
        <v>0</v>
      </c>
      <c r="I39" s="590">
        <f t="shared" si="32"/>
        <v>1</v>
      </c>
      <c r="J39" s="591">
        <f t="shared" si="33"/>
        <v>0</v>
      </c>
      <c r="K39" s="588">
        <f t="shared" si="34"/>
        <v>0</v>
      </c>
      <c r="L39" s="588">
        <f t="shared" si="35"/>
        <v>0</v>
      </c>
      <c r="M39" s="588">
        <f t="shared" si="36"/>
        <v>0</v>
      </c>
      <c r="N39" s="589">
        <f t="shared" si="37"/>
        <v>0</v>
      </c>
      <c r="O39" s="589">
        <f t="shared" si="38"/>
        <v>15522.400000000009</v>
      </c>
    </row>
    <row r="40" spans="1:18">
      <c r="B40" s="896"/>
      <c r="C40" s="909"/>
      <c r="D40" s="587" t="s">
        <v>698</v>
      </c>
      <c r="E40" s="605">
        <v>47833.624732911274</v>
      </c>
      <c r="F40" s="605">
        <v>11607</v>
      </c>
      <c r="G40" s="589">
        <f>GETPIVOTDATA(" # People received regular supply of hygiene items",$B$7,"State","Shan (North)")</f>
        <v>1044</v>
      </c>
      <c r="H40" s="590">
        <f t="shared" ref="H40" si="73">G40/F40</f>
        <v>8.9945722408891191E-2</v>
      </c>
      <c r="I40" s="590">
        <f t="shared" ref="I40" si="74">1-H40</f>
        <v>0.9100542775911088</v>
      </c>
      <c r="J40" s="591">
        <f t="shared" si="33"/>
        <v>469.8</v>
      </c>
      <c r="K40" s="588">
        <f t="shared" si="34"/>
        <v>574.20000000000005</v>
      </c>
      <c r="L40" s="588">
        <f t="shared" si="35"/>
        <v>365.4</v>
      </c>
      <c r="M40" s="588">
        <f t="shared" si="36"/>
        <v>417.6</v>
      </c>
      <c r="N40" s="589">
        <f t="shared" si="37"/>
        <v>261</v>
      </c>
      <c r="O40" s="589">
        <f t="shared" si="38"/>
        <v>10563</v>
      </c>
    </row>
    <row r="41" spans="1:18">
      <c r="B41" s="896"/>
      <c r="C41" s="909"/>
      <c r="D41" s="587" t="s">
        <v>3274</v>
      </c>
      <c r="E41" s="605">
        <v>9132</v>
      </c>
      <c r="F41" s="605">
        <v>9132</v>
      </c>
      <c r="G41" s="589">
        <f>GETPIVOTDATA(" # People received regular supply of hygiene items",$B$7,"State","Kayin")</f>
        <v>0</v>
      </c>
      <c r="H41" s="590">
        <f t="shared" ref="H41:H42" si="75">G41/F41</f>
        <v>0</v>
      </c>
      <c r="I41" s="590">
        <f t="shared" ref="I41:I42" si="76">1-H41</f>
        <v>1</v>
      </c>
      <c r="J41" s="591">
        <f t="shared" ref="J41:J42" si="77">G41*0.45</f>
        <v>0</v>
      </c>
      <c r="K41" s="588">
        <f t="shared" ref="K41:K42" si="78">G41*0.55</f>
        <v>0</v>
      </c>
      <c r="L41" s="588">
        <f t="shared" ref="L41:L42" si="79">G41*0.35</f>
        <v>0</v>
      </c>
      <c r="M41" s="588">
        <f t="shared" ref="M41:M42" si="80">G41*0.4</f>
        <v>0</v>
      </c>
      <c r="N41" s="589">
        <f t="shared" ref="N41:N42" si="81">G41*0.25</f>
        <v>0</v>
      </c>
      <c r="O41" s="589">
        <f t="shared" ref="O41:O42" si="82">F41-G41</f>
        <v>9132</v>
      </c>
    </row>
    <row r="42" spans="1:18">
      <c r="B42" s="896"/>
      <c r="C42" s="909"/>
      <c r="D42" s="664" t="s">
        <v>807</v>
      </c>
      <c r="E42" s="665">
        <v>4279</v>
      </c>
      <c r="F42" s="665">
        <v>1000</v>
      </c>
      <c r="G42" s="666"/>
      <c r="H42" s="590">
        <f t="shared" si="75"/>
        <v>0</v>
      </c>
      <c r="I42" s="590">
        <f t="shared" si="76"/>
        <v>1</v>
      </c>
      <c r="J42" s="591">
        <f t="shared" si="77"/>
        <v>0</v>
      </c>
      <c r="K42" s="588">
        <f t="shared" si="78"/>
        <v>0</v>
      </c>
      <c r="L42" s="588">
        <f t="shared" si="79"/>
        <v>0</v>
      </c>
      <c r="M42" s="588">
        <f t="shared" si="80"/>
        <v>0</v>
      </c>
      <c r="N42" s="589">
        <f t="shared" si="81"/>
        <v>0</v>
      </c>
      <c r="O42" s="589">
        <f t="shared" si="82"/>
        <v>1000</v>
      </c>
    </row>
    <row r="43" spans="1:18">
      <c r="B43" s="896"/>
      <c r="C43" s="910"/>
      <c r="D43" s="602" t="s">
        <v>1893</v>
      </c>
      <c r="E43" s="603">
        <f>SUM(E37:E40)</f>
        <v>613482.2345354252</v>
      </c>
      <c r="F43" s="603">
        <f>SUM(F37:F40)</f>
        <v>289832.40000000002</v>
      </c>
      <c r="G43" s="603">
        <f>SUM(G37:G40)</f>
        <v>27365</v>
      </c>
      <c r="H43" s="604">
        <f>G43/F43</f>
        <v>9.441663526921075E-2</v>
      </c>
      <c r="I43" s="604">
        <f t="shared" si="32"/>
        <v>0.90558336473078926</v>
      </c>
      <c r="J43" s="603"/>
      <c r="K43" s="603"/>
      <c r="L43" s="603"/>
      <c r="M43" s="603"/>
      <c r="N43" s="603"/>
      <c r="O43" s="603"/>
    </row>
    <row r="44" spans="1:18">
      <c r="G44" s="60"/>
    </row>
    <row r="45" spans="1:18">
      <c r="G45" s="60"/>
    </row>
    <row r="47" spans="1:18">
      <c r="A47" s="73"/>
      <c r="B47" s="73"/>
      <c r="C47" s="73"/>
      <c r="D47" s="74"/>
      <c r="E47" s="74"/>
      <c r="F47" s="74"/>
      <c r="G47" s="74"/>
      <c r="H47" s="74"/>
      <c r="I47" s="74"/>
      <c r="J47" s="74"/>
      <c r="K47" s="74"/>
      <c r="L47" s="74"/>
      <c r="M47" s="74"/>
      <c r="N47" s="74"/>
      <c r="O47" s="74"/>
      <c r="P47" s="74"/>
      <c r="Q47" s="74"/>
      <c r="R47" s="75"/>
    </row>
    <row r="48" spans="1:18" s="146" customFormat="1"/>
    <row r="50" spans="1:60" ht="23.4">
      <c r="A50" s="385" t="s">
        <v>294</v>
      </c>
      <c r="B50" s="383"/>
      <c r="C50" s="383"/>
      <c r="D50" s="383"/>
      <c r="E50" s="383"/>
      <c r="F50" s="383"/>
      <c r="G50" s="383"/>
      <c r="H50" s="383"/>
      <c r="I50" s="383"/>
      <c r="J50" s="383"/>
      <c r="K50" s="383"/>
      <c r="L50" s="383"/>
      <c r="M50" s="383"/>
      <c r="N50" s="383"/>
      <c r="O50" s="383"/>
      <c r="P50" s="383"/>
      <c r="Q50" s="383"/>
      <c r="R50" s="383"/>
      <c r="S50" s="383"/>
      <c r="T50" s="383"/>
      <c r="U50" s="383"/>
      <c r="V50" s="384"/>
      <c r="W50" s="384"/>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row>
    <row r="52" spans="1:60">
      <c r="B52" s="679"/>
      <c r="C52" s="679"/>
    </row>
    <row r="53" spans="1:60">
      <c r="B53" s="679"/>
      <c r="C53" s="679"/>
    </row>
    <row r="54" spans="1:60">
      <c r="B54" s="679"/>
      <c r="C54" s="679"/>
    </row>
    <row r="55" spans="1:60">
      <c r="B55" s="679"/>
      <c r="C55" s="147" t="s">
        <v>1993</v>
      </c>
      <c r="D55" s="382" t="s">
        <v>794</v>
      </c>
    </row>
    <row r="56" spans="1:60">
      <c r="B56" s="470"/>
      <c r="C56" s="85" t="s">
        <v>1640</v>
      </c>
      <c r="D56" s="86" t="s">
        <v>1915</v>
      </c>
      <c r="E56" s="88" t="s">
        <v>1648</v>
      </c>
      <c r="F56" s="88" t="s">
        <v>1649</v>
      </c>
      <c r="AT56" s="419"/>
      <c r="AU56" s="419"/>
      <c r="AV56" s="419"/>
      <c r="AW56" s="419"/>
      <c r="AX56" s="419"/>
      <c r="AY56" s="419"/>
      <c r="AZ56" s="419"/>
      <c r="BA56" s="419"/>
      <c r="BB56" s="419"/>
      <c r="BC56" s="419"/>
      <c r="BD56" s="419"/>
      <c r="BE56" s="419"/>
      <c r="BF56" s="419"/>
      <c r="BG56" s="419"/>
      <c r="BH56" s="419"/>
    </row>
    <row r="57" spans="1:60" ht="62.4">
      <c r="B57"/>
      <c r="C57" s="84" t="s">
        <v>2509</v>
      </c>
      <c r="D57" s="91">
        <v>262703</v>
      </c>
      <c r="E57" s="91">
        <f>G30+G31</f>
        <v>41621</v>
      </c>
      <c r="F57" s="91">
        <f>D57-E57</f>
        <v>221082</v>
      </c>
      <c r="AT57" s="419"/>
      <c r="AU57" s="419"/>
      <c r="AV57" s="419"/>
      <c r="AW57" s="419"/>
      <c r="AX57" s="419"/>
      <c r="AY57" s="419"/>
      <c r="AZ57" s="419"/>
      <c r="BA57" s="419"/>
      <c r="BB57" s="419"/>
      <c r="BC57" s="419"/>
      <c r="BD57" s="419"/>
      <c r="BE57" s="419"/>
      <c r="BF57" s="419"/>
      <c r="BG57" s="419"/>
      <c r="BH57" s="419"/>
    </row>
    <row r="58" spans="1:60" ht="46.8">
      <c r="B58"/>
      <c r="C58" s="83" t="s">
        <v>2510</v>
      </c>
      <c r="D58" s="90">
        <v>262703</v>
      </c>
      <c r="E58" s="90">
        <f>G23+G24</f>
        <v>45023</v>
      </c>
      <c r="F58" s="90">
        <f>D58-E58</f>
        <v>217680</v>
      </c>
    </row>
    <row r="59" spans="1:60" ht="46.8">
      <c r="B59"/>
      <c r="C59" s="87" t="s">
        <v>2511</v>
      </c>
      <c r="D59" s="89">
        <v>262703</v>
      </c>
      <c r="E59" s="89">
        <f>G16</f>
        <v>113604</v>
      </c>
      <c r="F59" s="89">
        <f>D59-E59</f>
        <v>149099</v>
      </c>
    </row>
    <row r="60" spans="1:60">
      <c r="X60" s="60"/>
    </row>
    <row r="62" spans="1:60">
      <c r="C62"/>
      <c r="D62"/>
      <c r="V62"/>
      <c r="W62"/>
    </row>
    <row r="63" spans="1:60">
      <c r="C63"/>
      <c r="D63"/>
    </row>
    <row r="70" spans="3:4">
      <c r="C70"/>
      <c r="D70"/>
    </row>
    <row r="71" spans="3:4">
      <c r="C71"/>
      <c r="D71"/>
    </row>
    <row r="72" spans="3:4">
      <c r="C72"/>
      <c r="D72"/>
    </row>
    <row r="73" spans="3:4">
      <c r="C73"/>
      <c r="D73"/>
    </row>
  </sheetData>
  <mergeCells count="6">
    <mergeCell ref="B37:B43"/>
    <mergeCell ref="L14:N14"/>
    <mergeCell ref="C23:C29"/>
    <mergeCell ref="C16:C22"/>
    <mergeCell ref="C30:C36"/>
    <mergeCell ref="C37:C43"/>
  </mergeCell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76"/>
  <sheetViews>
    <sheetView showGridLines="0" topLeftCell="A244" zoomScale="85" zoomScaleNormal="85" workbookViewId="0">
      <selection activeCell="L215" sqref="L215"/>
    </sheetView>
  </sheetViews>
  <sheetFormatPr defaultColWidth="9" defaultRowHeight="14.4"/>
  <cols>
    <col min="1" max="1" width="9.59765625" style="114" customWidth="1"/>
    <col min="2" max="2" width="17.5" style="114" customWidth="1"/>
    <col min="3" max="3" width="17.19921875" style="114" customWidth="1"/>
    <col min="4" max="4" width="17.69921875" style="114" customWidth="1"/>
    <col min="5" max="5" width="30.59765625" style="114" bestFit="1" customWidth="1"/>
    <col min="6" max="6" width="17.19921875" style="114" customWidth="1"/>
    <col min="7" max="7" width="12.5" style="114" customWidth="1"/>
    <col min="8" max="8" width="14.5" style="114" customWidth="1"/>
    <col min="9" max="9" width="17.19921875" style="114" customWidth="1"/>
    <col min="10" max="10" width="17.69921875" style="114" customWidth="1"/>
    <col min="11" max="11" width="17.19921875" style="114" customWidth="1"/>
    <col min="12" max="12" width="9.59765625" style="114" customWidth="1"/>
    <col min="13" max="13" width="12.69921875" style="114" customWidth="1"/>
    <col min="14" max="14" width="11.19921875" style="114" customWidth="1"/>
    <col min="15" max="15" width="13.19921875" style="114" customWidth="1"/>
    <col min="16" max="16" width="15.59765625" style="114" customWidth="1"/>
    <col min="17" max="17" width="19.19921875" style="114" bestFit="1" customWidth="1"/>
    <col min="18" max="18" width="18.5" style="114" customWidth="1"/>
    <col min="19" max="19" width="13.09765625" style="114" customWidth="1"/>
    <col min="20" max="20" width="15.19921875" style="114" customWidth="1"/>
    <col min="21" max="21" width="12.09765625" style="114" customWidth="1"/>
    <col min="22" max="22" width="14.19921875" style="114" customWidth="1"/>
    <col min="23" max="23" width="14.69921875" style="114" customWidth="1"/>
    <col min="24" max="24" width="13.69921875" style="114" customWidth="1"/>
    <col min="25" max="26" width="9.59765625" style="114" customWidth="1"/>
    <col min="27" max="16384" width="9" style="114"/>
  </cols>
  <sheetData>
    <row r="1" spans="1:26" s="104" customFormat="1"/>
    <row r="2" spans="1:26" s="127" customFormat="1" ht="18">
      <c r="A2" s="103" t="s">
        <v>1973</v>
      </c>
      <c r="B2" s="103"/>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6" s="104" customFormat="1" ht="15.6">
      <c r="C3" s="105"/>
      <c r="H3" s="470"/>
      <c r="I3" s="470"/>
      <c r="J3" s="470"/>
      <c r="K3" s="470"/>
      <c r="L3" s="470"/>
      <c r="M3" s="470"/>
      <c r="R3" s="105"/>
    </row>
    <row r="4" spans="1:26" s="104" customFormat="1" ht="15.6">
      <c r="B4" s="801" t="s">
        <v>18</v>
      </c>
      <c r="C4" s="802" t="s">
        <v>3199</v>
      </c>
      <c r="G4" s="108"/>
      <c r="H4" s="470"/>
      <c r="I4" s="801" t="s">
        <v>18</v>
      </c>
      <c r="J4" s="802" t="s">
        <v>3199</v>
      </c>
      <c r="P4" s="801" t="s">
        <v>18</v>
      </c>
      <c r="Q4" s="802" t="s">
        <v>3199</v>
      </c>
      <c r="V4" s="470"/>
      <c r="W4" s="470"/>
      <c r="X4" s="470"/>
      <c r="Y4" s="470"/>
      <c r="Z4" s="470"/>
    </row>
    <row r="5" spans="1:26" s="104" customFormat="1" ht="15.6">
      <c r="B5" s="801" t="s">
        <v>32</v>
      </c>
      <c r="C5" s="802" t="s">
        <v>32</v>
      </c>
      <c r="G5" s="470"/>
      <c r="H5" s="470"/>
      <c r="I5" s="801" t="s">
        <v>32</v>
      </c>
      <c r="J5" s="802" t="s">
        <v>32</v>
      </c>
      <c r="P5" s="801" t="s">
        <v>32</v>
      </c>
      <c r="Q5" s="802" t="s">
        <v>32</v>
      </c>
      <c r="V5" s="470"/>
      <c r="W5" s="470"/>
      <c r="X5" s="470"/>
      <c r="Y5" s="470"/>
      <c r="Z5" s="470"/>
    </row>
    <row r="6" spans="1:26" s="104" customFormat="1" ht="15.6">
      <c r="B6" s="808" t="s">
        <v>19</v>
      </c>
      <c r="C6" s="802" t="s">
        <v>2648</v>
      </c>
      <c r="G6" s="470"/>
      <c r="H6" s="470"/>
      <c r="I6" s="808" t="s">
        <v>19</v>
      </c>
      <c r="J6" s="802" t="s">
        <v>698</v>
      </c>
      <c r="P6" s="808" t="s">
        <v>19</v>
      </c>
      <c r="Q6" s="802" t="s">
        <v>36</v>
      </c>
      <c r="V6" s="470"/>
      <c r="W6" s="470"/>
      <c r="X6" s="470"/>
      <c r="Y6" s="470"/>
      <c r="Z6" s="470"/>
    </row>
    <row r="7" spans="1:26" s="104" customFormat="1" ht="15.6">
      <c r="B7" s="801" t="s">
        <v>124</v>
      </c>
      <c r="C7" s="802" t="s">
        <v>794</v>
      </c>
      <c r="G7" s="470"/>
      <c r="H7" s="470"/>
      <c r="I7" s="801" t="s">
        <v>124</v>
      </c>
      <c r="J7" s="802" t="s">
        <v>794</v>
      </c>
      <c r="P7" s="801" t="s">
        <v>124</v>
      </c>
      <c r="Q7" s="802" t="s">
        <v>794</v>
      </c>
      <c r="Z7" s="470"/>
    </row>
    <row r="8" spans="1:26" s="104" customFormat="1" ht="15.6">
      <c r="D8" s="142" t="s">
        <v>794</v>
      </c>
      <c r="G8" s="470"/>
      <c r="H8" s="470"/>
      <c r="K8" s="142" t="s">
        <v>794</v>
      </c>
      <c r="R8" s="142" t="s">
        <v>794</v>
      </c>
      <c r="Z8" s="470"/>
    </row>
    <row r="9" spans="1:26" s="109" customFormat="1" ht="15.6">
      <c r="B9" s="803" t="s">
        <v>20</v>
      </c>
      <c r="C9" s="804" t="s">
        <v>1890</v>
      </c>
      <c r="D9" s="807" t="s">
        <v>3218</v>
      </c>
      <c r="E9" s="807" t="s">
        <v>3219</v>
      </c>
      <c r="F9" s="807" t="s">
        <v>3220</v>
      </c>
      <c r="G9" s="470"/>
      <c r="H9" s="470"/>
      <c r="I9" s="803" t="s">
        <v>20</v>
      </c>
      <c r="J9" s="801" t="s">
        <v>2295</v>
      </c>
      <c r="K9" s="804" t="s">
        <v>1890</v>
      </c>
      <c r="L9" s="802" t="s">
        <v>2775</v>
      </c>
      <c r="M9" s="802" t="s">
        <v>2776</v>
      </c>
      <c r="N9" s="802" t="s">
        <v>2777</v>
      </c>
      <c r="O9" s="424"/>
      <c r="P9" s="803" t="s">
        <v>20</v>
      </c>
      <c r="Q9" s="801" t="s">
        <v>2295</v>
      </c>
      <c r="R9" s="804" t="s">
        <v>1890</v>
      </c>
      <c r="S9" s="802" t="s">
        <v>2775</v>
      </c>
      <c r="T9" s="802" t="s">
        <v>2776</v>
      </c>
      <c r="U9" s="802" t="s">
        <v>2777</v>
      </c>
      <c r="V9" s="104"/>
      <c r="W9" s="104"/>
      <c r="X9" s="104"/>
      <c r="Y9" s="104"/>
      <c r="Z9" s="470"/>
    </row>
    <row r="10" spans="1:26" s="109" customFormat="1" ht="15.6">
      <c r="B10" s="805" t="s">
        <v>302</v>
      </c>
      <c r="C10" s="806">
        <v>10093</v>
      </c>
      <c r="D10" s="807">
        <v>0.737441791340533</v>
      </c>
      <c r="E10" s="807">
        <v>0.42851481224611115</v>
      </c>
      <c r="F10" s="807">
        <v>0</v>
      </c>
      <c r="G10" s="470"/>
      <c r="H10" s="470"/>
      <c r="I10" s="802" t="s">
        <v>717</v>
      </c>
      <c r="J10" s="802" t="s">
        <v>3232</v>
      </c>
      <c r="K10" s="806">
        <v>413</v>
      </c>
      <c r="L10" s="807">
        <v>0.58837772397094423</v>
      </c>
      <c r="M10" s="807">
        <v>0.22518159806295401</v>
      </c>
      <c r="N10" s="807">
        <v>0.44794188861985473</v>
      </c>
      <c r="P10" s="802" t="s">
        <v>771</v>
      </c>
      <c r="Q10" s="802" t="s">
        <v>3232</v>
      </c>
      <c r="R10" s="806">
        <v>3741</v>
      </c>
      <c r="S10" s="807">
        <v>1</v>
      </c>
      <c r="T10" s="807">
        <v>1</v>
      </c>
      <c r="U10" s="807">
        <v>1</v>
      </c>
      <c r="V10" s="104"/>
      <c r="W10" s="104"/>
      <c r="X10" s="104"/>
      <c r="Y10" s="104"/>
      <c r="Z10" s="470"/>
    </row>
    <row r="11" spans="1:26" s="104" customFormat="1" ht="15.6">
      <c r="B11" s="805" t="s">
        <v>312</v>
      </c>
      <c r="C11" s="806">
        <v>24963</v>
      </c>
      <c r="D11" s="807">
        <v>1</v>
      </c>
      <c r="E11" s="807">
        <v>0.51311941673677042</v>
      </c>
      <c r="F11" s="807">
        <v>0</v>
      </c>
      <c r="G11" s="470"/>
      <c r="H11" s="470"/>
      <c r="I11" s="802" t="s">
        <v>1253</v>
      </c>
      <c r="J11" s="802" t="s">
        <v>3232</v>
      </c>
      <c r="K11" s="806">
        <v>1342</v>
      </c>
      <c r="L11" s="807">
        <v>0.80625931445603571</v>
      </c>
      <c r="M11" s="807">
        <v>5.9612518628912037E-2</v>
      </c>
      <c r="N11" s="807">
        <v>0.39195230998509689</v>
      </c>
      <c r="P11" s="802" t="s">
        <v>149</v>
      </c>
      <c r="Q11" s="802" t="s">
        <v>2812</v>
      </c>
      <c r="R11" s="806">
        <v>482</v>
      </c>
      <c r="S11" s="807">
        <v>0</v>
      </c>
      <c r="T11" s="807">
        <v>0.37759336099585061</v>
      </c>
      <c r="U11" s="807">
        <v>0.94398340248962653</v>
      </c>
      <c r="Z11" s="470"/>
    </row>
    <row r="12" spans="1:26" s="104" customFormat="1" ht="15.6">
      <c r="B12" s="805" t="s">
        <v>399</v>
      </c>
      <c r="C12" s="806">
        <v>217</v>
      </c>
      <c r="D12" s="807">
        <v>1</v>
      </c>
      <c r="E12" s="807">
        <v>1</v>
      </c>
      <c r="F12" s="807">
        <v>1</v>
      </c>
      <c r="G12" s="470"/>
      <c r="H12" s="470"/>
      <c r="I12" s="802" t="s">
        <v>1255</v>
      </c>
      <c r="J12" s="802" t="s">
        <v>2994</v>
      </c>
      <c r="K12" s="806">
        <v>4171</v>
      </c>
      <c r="L12" s="807">
        <v>0.37089426995924235</v>
      </c>
      <c r="M12" s="807">
        <v>0.80532246463677781</v>
      </c>
      <c r="N12" s="807">
        <v>1</v>
      </c>
      <c r="P12" s="802" t="s">
        <v>174</v>
      </c>
      <c r="Q12" s="802" t="s">
        <v>3232</v>
      </c>
      <c r="R12" s="806">
        <v>2306</v>
      </c>
      <c r="S12" s="807">
        <v>1</v>
      </c>
      <c r="T12" s="807">
        <v>1</v>
      </c>
      <c r="U12" s="807">
        <v>1</v>
      </c>
      <c r="Z12" s="470"/>
    </row>
    <row r="13" spans="1:26" s="104" customFormat="1" ht="15.6">
      <c r="B13" s="805" t="s">
        <v>402</v>
      </c>
      <c r="C13" s="806">
        <v>15380</v>
      </c>
      <c r="D13" s="807">
        <v>1</v>
      </c>
      <c r="E13" s="807">
        <v>0.12483745123537061</v>
      </c>
      <c r="F13" s="807">
        <v>0.27932379713914174</v>
      </c>
      <c r="G13"/>
      <c r="H13" s="470"/>
      <c r="I13" s="802" t="s">
        <v>1639</v>
      </c>
      <c r="J13" s="802"/>
      <c r="K13" s="806">
        <v>5926</v>
      </c>
      <c r="L13" s="807">
        <v>0.48464394195072558</v>
      </c>
      <c r="M13" s="807">
        <v>0.59601754978062771</v>
      </c>
      <c r="N13" s="807">
        <v>0.82382720215997296</v>
      </c>
      <c r="O13"/>
      <c r="P13" s="802" t="s">
        <v>132</v>
      </c>
      <c r="Q13" s="802" t="s">
        <v>2812</v>
      </c>
      <c r="R13" s="806">
        <v>5042</v>
      </c>
      <c r="S13" s="807">
        <v>0.5196350654502182</v>
      </c>
      <c r="T13" s="807">
        <v>0.72828242760809203</v>
      </c>
      <c r="U13" s="807">
        <v>0.93970646568821892</v>
      </c>
      <c r="Z13" s="470"/>
    </row>
    <row r="14" spans="1:26" s="104" customFormat="1" ht="15.6">
      <c r="B14" s="805" t="s">
        <v>295</v>
      </c>
      <c r="C14" s="806">
        <v>90368</v>
      </c>
      <c r="D14" s="807">
        <v>0.70496193342776203</v>
      </c>
      <c r="E14" s="807">
        <v>0.28496813031161472</v>
      </c>
      <c r="F14" s="807">
        <v>0.28558781869688388</v>
      </c>
      <c r="G14"/>
      <c r="H14" s="470"/>
      <c r="I14"/>
      <c r="J14"/>
      <c r="K14"/>
      <c r="L14"/>
      <c r="M14"/>
      <c r="N14"/>
      <c r="O14"/>
      <c r="P14" s="802" t="s">
        <v>1639</v>
      </c>
      <c r="Q14" s="802"/>
      <c r="R14" s="806">
        <v>11571</v>
      </c>
      <c r="S14" s="807">
        <v>0.74902774176821363</v>
      </c>
      <c r="T14" s="807">
        <v>0.85567366692593549</v>
      </c>
      <c r="U14" s="807">
        <v>0.97139400224699679</v>
      </c>
      <c r="Z14" s="470"/>
    </row>
    <row r="15" spans="1:26" s="104" customFormat="1" ht="15.6">
      <c r="B15" s="805" t="s">
        <v>1639</v>
      </c>
      <c r="C15" s="806">
        <v>141021</v>
      </c>
      <c r="D15" s="807">
        <v>0.79214443238950227</v>
      </c>
      <c r="E15" s="807">
        <v>0.31926450670467521</v>
      </c>
      <c r="F15" s="807">
        <v>0.21501053034654413</v>
      </c>
      <c r="G15"/>
      <c r="H15" s="470"/>
      <c r="I15"/>
      <c r="J15"/>
      <c r="K15"/>
      <c r="L15"/>
      <c r="M15"/>
      <c r="N15"/>
      <c r="O15"/>
      <c r="P15"/>
      <c r="Z15" s="470"/>
    </row>
    <row r="16" spans="1:26" s="104" customFormat="1" ht="15.6">
      <c r="B16"/>
      <c r="C16"/>
      <c r="D16"/>
      <c r="E16"/>
      <c r="F16"/>
      <c r="G16"/>
      <c r="H16"/>
      <c r="I16"/>
      <c r="J16"/>
      <c r="K16"/>
      <c r="L16"/>
      <c r="M16"/>
      <c r="N16"/>
      <c r="O16"/>
      <c r="P16"/>
      <c r="Z16"/>
    </row>
    <row r="17" spans="1:26" s="104" customFormat="1" ht="15.6">
      <c r="B17"/>
      <c r="C17"/>
      <c r="D17"/>
      <c r="E17"/>
      <c r="F17"/>
      <c r="G17"/>
      <c r="H17"/>
      <c r="I17"/>
      <c r="J17"/>
      <c r="K17"/>
      <c r="L17"/>
      <c r="M17"/>
      <c r="N17"/>
      <c r="O17"/>
      <c r="P17"/>
      <c r="Z17"/>
    </row>
    <row r="18" spans="1:26" s="104" customFormat="1" ht="15.6">
      <c r="B18"/>
      <c r="C18"/>
      <c r="D18"/>
      <c r="E18"/>
      <c r="F18"/>
      <c r="G18"/>
      <c r="H18"/>
      <c r="I18"/>
      <c r="J18"/>
      <c r="K18"/>
      <c r="L18"/>
      <c r="M18"/>
      <c r="N18"/>
      <c r="O18"/>
      <c r="P18"/>
    </row>
    <row r="19" spans="1:26" s="104" customFormat="1" ht="15.6">
      <c r="B19"/>
      <c r="C19"/>
      <c r="D19"/>
      <c r="E19"/>
      <c r="F19"/>
      <c r="G19"/>
      <c r="H19"/>
      <c r="I19"/>
      <c r="J19"/>
      <c r="K19"/>
      <c r="L19"/>
      <c r="M19"/>
      <c r="N19"/>
      <c r="O19"/>
      <c r="P19"/>
    </row>
    <row r="20" spans="1:26" s="104" customFormat="1" ht="15.6">
      <c r="B20"/>
      <c r="C20"/>
      <c r="D20"/>
      <c r="E20"/>
      <c r="F20"/>
      <c r="G20"/>
      <c r="H20" s="470"/>
      <c r="I20"/>
      <c r="J20"/>
      <c r="K20"/>
      <c r="L20"/>
      <c r="M20"/>
      <c r="N20"/>
      <c r="P20"/>
      <c r="Z20"/>
    </row>
    <row r="21" spans="1:26" s="104" customFormat="1" ht="15.6">
      <c r="B21" s="470"/>
      <c r="C21" s="470"/>
      <c r="D21" s="470"/>
      <c r="E21" s="470"/>
      <c r="F21" s="470"/>
      <c r="G21" s="470"/>
      <c r="H21" s="470"/>
      <c r="I21" s="470"/>
      <c r="J21" s="470"/>
      <c r="K21" s="470"/>
      <c r="L21" s="470"/>
      <c r="M21" s="470"/>
      <c r="N21" s="470"/>
      <c r="P21" s="470"/>
      <c r="Z21" s="470"/>
    </row>
    <row r="22" spans="1:26" s="104" customFormat="1" ht="15.6">
      <c r="B22" s="470"/>
      <c r="C22" s="470"/>
      <c r="D22" s="470"/>
      <c r="E22" s="470"/>
      <c r="F22" s="470"/>
      <c r="G22" s="470"/>
      <c r="H22" s="470"/>
      <c r="I22" s="470"/>
      <c r="J22" s="470"/>
      <c r="K22" s="470"/>
      <c r="L22" s="470"/>
      <c r="M22" s="470"/>
      <c r="N22" s="470"/>
      <c r="P22" s="470"/>
      <c r="Z22" s="470"/>
    </row>
    <row r="23" spans="1:26" s="104" customFormat="1" ht="15.6">
      <c r="B23" s="470"/>
      <c r="C23" s="470"/>
      <c r="D23" s="470"/>
      <c r="E23" s="470"/>
      <c r="F23" s="470"/>
      <c r="G23" s="470"/>
      <c r="H23" s="470"/>
      <c r="I23" s="470"/>
      <c r="J23" s="470"/>
      <c r="K23" s="470"/>
      <c r="L23" s="470"/>
      <c r="M23" s="470"/>
      <c r="N23" s="470"/>
      <c r="P23" s="470"/>
      <c r="Z23" s="470"/>
    </row>
    <row r="24" spans="1:26" s="104" customFormat="1" ht="15.6">
      <c r="B24" s="470"/>
      <c r="C24" s="470"/>
      <c r="D24" s="470"/>
      <c r="E24" s="470"/>
      <c r="F24" s="470"/>
      <c r="G24" s="470"/>
      <c r="H24" s="470"/>
      <c r="I24" s="470"/>
      <c r="J24" s="470"/>
      <c r="K24" s="470"/>
      <c r="L24" s="470"/>
      <c r="M24" s="470"/>
      <c r="N24" s="470"/>
      <c r="P24" s="470"/>
      <c r="Z24" s="470"/>
    </row>
    <row r="25" spans="1:26" s="104" customFormat="1" ht="15.6">
      <c r="B25"/>
      <c r="C25"/>
      <c r="D25"/>
      <c r="E25"/>
      <c r="F25"/>
      <c r="G25"/>
      <c r="H25" s="470"/>
      <c r="I25"/>
      <c r="J25"/>
      <c r="K25"/>
      <c r="L25"/>
      <c r="M25"/>
      <c r="N25"/>
      <c r="Z25"/>
    </row>
    <row r="26" spans="1:26" ht="18">
      <c r="A26" s="466"/>
      <c r="B26" s="467"/>
      <c r="C26" s="467"/>
      <c r="D26" s="467"/>
      <c r="E26" s="467"/>
      <c r="F26" s="467"/>
      <c r="G26" s="467"/>
      <c r="H26" s="468"/>
      <c r="I26"/>
      <c r="J26"/>
      <c r="K26"/>
      <c r="L26"/>
      <c r="M26"/>
      <c r="N26"/>
      <c r="O26" s="467"/>
      <c r="P26" s="467"/>
      <c r="Q26" s="467"/>
      <c r="R26" s="467"/>
      <c r="S26" s="467"/>
      <c r="T26" s="467"/>
      <c r="U26" s="467"/>
      <c r="V26" s="467"/>
      <c r="W26" s="467"/>
      <c r="X26" s="467"/>
      <c r="Y26" s="467"/>
      <c r="Z26" s="467"/>
    </row>
    <row r="27" spans="1:26" s="104" customFormat="1" ht="18">
      <c r="A27" s="137" t="s">
        <v>1982</v>
      </c>
      <c r="B27" s="112"/>
      <c r="C27" s="112"/>
      <c r="D27" s="112"/>
      <c r="E27" s="112"/>
      <c r="F27" s="112"/>
      <c r="G27" s="112"/>
      <c r="H27" s="465"/>
      <c r="I27" s="112"/>
      <c r="J27" s="112"/>
      <c r="K27" s="112"/>
      <c r="L27" s="112"/>
      <c r="M27" s="112"/>
      <c r="N27" s="112"/>
      <c r="O27" s="112"/>
      <c r="P27" s="112"/>
      <c r="Q27" s="112"/>
      <c r="R27" s="112"/>
      <c r="S27" s="112"/>
      <c r="T27" s="112"/>
      <c r="U27" s="112"/>
      <c r="V27" s="112"/>
      <c r="W27" s="112"/>
      <c r="X27" s="112"/>
      <c r="Y27" s="112"/>
      <c r="Z27" s="112"/>
    </row>
    <row r="28" spans="1:26" s="104" customFormat="1" ht="15.6">
      <c r="I28"/>
      <c r="J28"/>
      <c r="K28"/>
      <c r="L28"/>
      <c r="M28"/>
      <c r="N28"/>
    </row>
    <row r="29" spans="1:26" s="104" customFormat="1" ht="15.6">
      <c r="I29"/>
      <c r="J29"/>
      <c r="K29"/>
      <c r="L29"/>
      <c r="M29"/>
      <c r="N29"/>
    </row>
    <row r="30" spans="1:26" s="104" customFormat="1" ht="15.6">
      <c r="I30"/>
      <c r="J30" s="801" t="s">
        <v>18</v>
      </c>
      <c r="K30" s="802" t="s">
        <v>3199</v>
      </c>
      <c r="L30"/>
      <c r="M30"/>
      <c r="N30"/>
    </row>
    <row r="31" spans="1:26" s="104" customFormat="1" ht="15.6">
      <c r="B31" s="801" t="s">
        <v>18</v>
      </c>
      <c r="C31" s="802" t="s">
        <v>3199</v>
      </c>
      <c r="I31"/>
      <c r="J31" s="808" t="s">
        <v>19</v>
      </c>
      <c r="K31" s="802" t="s">
        <v>2648</v>
      </c>
      <c r="L31"/>
      <c r="M31"/>
      <c r="N31"/>
    </row>
    <row r="32" spans="1:26" s="104" customFormat="1" ht="15.6">
      <c r="B32" s="808" t="s">
        <v>19</v>
      </c>
      <c r="C32" s="802" t="s">
        <v>2648</v>
      </c>
      <c r="I32"/>
      <c r="J32" s="801" t="s">
        <v>32</v>
      </c>
      <c r="K32" s="802" t="s">
        <v>32</v>
      </c>
      <c r="L32"/>
      <c r="M32"/>
      <c r="N32"/>
    </row>
    <row r="33" spans="2:18" s="104" customFormat="1" ht="15.6">
      <c r="B33" s="801" t="s">
        <v>32</v>
      </c>
      <c r="C33" s="802" t="s">
        <v>32</v>
      </c>
      <c r="I33"/>
      <c r="L33"/>
      <c r="M33"/>
    </row>
    <row r="34" spans="2:18" s="104" customFormat="1" ht="15.6">
      <c r="I34"/>
      <c r="J34" s="801" t="s">
        <v>1888</v>
      </c>
      <c r="K34" s="802"/>
      <c r="L34"/>
      <c r="M34" s="121" t="s">
        <v>3223</v>
      </c>
      <c r="N34" s="761">
        <f>GETPIVOTDATA("Sum of Total PoP ",$J$34)</f>
        <v>141021</v>
      </c>
    </row>
    <row r="35" spans="2:18" s="104" customFormat="1" ht="15.6">
      <c r="B35" s="811" t="s">
        <v>3228</v>
      </c>
      <c r="C35" s="811" t="s">
        <v>3229</v>
      </c>
      <c r="D35" s="811" t="s">
        <v>3230</v>
      </c>
      <c r="I35"/>
      <c r="J35" s="805" t="s">
        <v>3222</v>
      </c>
      <c r="K35" s="806">
        <v>91210</v>
      </c>
      <c r="L35" s="481"/>
      <c r="M35" s="122" t="s">
        <v>3225</v>
      </c>
      <c r="N35" s="762">
        <f>GETPIVOTDATA("Sum of # people with equitable and continuous access to sufficient quantity of safe drinking water",$J$34)</f>
        <v>97870</v>
      </c>
      <c r="O35" s="423"/>
      <c r="P35" s="423"/>
      <c r="Q35" s="423"/>
      <c r="R35" s="423"/>
    </row>
    <row r="36" spans="2:18" s="104" customFormat="1" ht="15.6">
      <c r="B36" s="812">
        <v>921</v>
      </c>
      <c r="C36" s="812">
        <v>6831</v>
      </c>
      <c r="D36" s="812">
        <v>194</v>
      </c>
      <c r="I36"/>
      <c r="J36" s="805" t="s">
        <v>3224</v>
      </c>
      <c r="K36" s="806">
        <v>97870</v>
      </c>
      <c r="L36"/>
      <c r="M36" s="121" t="s">
        <v>3227</v>
      </c>
      <c r="N36" s="761">
        <f>GETPIVOTDATA("Sum of #People access to unimproved water sources",$J$34)</f>
        <v>91210</v>
      </c>
    </row>
    <row r="37" spans="2:18" s="104" customFormat="1" ht="15.6">
      <c r="B37"/>
      <c r="C37"/>
      <c r="I37"/>
      <c r="J37" s="805" t="s">
        <v>2806</v>
      </c>
      <c r="K37" s="806">
        <v>141021</v>
      </c>
      <c r="L37"/>
      <c r="M37" s="760" t="s">
        <v>3226</v>
      </c>
      <c r="N37" s="110">
        <f>N34-(N35+N36)</f>
        <v>-48059</v>
      </c>
    </row>
    <row r="38" spans="2:18" s="104" customFormat="1" ht="15.6">
      <c r="B38"/>
      <c r="C38"/>
      <c r="I38"/>
      <c r="J38"/>
      <c r="K38"/>
      <c r="L38"/>
      <c r="M38"/>
      <c r="P38"/>
      <c r="Q38"/>
      <c r="R38"/>
    </row>
    <row r="39" spans="2:18" s="104" customFormat="1" ht="15.6">
      <c r="D39" s="104">
        <f>195*250</f>
        <v>48750</v>
      </c>
      <c r="F39" s="111"/>
      <c r="G39" s="111"/>
      <c r="H39" s="111"/>
      <c r="I39"/>
      <c r="J39"/>
      <c r="K39"/>
      <c r="L39"/>
      <c r="M39" s="122"/>
      <c r="N39" s="762"/>
    </row>
    <row r="40" spans="2:18" s="104" customFormat="1" ht="15.6">
      <c r="B40" s="801" t="s">
        <v>18</v>
      </c>
      <c r="C40" s="802" t="s">
        <v>3199</v>
      </c>
      <c r="D40" s="756">
        <f>GETPIVOTDATA(" # Functioning Tube wells/boreholes/hand_pumps",$B$35)*250</f>
        <v>1707750</v>
      </c>
      <c r="F40" s="111"/>
      <c r="G40" s="111"/>
      <c r="H40" s="111"/>
      <c r="I40"/>
      <c r="J40"/>
      <c r="K40"/>
      <c r="L40"/>
      <c r="M40"/>
    </row>
    <row r="41" spans="2:18" s="104" customFormat="1" ht="15.6">
      <c r="B41" s="808" t="s">
        <v>19</v>
      </c>
      <c r="C41" s="802" t="s">
        <v>2648</v>
      </c>
      <c r="I41"/>
      <c r="J41"/>
      <c r="K41"/>
      <c r="L41"/>
      <c r="M41"/>
    </row>
    <row r="42" spans="2:18" s="104" customFormat="1">
      <c r="B42" s="801" t="s">
        <v>32</v>
      </c>
      <c r="C42" s="802" t="s">
        <v>32</v>
      </c>
    </row>
    <row r="43" spans="2:18" s="104" customFormat="1"/>
    <row r="44" spans="2:18" s="104" customFormat="1" ht="15.6">
      <c r="B44" s="802" t="s">
        <v>3231</v>
      </c>
      <c r="C44"/>
      <c r="D44"/>
      <c r="E44" s="423"/>
      <c r="F44" s="612"/>
      <c r="G44" s="612"/>
      <c r="H44" s="612"/>
      <c r="I44" s="423"/>
      <c r="J44" s="612"/>
      <c r="K44" s="612"/>
      <c r="L44" s="612"/>
      <c r="M44" s="423"/>
      <c r="N44" s="423"/>
      <c r="O44" s="423"/>
      <c r="P44" s="423"/>
      <c r="Q44" s="423"/>
      <c r="R44" s="423"/>
    </row>
    <row r="45" spans="2:18" ht="15.6">
      <c r="B45" s="806">
        <v>9670</v>
      </c>
      <c r="C45"/>
      <c r="D45"/>
      <c r="E45" s="117"/>
      <c r="F45" s="117"/>
      <c r="G45" s="118"/>
    </row>
    <row r="46" spans="2:18">
      <c r="B46" s="115"/>
      <c r="C46" s="116"/>
      <c r="D46" s="116"/>
      <c r="E46" s="117"/>
      <c r="F46" s="117"/>
      <c r="G46" s="118"/>
    </row>
    <row r="47" spans="2:18" ht="15.6">
      <c r="B47"/>
      <c r="C47"/>
      <c r="D47"/>
      <c r="E47"/>
      <c r="F47" s="117"/>
      <c r="G47" s="118"/>
      <c r="M47"/>
      <c r="N47"/>
      <c r="O47"/>
    </row>
    <row r="48" spans="2:18" ht="15.6">
      <c r="B48"/>
      <c r="C48"/>
      <c r="D48"/>
      <c r="E48"/>
      <c r="F48" s="117"/>
      <c r="G48" s="118"/>
      <c r="M48"/>
      <c r="N48"/>
      <c r="O48"/>
    </row>
    <row r="49" spans="2:15" ht="15.6">
      <c r="B49" s="801" t="s">
        <v>18</v>
      </c>
      <c r="C49" s="802" t="s">
        <v>3199</v>
      </c>
      <c r="D49" s="116"/>
      <c r="E49"/>
      <c r="F49" s="117"/>
      <c r="G49" s="118"/>
      <c r="M49"/>
      <c r="N49"/>
      <c r="O49"/>
    </row>
    <row r="50" spans="2:15" ht="15.6">
      <c r="B50" s="801" t="s">
        <v>32</v>
      </c>
      <c r="C50" s="802" t="s">
        <v>32</v>
      </c>
      <c r="D50" s="111"/>
      <c r="E50"/>
      <c r="F50" s="117"/>
      <c r="G50" s="118"/>
      <c r="M50"/>
      <c r="N50"/>
      <c r="O50"/>
    </row>
    <row r="51" spans="2:15" ht="15.6">
      <c r="B51" s="815" t="s">
        <v>19</v>
      </c>
      <c r="C51" s="802" t="s">
        <v>2648</v>
      </c>
      <c r="D51" s="111"/>
      <c r="E51"/>
      <c r="F51" s="117"/>
      <c r="G51" s="118"/>
      <c r="M51"/>
      <c r="N51"/>
      <c r="O51"/>
    </row>
    <row r="52" spans="2:15" ht="15.6">
      <c r="B52" s="801" t="s">
        <v>124</v>
      </c>
      <c r="C52" s="802" t="s">
        <v>794</v>
      </c>
      <c r="D52" s="111"/>
      <c r="E52"/>
      <c r="F52" s="117"/>
      <c r="G52" s="118"/>
      <c r="M52"/>
      <c r="N52"/>
      <c r="O52"/>
    </row>
    <row r="53" spans="2:15" ht="15.6">
      <c r="B53" s="420" t="s">
        <v>294</v>
      </c>
      <c r="C53" s="111"/>
      <c r="D53" s="111"/>
      <c r="E53"/>
      <c r="F53" s="117"/>
      <c r="G53" s="118"/>
    </row>
    <row r="54" spans="2:15" ht="15.6">
      <c r="B54" s="814" t="s">
        <v>19</v>
      </c>
      <c r="C54" s="802" t="s">
        <v>3217</v>
      </c>
      <c r="D54" s="802" t="s">
        <v>3209</v>
      </c>
      <c r="E54"/>
      <c r="F54" s="117"/>
      <c r="G54" s="118"/>
      <c r="M54"/>
      <c r="N54"/>
      <c r="O54"/>
    </row>
    <row r="55" spans="2:15" ht="15.6">
      <c r="B55" s="805" t="s">
        <v>302</v>
      </c>
      <c r="C55" s="807">
        <v>0.737441791340533</v>
      </c>
      <c r="D55" s="807">
        <v>0.262558208659467</v>
      </c>
      <c r="E55"/>
      <c r="F55" s="117"/>
      <c r="G55" s="118"/>
      <c r="M55"/>
      <c r="N55"/>
      <c r="O55"/>
    </row>
    <row r="56" spans="2:15" ht="15.6">
      <c r="B56" s="805" t="s">
        <v>312</v>
      </c>
      <c r="C56" s="807">
        <v>1</v>
      </c>
      <c r="D56" s="807">
        <v>0</v>
      </c>
      <c r="E56" s="117"/>
      <c r="F56" s="117"/>
      <c r="G56" s="118"/>
      <c r="M56"/>
      <c r="N56"/>
      <c r="O56"/>
    </row>
    <row r="57" spans="2:15">
      <c r="B57" s="805" t="s">
        <v>399</v>
      </c>
      <c r="C57" s="807">
        <v>1</v>
      </c>
      <c r="D57" s="807">
        <v>0</v>
      </c>
      <c r="E57" s="117"/>
      <c r="F57" s="117"/>
      <c r="G57" s="118"/>
    </row>
    <row r="58" spans="2:15">
      <c r="B58" s="805" t="s">
        <v>402</v>
      </c>
      <c r="C58" s="807">
        <v>1</v>
      </c>
      <c r="D58" s="807">
        <v>0</v>
      </c>
      <c r="E58" s="117"/>
      <c r="F58" s="117"/>
      <c r="G58" s="118"/>
    </row>
    <row r="59" spans="2:15">
      <c r="B59" s="805" t="s">
        <v>295</v>
      </c>
      <c r="C59" s="807">
        <v>0.70496193342776203</v>
      </c>
      <c r="D59" s="807">
        <v>0.29503806657223797</v>
      </c>
      <c r="E59" s="117"/>
      <c r="F59" s="117"/>
      <c r="G59" s="118"/>
    </row>
    <row r="60" spans="2:15" ht="15.6">
      <c r="B60"/>
      <c r="C60"/>
      <c r="D60"/>
      <c r="E60" s="117"/>
      <c r="F60" s="117"/>
      <c r="G60" s="118"/>
    </row>
    <row r="61" spans="2:15" ht="15.6">
      <c r="B61"/>
      <c r="C61"/>
      <c r="D61"/>
      <c r="E61" s="117"/>
      <c r="F61" s="117"/>
      <c r="G61" s="118"/>
    </row>
    <row r="62" spans="2:15" ht="15.6">
      <c r="B62"/>
      <c r="C62"/>
      <c r="D62"/>
      <c r="E62" s="117"/>
      <c r="F62" s="117"/>
      <c r="G62" s="118"/>
    </row>
    <row r="63" spans="2:15" ht="15.6">
      <c r="B63"/>
      <c r="C63"/>
      <c r="D63"/>
      <c r="E63" s="117"/>
      <c r="F63" s="117"/>
      <c r="G63" s="118"/>
    </row>
    <row r="64" spans="2:15" ht="15.6">
      <c r="B64" s="470"/>
      <c r="C64" s="470"/>
      <c r="D64" s="470"/>
      <c r="E64" s="117"/>
      <c r="F64" s="117"/>
      <c r="G64" s="118"/>
    </row>
    <row r="65" spans="1:26" ht="15.6">
      <c r="B65" s="470"/>
      <c r="C65" s="470"/>
      <c r="D65" s="470"/>
      <c r="E65" s="117"/>
      <c r="F65" s="117"/>
      <c r="G65" s="118"/>
      <c r="K65"/>
      <c r="L65"/>
      <c r="M65"/>
    </row>
    <row r="66" spans="1:26" ht="15.6">
      <c r="B66" s="115"/>
      <c r="C66" s="116"/>
      <c r="D66" s="116"/>
      <c r="E66" s="117"/>
      <c r="F66" s="117"/>
      <c r="G66" s="118"/>
      <c r="K66"/>
      <c r="L66"/>
      <c r="M66"/>
      <c r="T66"/>
      <c r="U66"/>
    </row>
    <row r="67" spans="1:26" ht="15.6">
      <c r="B67" s="115"/>
      <c r="C67" s="116"/>
      <c r="D67" s="116"/>
      <c r="E67" s="117"/>
      <c r="F67" s="117"/>
      <c r="G67" s="118"/>
      <c r="T67"/>
      <c r="U67"/>
    </row>
    <row r="68" spans="1:26" s="126" customFormat="1" ht="18">
      <c r="A68" s="102" t="s">
        <v>1983</v>
      </c>
      <c r="B68" s="102"/>
      <c r="C68" s="123"/>
      <c r="D68" s="124"/>
      <c r="E68" s="124"/>
      <c r="F68" s="124"/>
      <c r="G68" s="125"/>
      <c r="H68" s="102"/>
      <c r="I68" s="102"/>
      <c r="J68" s="102"/>
      <c r="K68" s="102"/>
      <c r="L68" s="102"/>
      <c r="M68" s="102"/>
      <c r="N68" s="102"/>
      <c r="O68" s="102"/>
      <c r="P68" s="102"/>
      <c r="Q68" s="102"/>
      <c r="R68" s="102"/>
      <c r="S68" s="102"/>
      <c r="T68" s="102"/>
      <c r="U68" s="102"/>
      <c r="V68" s="102"/>
      <c r="W68" s="102"/>
      <c r="X68" s="102"/>
      <c r="Y68" s="102"/>
      <c r="Z68" s="102"/>
    </row>
    <row r="69" spans="1:26" s="104" customFormat="1">
      <c r="C69" s="106"/>
      <c r="D69" s="107"/>
      <c r="E69" s="107"/>
      <c r="F69" s="107"/>
      <c r="G69" s="108"/>
    </row>
    <row r="70" spans="1:26" s="104" customFormat="1" ht="15.6">
      <c r="F70" s="107"/>
      <c r="G70" s="108"/>
      <c r="L70"/>
    </row>
    <row r="71" spans="1:26" s="104" customFormat="1" ht="15.6">
      <c r="B71" s="801" t="s">
        <v>18</v>
      </c>
      <c r="C71" s="802" t="s">
        <v>3199</v>
      </c>
      <c r="D71" s="470"/>
      <c r="E71" s="107"/>
      <c r="H71" s="801" t="s">
        <v>18</v>
      </c>
      <c r="I71" s="802" t="s">
        <v>3199</v>
      </c>
    </row>
    <row r="72" spans="1:26" s="104" customFormat="1" ht="15.6">
      <c r="B72" s="816" t="s">
        <v>19</v>
      </c>
      <c r="C72" s="802" t="s">
        <v>2648</v>
      </c>
      <c r="D72" s="470"/>
      <c r="H72" s="816" t="s">
        <v>19</v>
      </c>
      <c r="I72" s="802" t="s">
        <v>2648</v>
      </c>
      <c r="K72"/>
      <c r="Q72" s="801" t="s">
        <v>18</v>
      </c>
      <c r="R72" s="802" t="s">
        <v>3199</v>
      </c>
    </row>
    <row r="73" spans="1:26" s="104" customFormat="1" ht="15.6">
      <c r="B73" s="801" t="s">
        <v>32</v>
      </c>
      <c r="C73" s="802" t="s">
        <v>32</v>
      </c>
      <c r="D73" s="470"/>
      <c r="H73" s="801" t="s">
        <v>32</v>
      </c>
      <c r="I73" s="802" t="s">
        <v>32</v>
      </c>
      <c r="Q73" s="816" t="s">
        <v>19</v>
      </c>
      <c r="R73" s="802" t="s">
        <v>2648</v>
      </c>
    </row>
    <row r="74" spans="1:26" s="109" customFormat="1" ht="15.6">
      <c r="B74" s="104"/>
      <c r="C74" s="104"/>
      <c r="D74" s="470"/>
      <c r="E74" s="104"/>
      <c r="F74" s="111"/>
      <c r="G74" s="111"/>
      <c r="H74" s="801" t="s">
        <v>124</v>
      </c>
      <c r="I74" s="802" t="s">
        <v>794</v>
      </c>
      <c r="J74" s="104"/>
      <c r="K74" s="104"/>
      <c r="M74" s="104"/>
      <c r="Q74" s="801" t="s">
        <v>32</v>
      </c>
      <c r="R74" s="802" t="s">
        <v>32</v>
      </c>
      <c r="S74" s="104"/>
      <c r="T74" s="104"/>
      <c r="U74" s="104"/>
      <c r="V74" s="104"/>
      <c r="W74" s="104"/>
      <c r="Y74" s="104"/>
    </row>
    <row r="75" spans="1:26" s="104" customFormat="1" ht="15.6">
      <c r="B75" s="802"/>
      <c r="C75" s="801" t="s">
        <v>1887</v>
      </c>
      <c r="D75" s="470"/>
      <c r="E75"/>
      <c r="F75"/>
      <c r="G75"/>
      <c r="H75" s="801" t="s">
        <v>2898</v>
      </c>
      <c r="I75" s="802" t="s">
        <v>40</v>
      </c>
      <c r="L75"/>
      <c r="M75"/>
    </row>
    <row r="76" spans="1:26" s="104" customFormat="1" ht="15.6">
      <c r="B76" s="801" t="s">
        <v>1888</v>
      </c>
      <c r="C76" s="802" t="s">
        <v>1914</v>
      </c>
      <c r="D76" s="470"/>
      <c r="E76"/>
      <c r="F76"/>
      <c r="G76"/>
      <c r="J76" s="109"/>
      <c r="K76" s="109"/>
      <c r="L76"/>
      <c r="M76" s="481"/>
      <c r="N76" s="423"/>
      <c r="O76" s="423"/>
      <c r="P76" s="423"/>
      <c r="Q76" s="801" t="s">
        <v>1888</v>
      </c>
      <c r="R76" s="802"/>
      <c r="S76" s="423"/>
      <c r="T76" s="423"/>
      <c r="U76" s="423"/>
      <c r="V76" s="423"/>
      <c r="W76" s="423"/>
      <c r="X76" s="423"/>
      <c r="Y76" s="423"/>
      <c r="Z76" s="423"/>
    </row>
    <row r="77" spans="1:26" s="104" customFormat="1" ht="15.6">
      <c r="B77" s="805" t="s">
        <v>1913</v>
      </c>
      <c r="C77" s="806">
        <v>23513</v>
      </c>
      <c r="D77" s="470"/>
      <c r="E77"/>
      <c r="F77"/>
      <c r="G77"/>
      <c r="H77" s="802"/>
      <c r="I77" s="801" t="s">
        <v>1887</v>
      </c>
      <c r="J77" s="802"/>
      <c r="K77" s="802"/>
      <c r="L77"/>
      <c r="M77"/>
      <c r="Q77" s="805" t="s">
        <v>2806</v>
      </c>
      <c r="R77" s="806">
        <v>141021</v>
      </c>
      <c r="S77" s="423"/>
      <c r="T77" s="745"/>
      <c r="U77" s="746" t="s">
        <v>3208</v>
      </c>
      <c r="V77" s="749" t="s">
        <v>3209</v>
      </c>
      <c r="W77" s="423"/>
      <c r="X77" s="423"/>
      <c r="Y77" s="423"/>
      <c r="Z77" s="423"/>
    </row>
    <row r="78" spans="1:26" s="104" customFormat="1" ht="15.6">
      <c r="B78" s="805" t="s">
        <v>2914</v>
      </c>
      <c r="C78" s="806">
        <v>10898</v>
      </c>
      <c r="D78" s="470"/>
      <c r="E78"/>
      <c r="F78"/>
      <c r="G78"/>
      <c r="H78" s="802"/>
      <c r="I78" s="802" t="s">
        <v>126</v>
      </c>
      <c r="J78" s="802" t="s">
        <v>40</v>
      </c>
      <c r="K78" s="802" t="s">
        <v>130</v>
      </c>
      <c r="L78"/>
      <c r="M78"/>
      <c r="Q78" s="805" t="s">
        <v>3207</v>
      </c>
      <c r="R78" s="806">
        <v>45023</v>
      </c>
      <c r="T78" s="747" t="s">
        <v>3207</v>
      </c>
      <c r="U78" s="748">
        <f>GETPIVOTDATA("Sum of HRP2",$Q$76)</f>
        <v>45023</v>
      </c>
      <c r="V78" s="110">
        <f>GETPIVOTDATA("Sum of Total PoP ",$Q$76)-U78</f>
        <v>95998</v>
      </c>
    </row>
    <row r="79" spans="1:26" s="104" customFormat="1" ht="15.6">
      <c r="C79" s="470"/>
      <c r="D79" s="470"/>
      <c r="E79"/>
      <c r="F79"/>
      <c r="G79"/>
      <c r="H79" s="802" t="s">
        <v>2915</v>
      </c>
      <c r="I79" s="806">
        <v>16</v>
      </c>
      <c r="J79" s="806">
        <v>7</v>
      </c>
      <c r="K79" s="806">
        <v>16</v>
      </c>
      <c r="L79"/>
      <c r="M79"/>
      <c r="Q79"/>
      <c r="R79"/>
    </row>
    <row r="80" spans="1:26" s="104" customFormat="1" ht="15.6">
      <c r="C80"/>
      <c r="D80"/>
      <c r="E80"/>
      <c r="F80"/>
      <c r="G80"/>
      <c r="K80"/>
      <c r="L80"/>
      <c r="M80"/>
      <c r="Q80" s="111"/>
      <c r="S80"/>
      <c r="T80"/>
      <c r="U80"/>
    </row>
    <row r="81" spans="1:21" s="104" customFormat="1" ht="16.2" thickBot="1">
      <c r="B81" s="111"/>
      <c r="C81"/>
      <c r="D81"/>
      <c r="E81"/>
      <c r="F81"/>
      <c r="G81"/>
      <c r="K81"/>
      <c r="L81"/>
      <c r="M81"/>
      <c r="Q81" s="111"/>
      <c r="S81"/>
      <c r="T81"/>
      <c r="U81"/>
    </row>
    <row r="82" spans="1:21" s="104" customFormat="1" ht="15.6">
      <c r="B82" s="128" t="s">
        <v>294</v>
      </c>
      <c r="C82" s="129" t="s">
        <v>1914</v>
      </c>
      <c r="D82"/>
      <c r="E82"/>
      <c r="F82"/>
      <c r="J82"/>
      <c r="K82"/>
      <c r="L82"/>
      <c r="P82" s="111"/>
      <c r="R82"/>
      <c r="S82"/>
      <c r="T82"/>
    </row>
    <row r="83" spans="1:21" s="104" customFormat="1" ht="15.6">
      <c r="B83" s="130" t="s">
        <v>3210</v>
      </c>
      <c r="C83" s="131">
        <f>GETPIVOTDATA("Sum of #_of_sanitary_fly-proof_HH_latrines",$B$75,"Location Type","# in villages (6:1)")</f>
        <v>10898</v>
      </c>
      <c r="D83"/>
      <c r="E83"/>
      <c r="F83"/>
      <c r="I83" s="106"/>
      <c r="J83"/>
      <c r="K83"/>
      <c r="L83"/>
      <c r="P83" s="111"/>
      <c r="Q83" s="111"/>
      <c r="R83"/>
      <c r="S83"/>
      <c r="T83"/>
    </row>
    <row r="84" spans="1:21" s="104" customFormat="1" ht="15.6">
      <c r="B84" s="130" t="s">
        <v>3211</v>
      </c>
      <c r="C84" s="131">
        <f>C85-C83</f>
        <v>12615</v>
      </c>
      <c r="D84" s="108"/>
      <c r="E84" s="111"/>
      <c r="F84" s="111"/>
      <c r="H84"/>
      <c r="I84"/>
      <c r="R84" s="111"/>
    </row>
    <row r="85" spans="1:21" s="104" customFormat="1" ht="16.2" thickBot="1">
      <c r="A85" s="426" t="s">
        <v>2654</v>
      </c>
      <c r="B85" s="132" t="s">
        <v>1913</v>
      </c>
      <c r="C85" s="428">
        <f>GETPIVOTDATA("# latrines (target)",$B$75,"Location Type","# in villages (6:1)")</f>
        <v>23513</v>
      </c>
      <c r="D85" s="470"/>
      <c r="E85" s="470"/>
      <c r="F85" s="470"/>
      <c r="H85" s="801" t="s">
        <v>18</v>
      </c>
      <c r="I85" s="802" t="s">
        <v>3199</v>
      </c>
      <c r="N85" s="111"/>
      <c r="O85" s="110"/>
    </row>
    <row r="86" spans="1:21" s="104" customFormat="1" ht="15.6">
      <c r="B86" s="470"/>
      <c r="C86" s="470"/>
      <c r="D86" s="470"/>
      <c r="E86" s="470"/>
      <c r="F86" s="470"/>
      <c r="H86" s="816" t="s">
        <v>19</v>
      </c>
      <c r="I86" s="802" t="s">
        <v>2648</v>
      </c>
      <c r="N86" s="111"/>
      <c r="O86" s="110"/>
    </row>
    <row r="87" spans="1:21" s="104" customFormat="1" ht="15.6">
      <c r="D87" s="470"/>
      <c r="E87" s="470"/>
      <c r="F87" s="470"/>
      <c r="G87" s="111"/>
      <c r="H87" s="801" t="s">
        <v>32</v>
      </c>
      <c r="I87" s="802" t="s">
        <v>32</v>
      </c>
    </row>
    <row r="88" spans="1:21" s="104" customFormat="1" ht="15.6">
      <c r="B88" s="470"/>
      <c r="C88" s="470"/>
      <c r="D88" s="470"/>
      <c r="E88" s="470"/>
      <c r="F88" s="470"/>
      <c r="G88" s="470"/>
      <c r="H88" s="801" t="s">
        <v>124</v>
      </c>
      <c r="I88" s="802" t="s">
        <v>794</v>
      </c>
    </row>
    <row r="89" spans="1:21" s="104" customFormat="1" ht="15.6">
      <c r="B89" s="470"/>
      <c r="C89" s="470"/>
      <c r="D89" s="470"/>
      <c r="E89" s="470"/>
      <c r="F89" s="470"/>
      <c r="G89" s="470"/>
      <c r="J89" s="109"/>
    </row>
    <row r="90" spans="1:21" s="104" customFormat="1" ht="15.6">
      <c r="B90" s="470"/>
      <c r="C90" s="470"/>
      <c r="D90" s="470"/>
      <c r="E90" s="470"/>
      <c r="F90" s="470"/>
      <c r="G90" s="470"/>
      <c r="H90" s="802"/>
      <c r="I90" s="801" t="s">
        <v>1887</v>
      </c>
      <c r="J90" s="802"/>
      <c r="K90" s="423"/>
      <c r="L90" s="423"/>
      <c r="M90" s="423"/>
      <c r="N90" s="423"/>
      <c r="O90" s="423"/>
      <c r="P90" s="423"/>
      <c r="Q90" s="612"/>
      <c r="R90" s="612"/>
      <c r="S90" s="423"/>
      <c r="T90" s="423"/>
      <c r="U90" s="423"/>
    </row>
    <row r="91" spans="1:21" s="104" customFormat="1" ht="15.6">
      <c r="B91" s="470"/>
      <c r="C91" s="470"/>
      <c r="D91" s="470"/>
      <c r="E91" s="470"/>
      <c r="F91" s="470"/>
      <c r="G91" s="470"/>
      <c r="H91" s="802"/>
      <c r="I91" s="802" t="s">
        <v>126</v>
      </c>
      <c r="J91" s="802" t="s">
        <v>40</v>
      </c>
      <c r="K91" s="133"/>
      <c r="L91" s="134"/>
      <c r="M91" s="134"/>
      <c r="Q91" s="111"/>
      <c r="R91" s="111"/>
    </row>
    <row r="92" spans="1:21" s="104" customFormat="1" ht="15.6">
      <c r="B92" s="470"/>
      <c r="C92" s="470"/>
      <c r="D92" s="470"/>
      <c r="E92" s="470"/>
      <c r="F92" s="470"/>
      <c r="G92" s="470"/>
      <c r="H92" s="802" t="s">
        <v>2916</v>
      </c>
      <c r="I92" s="806">
        <v>87</v>
      </c>
      <c r="J92" s="806">
        <v>39</v>
      </c>
      <c r="K92" s="133"/>
      <c r="L92" s="134"/>
      <c r="M92" s="134"/>
      <c r="Q92" s="111"/>
      <c r="R92" s="111"/>
      <c r="S92" s="133"/>
      <c r="T92" s="134"/>
      <c r="U92" s="134"/>
    </row>
    <row r="93" spans="1:21" s="104" customFormat="1">
      <c r="B93" s="108"/>
      <c r="C93" s="108"/>
      <c r="D93" s="108"/>
      <c r="E93" s="108"/>
      <c r="F93" s="108"/>
      <c r="G93" s="108"/>
    </row>
    <row r="94" spans="1:21" s="104" customFormat="1">
      <c r="B94" s="108"/>
      <c r="C94" s="108"/>
      <c r="D94" s="108"/>
      <c r="E94" s="108"/>
      <c r="F94" s="108"/>
      <c r="G94" s="108"/>
    </row>
    <row r="95" spans="1:21" s="104" customFormat="1">
      <c r="B95" s="133"/>
      <c r="C95" s="134"/>
      <c r="D95" s="134"/>
      <c r="E95" s="134"/>
      <c r="F95" s="134"/>
      <c r="K95" s="607" t="s">
        <v>2915</v>
      </c>
    </row>
    <row r="96" spans="1:21" s="104" customFormat="1">
      <c r="H96" s="607"/>
      <c r="I96" s="611" t="s">
        <v>2917</v>
      </c>
      <c r="J96" s="611" t="s">
        <v>2927</v>
      </c>
      <c r="K96" s="611" t="s">
        <v>2928</v>
      </c>
      <c r="L96" s="611" t="s">
        <v>130</v>
      </c>
    </row>
    <row r="97" spans="2:24" s="104" customFormat="1">
      <c r="B97" s="801" t="s">
        <v>18</v>
      </c>
      <c r="C97" s="802" t="s">
        <v>3199</v>
      </c>
      <c r="D97" s="116"/>
      <c r="H97" s="607" t="s">
        <v>2898</v>
      </c>
      <c r="I97" s="611">
        <f>GETPIVOTDATA("Village with School",$H$90,"Village with School","No")</f>
        <v>87</v>
      </c>
      <c r="J97" s="611">
        <f>GETPIVOTDATA("Availability_of_drainage_in_school_compound_(Yes_or_No)",$H$77,"Availability_of_drainage_in_school_compound_(Yes_or_No)","No")</f>
        <v>16</v>
      </c>
      <c r="K97" s="611">
        <f>GETPIVOTDATA("Availability_of_drainage_in_school_compound_(Yes_or_No)",$H$77,"Availability_of_drainage_in_school_compound_(Yes_or_No)","Yes")</f>
        <v>7</v>
      </c>
      <c r="L97" s="611">
        <f>GETPIVOTDATA("Availability_of_drainage_in_school_compound_(Yes_or_No)",$H$77,"Availability_of_drainage_in_school_compound_(Yes_or_No)","NA")</f>
        <v>16</v>
      </c>
    </row>
    <row r="98" spans="2:24" s="104" customFormat="1">
      <c r="B98" s="801" t="s">
        <v>32</v>
      </c>
      <c r="C98" s="802" t="s">
        <v>32</v>
      </c>
      <c r="D98" s="111"/>
    </row>
    <row r="99" spans="2:24" s="104" customFormat="1">
      <c r="B99" s="817" t="s">
        <v>19</v>
      </c>
      <c r="C99" s="802" t="s">
        <v>1638</v>
      </c>
      <c r="D99" s="111"/>
    </row>
    <row r="100" spans="2:24" s="104" customFormat="1">
      <c r="B100" s="801" t="s">
        <v>124</v>
      </c>
      <c r="C100" s="802" t="s">
        <v>794</v>
      </c>
      <c r="D100" s="111"/>
    </row>
    <row r="101" spans="2:24" s="104" customFormat="1">
      <c r="B101" s="425"/>
      <c r="C101" s="111"/>
      <c r="D101" s="111"/>
    </row>
    <row r="102" spans="2:24" s="104" customFormat="1">
      <c r="B102" s="814" t="s">
        <v>19</v>
      </c>
      <c r="C102" s="802" t="s">
        <v>2779</v>
      </c>
      <c r="D102" s="802" t="s">
        <v>2780</v>
      </c>
    </row>
    <row r="103" spans="2:24" s="104" customFormat="1">
      <c r="B103" s="805" t="s">
        <v>302</v>
      </c>
      <c r="C103" s="807">
        <v>0.42851481224611115</v>
      </c>
      <c r="D103" s="807">
        <v>0.5714851877538889</v>
      </c>
    </row>
    <row r="104" spans="2:24" s="104" customFormat="1">
      <c r="B104" s="805" t="s">
        <v>312</v>
      </c>
      <c r="C104" s="807">
        <v>0.51311941673677042</v>
      </c>
      <c r="D104" s="807">
        <v>0.48688058326322958</v>
      </c>
    </row>
    <row r="105" spans="2:24" s="104" customFormat="1" ht="15.6">
      <c r="B105" s="805" t="s">
        <v>399</v>
      </c>
      <c r="C105" s="807">
        <v>1</v>
      </c>
      <c r="D105" s="807">
        <v>0</v>
      </c>
      <c r="L105"/>
      <c r="M105"/>
      <c r="N105"/>
    </row>
    <row r="106" spans="2:24" s="104" customFormat="1" ht="15.6">
      <c r="B106" s="805" t="s">
        <v>149</v>
      </c>
      <c r="C106" s="807">
        <v>0.62240663900414939</v>
      </c>
      <c r="D106" s="807">
        <v>0.37759336099585061</v>
      </c>
      <c r="L106"/>
      <c r="M106"/>
      <c r="N106"/>
    </row>
    <row r="107" spans="2:24" s="104" customFormat="1" ht="15.6">
      <c r="B107" s="805" t="s">
        <v>402</v>
      </c>
      <c r="C107" s="807">
        <v>0.12483745123537061</v>
      </c>
      <c r="D107" s="807">
        <v>0.8751625487646294</v>
      </c>
      <c r="L107"/>
      <c r="M107"/>
      <c r="N107"/>
    </row>
    <row r="108" spans="2:24" s="104" customFormat="1" ht="15.6">
      <c r="B108" s="805" t="s">
        <v>295</v>
      </c>
      <c r="C108" s="807">
        <v>0.28496813031161472</v>
      </c>
      <c r="D108" s="807">
        <v>0.71503186968838528</v>
      </c>
      <c r="L108"/>
      <c r="M108"/>
      <c r="N108"/>
      <c r="V108"/>
      <c r="W108"/>
      <c r="X108"/>
    </row>
    <row r="109" spans="2:24" s="104" customFormat="1" ht="15.6">
      <c r="B109" s="805" t="s">
        <v>174</v>
      </c>
      <c r="C109" s="807">
        <v>0</v>
      </c>
      <c r="D109" s="807">
        <v>1</v>
      </c>
      <c r="L109"/>
      <c r="M109"/>
      <c r="N109"/>
      <c r="V109"/>
      <c r="W109"/>
      <c r="X109"/>
    </row>
    <row r="110" spans="2:24" s="104" customFormat="1" ht="15.6">
      <c r="B110" s="805" t="s">
        <v>132</v>
      </c>
      <c r="C110" s="807">
        <v>0.27171757239190797</v>
      </c>
      <c r="D110" s="807">
        <v>0.72828242760809203</v>
      </c>
      <c r="L110"/>
      <c r="M110"/>
      <c r="N110"/>
      <c r="V110"/>
      <c r="W110"/>
      <c r="X110"/>
    </row>
    <row r="111" spans="2:24" s="104" customFormat="1" ht="15.6">
      <c r="B111" s="805" t="s">
        <v>771</v>
      </c>
      <c r="C111" s="807">
        <v>0</v>
      </c>
      <c r="D111" s="807">
        <v>1</v>
      </c>
      <c r="L111"/>
      <c r="M111"/>
      <c r="N111"/>
    </row>
    <row r="112" spans="2:24" s="104" customFormat="1" ht="15.6">
      <c r="B112"/>
      <c r="C112"/>
      <c r="D112"/>
      <c r="L112" s="470"/>
      <c r="M112" s="470"/>
      <c r="N112" s="470"/>
    </row>
    <row r="113" spans="2:26" s="104" customFormat="1" ht="15.6">
      <c r="B113"/>
      <c r="C113"/>
      <c r="D113"/>
      <c r="L113" s="470"/>
      <c r="M113" s="470"/>
      <c r="N113" s="470"/>
    </row>
    <row r="114" spans="2:26" s="104" customFormat="1" ht="15.6">
      <c r="B114" s="680"/>
      <c r="C114" s="681"/>
      <c r="D114" s="681"/>
      <c r="L114" s="470"/>
      <c r="M114" s="470"/>
      <c r="N114" s="470"/>
    </row>
    <row r="115" spans="2:26" s="104" customFormat="1" ht="15.6">
      <c r="B115" s="680"/>
      <c r="C115" s="681"/>
      <c r="D115" s="681"/>
      <c r="L115" s="470"/>
      <c r="M115" s="470"/>
      <c r="N115" s="470"/>
    </row>
    <row r="116" spans="2:26" s="104" customFormat="1" ht="15.6">
      <c r="L116"/>
      <c r="M116"/>
      <c r="N116"/>
    </row>
    <row r="117" spans="2:26" s="104" customFormat="1" ht="15.6">
      <c r="B117"/>
      <c r="C117"/>
      <c r="D117"/>
      <c r="L117"/>
      <c r="M117" s="801" t="s">
        <v>18</v>
      </c>
      <c r="N117" s="802" t="s">
        <v>3199</v>
      </c>
    </row>
    <row r="118" spans="2:26" s="104" customFormat="1" ht="15.6">
      <c r="B118" s="801" t="s">
        <v>18</v>
      </c>
      <c r="C118" s="802" t="s">
        <v>3199</v>
      </c>
      <c r="J118"/>
      <c r="K118"/>
      <c r="L118"/>
      <c r="M118" s="816" t="s">
        <v>19</v>
      </c>
      <c r="N118" s="802" t="s">
        <v>2648</v>
      </c>
      <c r="S118"/>
      <c r="T118"/>
      <c r="U118"/>
    </row>
    <row r="119" spans="2:26" s="104" customFormat="1" ht="15.6">
      <c r="B119" s="816" t="s">
        <v>19</v>
      </c>
      <c r="C119" s="802" t="s">
        <v>2648</v>
      </c>
      <c r="J119"/>
      <c r="K119"/>
      <c r="L119"/>
      <c r="M119" s="801" t="s">
        <v>32</v>
      </c>
      <c r="N119" s="802" t="s">
        <v>32</v>
      </c>
      <c r="S119"/>
      <c r="T119"/>
      <c r="U119"/>
    </row>
    <row r="120" spans="2:26" s="104" customFormat="1" ht="15.6">
      <c r="B120" s="801" t="s">
        <v>32</v>
      </c>
      <c r="C120" s="802" t="s">
        <v>32</v>
      </c>
      <c r="J120"/>
      <c r="K120"/>
      <c r="L120"/>
      <c r="M120" s="801" t="s">
        <v>124</v>
      </c>
      <c r="N120" s="802" t="s">
        <v>794</v>
      </c>
      <c r="S120"/>
      <c r="T120"/>
      <c r="U120"/>
    </row>
    <row r="121" spans="2:26" s="104" customFormat="1" ht="15.6">
      <c r="B121" s="801" t="s">
        <v>124</v>
      </c>
      <c r="C121" s="802" t="s">
        <v>794</v>
      </c>
      <c r="J121"/>
      <c r="K121"/>
      <c r="L121"/>
      <c r="S121"/>
      <c r="T121"/>
      <c r="U121"/>
    </row>
    <row r="122" spans="2:26" s="104" customFormat="1" ht="15.6">
      <c r="D122" s="109"/>
      <c r="E122" s="608" t="s">
        <v>2921</v>
      </c>
      <c r="F122" s="609">
        <f>GETPIVOTDATA("Sum of #of students in school",$B$123)</f>
        <v>6915</v>
      </c>
      <c r="J122"/>
      <c r="K122"/>
      <c r="L122"/>
      <c r="M122" s="801" t="s">
        <v>1888</v>
      </c>
      <c r="N122" s="802"/>
      <c r="O122" s="423"/>
      <c r="P122" s="745" t="s">
        <v>3205</v>
      </c>
      <c r="Q122" s="746" t="s">
        <v>40</v>
      </c>
      <c r="R122" s="749" t="s">
        <v>126</v>
      </c>
      <c r="S122" s="481"/>
      <c r="T122" s="481"/>
      <c r="U122" s="481"/>
      <c r="V122" s="423"/>
      <c r="W122" s="423"/>
      <c r="X122" s="423"/>
      <c r="Y122" s="423"/>
      <c r="Z122" s="423"/>
    </row>
    <row r="123" spans="2:26" s="104" customFormat="1" ht="15.6">
      <c r="B123" s="801" t="s">
        <v>1888</v>
      </c>
      <c r="C123" s="802"/>
      <c r="D123"/>
      <c r="E123" s="610" t="s">
        <v>1648</v>
      </c>
      <c r="F123" s="611">
        <f>GETPIVOTDATA("Sum of #_of_Functioning_latrines_in_school",$B$123)</f>
        <v>97</v>
      </c>
      <c r="G123" s="423"/>
      <c r="H123" s="423"/>
      <c r="I123" s="423"/>
      <c r="J123" s="481"/>
      <c r="K123" s="481"/>
      <c r="L123" s="481"/>
      <c r="M123" s="805" t="s">
        <v>3203</v>
      </c>
      <c r="N123" s="806">
        <v>466</v>
      </c>
      <c r="O123" s="423"/>
      <c r="P123" s="747" t="s">
        <v>3206</v>
      </c>
      <c r="Q123" s="748">
        <f>GETPIVOTDATA("Sum of #_of_PWD_with_adapted_sanitation_option_at_HH_level_",$M$122)</f>
        <v>254</v>
      </c>
      <c r="R123" s="750">
        <f>GETPIVOTDATA("Sum of #_of_PWD_at_village",$M$122)-Q123</f>
        <v>212</v>
      </c>
      <c r="S123" s="481"/>
      <c r="T123" s="481"/>
      <c r="U123" s="481"/>
      <c r="V123" s="423"/>
      <c r="W123" s="423"/>
      <c r="X123" s="423"/>
      <c r="Y123" s="423"/>
      <c r="Z123" s="423"/>
    </row>
    <row r="124" spans="2:26" s="104" customFormat="1" ht="15.6">
      <c r="B124" s="805" t="s">
        <v>2918</v>
      </c>
      <c r="C124" s="806">
        <v>6915</v>
      </c>
      <c r="D124"/>
      <c r="E124" s="610" t="s">
        <v>2920</v>
      </c>
      <c r="F124" s="611">
        <f>F122/50</f>
        <v>138.30000000000001</v>
      </c>
      <c r="J124"/>
      <c r="K124"/>
      <c r="L124"/>
      <c r="M124" s="805" t="s">
        <v>3204</v>
      </c>
      <c r="N124" s="806">
        <v>254</v>
      </c>
      <c r="Q124" s="110"/>
      <c r="S124"/>
      <c r="T124"/>
    </row>
    <row r="125" spans="2:26" s="104" customFormat="1" ht="15.6">
      <c r="B125" s="805" t="s">
        <v>2919</v>
      </c>
      <c r="C125" s="806">
        <v>97</v>
      </c>
      <c r="D125"/>
      <c r="E125" s="610" t="s">
        <v>1649</v>
      </c>
      <c r="F125" s="611">
        <f>F124-F123</f>
        <v>41.300000000000011</v>
      </c>
      <c r="S125"/>
      <c r="T125"/>
    </row>
    <row r="126" spans="2:26" s="104" customFormat="1" ht="15.6">
      <c r="B126" s="613"/>
      <c r="C126" s="614"/>
      <c r="D126" s="614"/>
      <c r="S126" s="470"/>
      <c r="T126" s="470"/>
    </row>
    <row r="127" spans="2:26" s="104" customFormat="1" ht="15.6">
      <c r="B127" s="613"/>
      <c r="C127" s="614"/>
      <c r="D127" s="614"/>
      <c r="F127" s="744">
        <f>F123/F124</f>
        <v>0.70137382501807655</v>
      </c>
      <c r="S127" s="470"/>
      <c r="T127" s="470"/>
    </row>
    <row r="128" spans="2:26" s="104" customFormat="1" ht="15.6">
      <c r="B128" s="613"/>
      <c r="C128" s="614"/>
      <c r="D128" s="614"/>
      <c r="S128" s="470"/>
      <c r="T128" s="470"/>
    </row>
    <row r="129" spans="1:26" s="104" customFormat="1" ht="15.6">
      <c r="B129" s="613"/>
      <c r="C129" s="614"/>
      <c r="D129" s="614"/>
      <c r="S129" s="470"/>
      <c r="T129" s="470"/>
    </row>
    <row r="130" spans="1:26" s="104" customFormat="1" ht="18">
      <c r="A130" s="138" t="s">
        <v>1984</v>
      </c>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s="104" customFormat="1" ht="15.6">
      <c r="S131"/>
      <c r="T131"/>
    </row>
    <row r="132" spans="1:26" s="104" customFormat="1">
      <c r="B132" s="801" t="s">
        <v>18</v>
      </c>
      <c r="C132" s="802" t="s">
        <v>3199</v>
      </c>
      <c r="K132" s="801" t="s">
        <v>18</v>
      </c>
      <c r="L132" s="802" t="s">
        <v>3199</v>
      </c>
    </row>
    <row r="133" spans="1:26" s="104" customFormat="1">
      <c r="B133" s="801" t="s">
        <v>19</v>
      </c>
      <c r="C133" s="802" t="s">
        <v>1638</v>
      </c>
      <c r="D133" s="111"/>
      <c r="E133" s="617" t="s">
        <v>2806</v>
      </c>
      <c r="F133" s="630" t="s">
        <v>2929</v>
      </c>
      <c r="K133" s="801" t="s">
        <v>19</v>
      </c>
      <c r="L133" s="802" t="s">
        <v>1638</v>
      </c>
    </row>
    <row r="134" spans="1:26" s="104" customFormat="1">
      <c r="B134" s="801" t="s">
        <v>32</v>
      </c>
      <c r="C134" s="802" t="s">
        <v>32</v>
      </c>
      <c r="E134" s="618">
        <f>GETPIVOTDATA("Sum of Total PoP ",$B$137)</f>
        <v>152592</v>
      </c>
      <c r="F134" s="104">
        <f>GETPIVOTDATA("Men",$B$137)+GETPIVOTDATA("Women",$B$137)+GETPIVOTDATA("Boys",$B$137)+GETPIVOTDATA("Girls",$B$137)</f>
        <v>24817</v>
      </c>
      <c r="K134" s="801" t="s">
        <v>32</v>
      </c>
      <c r="L134" s="802" t="s">
        <v>32</v>
      </c>
      <c r="M134" s="108"/>
    </row>
    <row r="135" spans="1:26" s="104" customFormat="1">
      <c r="B135" s="801" t="s">
        <v>124</v>
      </c>
      <c r="C135" s="802" t="s">
        <v>794</v>
      </c>
      <c r="D135" s="111"/>
      <c r="K135" s="801" t="s">
        <v>124</v>
      </c>
      <c r="L135" s="802" t="s">
        <v>794</v>
      </c>
    </row>
    <row r="136" spans="1:26" s="104" customFormat="1">
      <c r="E136" s="617" t="s">
        <v>2930</v>
      </c>
      <c r="F136" s="617" t="s">
        <v>2900</v>
      </c>
      <c r="G136" s="617" t="s">
        <v>2901</v>
      </c>
      <c r="H136" s="617" t="s">
        <v>2902</v>
      </c>
      <c r="I136" s="615" t="s">
        <v>2903</v>
      </c>
    </row>
    <row r="137" spans="1:26" s="104" customFormat="1" ht="15.6">
      <c r="B137" s="801" t="s">
        <v>1888</v>
      </c>
      <c r="C137" s="802"/>
      <c r="D137"/>
      <c r="E137" s="618">
        <f>E134-F134</f>
        <v>127775</v>
      </c>
      <c r="F137" s="618">
        <f>GETPIVOTDATA("Men",$B$137)</f>
        <v>7173</v>
      </c>
      <c r="G137" s="618">
        <f>GETPIVOTDATA("Women",$B$137)</f>
        <v>8633</v>
      </c>
      <c r="H137" s="618">
        <f>GETPIVOTDATA("Boys",$B$137)</f>
        <v>4570</v>
      </c>
      <c r="I137" s="616">
        <f>GETPIVOTDATA("Girls",$B$137)</f>
        <v>4441</v>
      </c>
      <c r="K137" s="801" t="s">
        <v>1888</v>
      </c>
      <c r="L137" s="802"/>
      <c r="M137" s="423"/>
      <c r="N137" s="423"/>
      <c r="O137" s="423"/>
      <c r="P137" s="423"/>
      <c r="Q137" s="423"/>
      <c r="R137" s="423"/>
    </row>
    <row r="138" spans="1:26" s="104" customFormat="1" ht="15.6">
      <c r="B138" s="805" t="s">
        <v>2806</v>
      </c>
      <c r="C138" s="810">
        <v>152592</v>
      </c>
      <c r="D138"/>
      <c r="E138"/>
      <c r="F138"/>
      <c r="G138"/>
      <c r="K138" s="805" t="s">
        <v>2931</v>
      </c>
      <c r="L138" s="810">
        <v>681</v>
      </c>
    </row>
    <row r="139" spans="1:26" s="104" customFormat="1" ht="15.6">
      <c r="B139" s="805" t="s">
        <v>2900</v>
      </c>
      <c r="C139" s="810">
        <v>7173</v>
      </c>
      <c r="D139"/>
      <c r="E139"/>
      <c r="F139"/>
      <c r="G139"/>
      <c r="K139" s="805" t="s">
        <v>2923</v>
      </c>
      <c r="L139" s="810">
        <v>9</v>
      </c>
    </row>
    <row r="140" spans="1:26" s="104" customFormat="1" ht="15.6">
      <c r="B140" s="805" t="s">
        <v>2901</v>
      </c>
      <c r="C140" s="810">
        <v>8633</v>
      </c>
      <c r="D140"/>
      <c r="E140"/>
      <c r="F140"/>
      <c r="G140"/>
    </row>
    <row r="141" spans="1:26" s="104" customFormat="1" ht="15.6">
      <c r="B141" s="805" t="s">
        <v>2902</v>
      </c>
      <c r="C141" s="810">
        <v>4570</v>
      </c>
      <c r="D141"/>
      <c r="E141"/>
      <c r="F141"/>
      <c r="G141"/>
    </row>
    <row r="142" spans="1:26" s="104" customFormat="1" ht="15.6">
      <c r="B142" s="805" t="s">
        <v>2903</v>
      </c>
      <c r="C142" s="810">
        <v>4441</v>
      </c>
      <c r="D142"/>
      <c r="E142"/>
      <c r="F142"/>
      <c r="G142"/>
      <c r="K142" s="801" t="s">
        <v>18</v>
      </c>
      <c r="L142" s="802" t="s">
        <v>3199</v>
      </c>
      <c r="Q142" s="113"/>
      <c r="R142" s="113"/>
    </row>
    <row r="143" spans="1:26" s="104" customFormat="1">
      <c r="B143" s="111"/>
      <c r="C143" s="111"/>
      <c r="D143" s="111"/>
      <c r="K143" s="801" t="s">
        <v>19</v>
      </c>
      <c r="L143" s="802" t="s">
        <v>1638</v>
      </c>
      <c r="N143" s="752" t="s">
        <v>2806</v>
      </c>
      <c r="O143" s="753">
        <f>GETPIVOTDATA("Sum of Total PoP ",$K$147)</f>
        <v>152592</v>
      </c>
      <c r="P143" s="104">
        <f>O143*30%</f>
        <v>45777.599999999999</v>
      </c>
    </row>
    <row r="144" spans="1:26" s="104" customFormat="1">
      <c r="B144" s="801" t="s">
        <v>18</v>
      </c>
      <c r="C144" s="802" t="s">
        <v>3199</v>
      </c>
      <c r="D144" s="111"/>
      <c r="K144" s="801" t="s">
        <v>32</v>
      </c>
      <c r="L144" s="802" t="s">
        <v>32</v>
      </c>
    </row>
    <row r="145" spans="2:18" s="104" customFormat="1">
      <c r="B145" s="801" t="s">
        <v>19</v>
      </c>
      <c r="C145" s="802" t="s">
        <v>1638</v>
      </c>
      <c r="D145" s="111"/>
      <c r="K145" s="801" t="s">
        <v>124</v>
      </c>
      <c r="L145" s="802" t="s">
        <v>794</v>
      </c>
      <c r="O145" s="759" t="s">
        <v>3217</v>
      </c>
      <c r="P145" s="759" t="s">
        <v>3209</v>
      </c>
    </row>
    <row r="146" spans="2:18" s="104" customFormat="1">
      <c r="B146" s="801" t="s">
        <v>32</v>
      </c>
      <c r="C146" s="802" t="s">
        <v>32</v>
      </c>
      <c r="D146" s="111"/>
      <c r="N146" s="752" t="s">
        <v>3215</v>
      </c>
      <c r="O146" s="755">
        <f>GETPIVOTDATA("Sum of # People with access to soap",$K$147)</f>
        <v>26321</v>
      </c>
      <c r="P146" s="756">
        <f>$O$143-O146</f>
        <v>126271</v>
      </c>
    </row>
    <row r="147" spans="2:18" s="104" customFormat="1">
      <c r="B147" s="801" t="s">
        <v>124</v>
      </c>
      <c r="C147" s="802" t="s">
        <v>794</v>
      </c>
      <c r="I147" s="116"/>
      <c r="J147" s="116"/>
      <c r="K147" s="801" t="s">
        <v>1888</v>
      </c>
      <c r="L147" s="802"/>
      <c r="M147" s="751"/>
      <c r="N147" s="754" t="s">
        <v>3216</v>
      </c>
      <c r="O147" s="757">
        <f>GETPIVOTDATA("Sum of # People with access to Sanity Pads",$K$147)</f>
        <v>1099</v>
      </c>
      <c r="P147" s="756">
        <f>P143-O147</f>
        <v>44678.6</v>
      </c>
      <c r="Q147" s="751"/>
      <c r="R147" s="751"/>
    </row>
    <row r="148" spans="2:18" s="104" customFormat="1">
      <c r="I148" s="116"/>
      <c r="J148" s="116"/>
      <c r="K148" s="805" t="s">
        <v>2806</v>
      </c>
      <c r="L148" s="810">
        <v>152592</v>
      </c>
      <c r="M148" s="116"/>
      <c r="N148" s="752" t="s">
        <v>2897</v>
      </c>
      <c r="O148" s="758">
        <f>F134</f>
        <v>24817</v>
      </c>
      <c r="P148" s="756">
        <f>$O$143-O148</f>
        <v>127775</v>
      </c>
      <c r="Q148" s="116"/>
      <c r="R148" s="116"/>
    </row>
    <row r="149" spans="2:18" s="104" customFormat="1" ht="15.6">
      <c r="B149" s="801" t="s">
        <v>1888</v>
      </c>
      <c r="C149" s="802"/>
      <c r="D149" s="481"/>
      <c r="E149" s="423"/>
      <c r="F149" s="423"/>
      <c r="G149" s="423"/>
      <c r="H149" s="423"/>
      <c r="I149" s="423"/>
      <c r="J149" s="423"/>
      <c r="K149" s="805" t="s">
        <v>3213</v>
      </c>
      <c r="L149" s="810">
        <v>26321</v>
      </c>
      <c r="M149" s="481"/>
      <c r="N149" s="423"/>
      <c r="O149" s="423"/>
      <c r="P149" s="423"/>
      <c r="Q149" s="423"/>
      <c r="R149" s="423"/>
    </row>
    <row r="150" spans="2:18" s="104" customFormat="1" ht="15.6">
      <c r="B150" s="805" t="s">
        <v>2902</v>
      </c>
      <c r="C150" s="810">
        <v>3627</v>
      </c>
      <c r="D150"/>
      <c r="K150" s="805" t="s">
        <v>3214</v>
      </c>
      <c r="L150" s="810">
        <v>1099</v>
      </c>
      <c r="M150"/>
    </row>
    <row r="151" spans="2:18" s="104" customFormat="1" ht="15.6">
      <c r="B151" s="805" t="s">
        <v>2903</v>
      </c>
      <c r="C151" s="810">
        <v>3673</v>
      </c>
      <c r="D151"/>
      <c r="K151"/>
      <c r="L151"/>
      <c r="M151"/>
    </row>
    <row r="152" spans="2:18" s="104" customFormat="1" ht="15.6">
      <c r="B152"/>
      <c r="C152"/>
      <c r="D152"/>
      <c r="K152"/>
      <c r="L152"/>
      <c r="M152"/>
    </row>
    <row r="153" spans="2:18" s="104" customFormat="1" ht="15.6">
      <c r="B153"/>
      <c r="C153"/>
      <c r="D153"/>
      <c r="K153"/>
      <c r="L153"/>
      <c r="M153"/>
    </row>
    <row r="154" spans="2:18" s="104" customFormat="1" ht="15.6">
      <c r="B154"/>
      <c r="C154"/>
      <c r="D154"/>
      <c r="K154"/>
      <c r="L154"/>
      <c r="M154"/>
    </row>
    <row r="155" spans="2:18" s="104" customFormat="1" ht="15.6">
      <c r="B155"/>
      <c r="C155"/>
      <c r="D155"/>
      <c r="K155"/>
      <c r="L155"/>
      <c r="M155"/>
    </row>
    <row r="156" spans="2:18" s="104" customFormat="1" ht="15.6">
      <c r="B156"/>
      <c r="C156"/>
      <c r="D156"/>
      <c r="K156"/>
      <c r="L156"/>
      <c r="M156"/>
    </row>
    <row r="157" spans="2:18" s="104" customFormat="1" ht="15.6">
      <c r="B157"/>
      <c r="C157"/>
      <c r="D157"/>
      <c r="K157"/>
      <c r="L157"/>
      <c r="M157"/>
    </row>
    <row r="158" spans="2:18" s="104" customFormat="1" ht="15.6">
      <c r="B158"/>
      <c r="C158"/>
      <c r="D158"/>
      <c r="K158"/>
      <c r="L158"/>
      <c r="M158"/>
    </row>
    <row r="159" spans="2:18" s="104" customFormat="1" ht="15.6">
      <c r="B159"/>
      <c r="C159"/>
      <c r="D159"/>
    </row>
    <row r="160" spans="2:18" s="104" customFormat="1">
      <c r="B160" s="111"/>
      <c r="C160" s="111"/>
      <c r="D160" s="111"/>
    </row>
    <row r="161" spans="1:25" s="104" customFormat="1" ht="15.6">
      <c r="A161" s="470"/>
      <c r="B161" s="801" t="s">
        <v>18</v>
      </c>
      <c r="C161" s="802" t="s">
        <v>3199</v>
      </c>
      <c r="D161" s="116"/>
      <c r="E161" s="470"/>
    </row>
    <row r="162" spans="1:25" s="104" customFormat="1" ht="15.6">
      <c r="A162" s="470"/>
      <c r="B162" s="801" t="s">
        <v>32</v>
      </c>
      <c r="C162" s="802" t="s">
        <v>32</v>
      </c>
      <c r="D162" s="111"/>
      <c r="E162" s="470"/>
      <c r="T162"/>
    </row>
    <row r="163" spans="1:25" s="104" customFormat="1" ht="15.6">
      <c r="A163" s="470"/>
      <c r="B163" s="817" t="s">
        <v>19</v>
      </c>
      <c r="C163" s="833" t="s">
        <v>2648</v>
      </c>
      <c r="D163" s="111"/>
      <c r="E163" s="470"/>
    </row>
    <row r="164" spans="1:25" s="104" customFormat="1" ht="15.6">
      <c r="A164" s="470"/>
      <c r="B164" s="801" t="s">
        <v>124</v>
      </c>
      <c r="C164" s="802" t="s">
        <v>794</v>
      </c>
      <c r="D164" s="111"/>
      <c r="E164" s="470"/>
    </row>
    <row r="165" spans="1:25" s="104" customFormat="1" ht="15.6">
      <c r="A165" s="470"/>
      <c r="B165" s="434" t="s">
        <v>294</v>
      </c>
      <c r="C165" s="111"/>
      <c r="D165" s="111"/>
      <c r="E165" s="470"/>
    </row>
    <row r="166" spans="1:25" s="104" customFormat="1" ht="15.6">
      <c r="A166" s="470"/>
      <c r="B166" s="814" t="s">
        <v>19</v>
      </c>
      <c r="C166" s="802" t="s">
        <v>2781</v>
      </c>
      <c r="D166" s="802" t="s">
        <v>2778</v>
      </c>
      <c r="E166" s="470"/>
    </row>
    <row r="167" spans="1:25" s="104" customFormat="1" ht="15.6">
      <c r="A167" s="470"/>
      <c r="B167" s="805" t="s">
        <v>302</v>
      </c>
      <c r="C167" s="807">
        <v>0</v>
      </c>
      <c r="D167" s="807">
        <v>1</v>
      </c>
      <c r="E167" s="470"/>
    </row>
    <row r="168" spans="1:25" s="104" customFormat="1" ht="15.6">
      <c r="A168" s="470"/>
      <c r="B168" s="805" t="s">
        <v>312</v>
      </c>
      <c r="C168" s="807">
        <v>0</v>
      </c>
      <c r="D168" s="807">
        <v>1</v>
      </c>
      <c r="E168" s="470"/>
      <c r="T168"/>
    </row>
    <row r="169" spans="1:25" s="104" customFormat="1" ht="15.6">
      <c r="A169" s="470"/>
      <c r="B169" s="805" t="s">
        <v>399</v>
      </c>
      <c r="C169" s="807">
        <v>1</v>
      </c>
      <c r="D169" s="807">
        <v>0</v>
      </c>
      <c r="E169" s="470"/>
      <c r="K169"/>
      <c r="L169"/>
      <c r="M169"/>
      <c r="T169"/>
    </row>
    <row r="170" spans="1:25" s="104" customFormat="1" ht="15.6">
      <c r="A170" s="470"/>
      <c r="B170" s="805" t="s">
        <v>402</v>
      </c>
      <c r="C170" s="807">
        <v>0.27932379713914174</v>
      </c>
      <c r="D170" s="807">
        <v>0.72067620286085821</v>
      </c>
      <c r="E170" s="470"/>
      <c r="K170"/>
      <c r="L170"/>
      <c r="M170"/>
      <c r="T170"/>
    </row>
    <row r="171" spans="1:25" s="104" customFormat="1" ht="15.6">
      <c r="A171" s="470"/>
      <c r="B171" s="805" t="s">
        <v>295</v>
      </c>
      <c r="C171" s="807">
        <v>0.28558781869688388</v>
      </c>
      <c r="D171" s="807">
        <v>0.71441218130311612</v>
      </c>
      <c r="E171" s="470"/>
      <c r="K171"/>
      <c r="L171"/>
      <c r="M171"/>
      <c r="T171"/>
    </row>
    <row r="172" spans="1:25" s="104" customFormat="1" ht="15.6">
      <c r="A172" s="470"/>
      <c r="B172"/>
      <c r="C172"/>
      <c r="D172"/>
      <c r="E172" s="470"/>
      <c r="K172"/>
      <c r="L172"/>
      <c r="M172"/>
      <c r="T172"/>
    </row>
    <row r="173" spans="1:25" s="104" customFormat="1" ht="15.6">
      <c r="A173" s="470"/>
      <c r="B173"/>
      <c r="C173"/>
      <c r="D173"/>
      <c r="E173" s="470"/>
      <c r="K173"/>
      <c r="L173"/>
      <c r="M173"/>
      <c r="T173"/>
      <c r="W173"/>
      <c r="X173"/>
      <c r="Y173"/>
    </row>
    <row r="174" spans="1:25" s="104" customFormat="1" ht="15.6">
      <c r="B174"/>
      <c r="C174"/>
      <c r="D174"/>
      <c r="K174"/>
      <c r="L174"/>
      <c r="M174"/>
      <c r="T174"/>
      <c r="U174"/>
      <c r="V174"/>
      <c r="W174"/>
      <c r="X174"/>
      <c r="Y174"/>
    </row>
    <row r="175" spans="1:25" s="104" customFormat="1" ht="15.6">
      <c r="B175"/>
      <c r="C175"/>
      <c r="D175"/>
      <c r="K175"/>
      <c r="L175"/>
      <c r="M175"/>
      <c r="U175"/>
      <c r="V175"/>
      <c r="W175"/>
      <c r="X175"/>
      <c r="Y175"/>
    </row>
    <row r="176" spans="1:25" s="104" customFormat="1" ht="15.6">
      <c r="B176"/>
      <c r="C176"/>
      <c r="D176"/>
      <c r="K176"/>
      <c r="L176"/>
      <c r="M176"/>
      <c r="U176"/>
      <c r="V176"/>
      <c r="W176"/>
      <c r="X176"/>
      <c r="Y176"/>
    </row>
    <row r="177" spans="1:26" s="104" customFormat="1" ht="15.6">
      <c r="B177" s="111"/>
      <c r="C177" s="111"/>
      <c r="D177" s="111"/>
      <c r="K177"/>
      <c r="L177"/>
      <c r="M177"/>
      <c r="U177"/>
      <c r="V177"/>
      <c r="W177"/>
    </row>
    <row r="178" spans="1:26" s="104" customFormat="1" ht="15.6">
      <c r="B178" s="111"/>
      <c r="C178" s="111"/>
      <c r="D178" s="111"/>
      <c r="K178"/>
      <c r="L178"/>
      <c r="M178"/>
      <c r="U178"/>
      <c r="V178"/>
      <c r="W178"/>
    </row>
    <row r="179" spans="1:26" s="104" customFormat="1" ht="15.6">
      <c r="B179" s="111"/>
      <c r="C179" s="111"/>
      <c r="D179" s="111"/>
      <c r="K179" s="460"/>
      <c r="L179" s="461"/>
      <c r="M179" s="461"/>
      <c r="U179" s="393"/>
      <c r="V179" s="393"/>
      <c r="W179" s="393"/>
    </row>
    <row r="180" spans="1:26" s="104" customFormat="1" ht="15.6">
      <c r="B180" s="111"/>
      <c r="C180" s="111"/>
      <c r="D180" s="111"/>
      <c r="K180" s="460"/>
      <c r="L180" s="461"/>
      <c r="M180" s="461"/>
      <c r="U180" s="393"/>
      <c r="V180" s="393"/>
      <c r="W180" s="393"/>
    </row>
    <row r="181" spans="1:26" s="104" customFormat="1" ht="15.6">
      <c r="B181" s="111"/>
      <c r="C181" s="111"/>
      <c r="D181" s="111"/>
      <c r="K181" s="460"/>
      <c r="L181" s="461"/>
      <c r="M181" s="461"/>
      <c r="U181" s="393"/>
      <c r="V181" s="393"/>
      <c r="W181" s="393"/>
    </row>
    <row r="182" spans="1:26" s="104" customFormat="1" ht="15.6">
      <c r="B182" s="111"/>
      <c r="C182" s="111"/>
      <c r="D182" s="111"/>
      <c r="K182" s="460"/>
      <c r="L182" s="461"/>
      <c r="M182" s="461"/>
      <c r="U182" s="393"/>
      <c r="V182" s="393"/>
      <c r="W182" s="393"/>
    </row>
    <row r="183" spans="1:26" s="104" customFormat="1" ht="18">
      <c r="A183" s="139" t="s">
        <v>1648</v>
      </c>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row>
    <row r="184" spans="1:26" s="104" customFormat="1">
      <c r="B184" s="111"/>
      <c r="C184" s="111"/>
      <c r="D184" s="111"/>
    </row>
    <row r="185" spans="1:26" s="104" customFormat="1">
      <c r="B185" s="111"/>
      <c r="C185" s="111"/>
      <c r="D185" s="111"/>
    </row>
    <row r="186" spans="1:26" s="104" customFormat="1">
      <c r="H186" s="801" t="s">
        <v>18</v>
      </c>
      <c r="I186" s="802" t="s">
        <v>3199</v>
      </c>
    </row>
    <row r="187" spans="1:26" s="104" customFormat="1">
      <c r="H187" s="833" t="s">
        <v>19</v>
      </c>
      <c r="I187" s="802" t="s">
        <v>2648</v>
      </c>
    </row>
    <row r="188" spans="1:26" s="104" customFormat="1"/>
    <row r="189" spans="1:26" s="104" customFormat="1" ht="15.6">
      <c r="H189" s="801" t="s">
        <v>2904</v>
      </c>
      <c r="I189" s="801" t="s">
        <v>1887</v>
      </c>
      <c r="J189"/>
    </row>
    <row r="190" spans="1:26" s="104" customFormat="1" ht="15.6">
      <c r="H190" s="801" t="s">
        <v>1637</v>
      </c>
      <c r="I190" s="802" t="s">
        <v>32</v>
      </c>
      <c r="J190"/>
    </row>
    <row r="191" spans="1:26" s="104" customFormat="1" ht="15.6">
      <c r="H191" s="805" t="s">
        <v>794</v>
      </c>
      <c r="I191" s="810">
        <v>126</v>
      </c>
      <c r="J191"/>
    </row>
    <row r="192" spans="1:26" s="104" customFormat="1" ht="15.6">
      <c r="H192"/>
      <c r="I192"/>
      <c r="J192"/>
    </row>
    <row r="193" spans="1:26" s="104" customFormat="1" ht="15.6">
      <c r="H193"/>
      <c r="I193"/>
      <c r="J193"/>
    </row>
    <row r="194" spans="1:26" s="104" customFormat="1" ht="15.6">
      <c r="C194"/>
      <c r="D194"/>
      <c r="E194"/>
      <c r="H194"/>
      <c r="I194"/>
      <c r="J194"/>
    </row>
    <row r="195" spans="1:26" s="104" customFormat="1" ht="15.6">
      <c r="H195"/>
      <c r="I195"/>
      <c r="J195"/>
    </row>
    <row r="196" spans="1:26" s="104" customFormat="1"/>
    <row r="197" spans="1:26" s="104" customFormat="1"/>
    <row r="198" spans="1:26" s="104" customFormat="1"/>
    <row r="199" spans="1:26" s="104" customFormat="1"/>
    <row r="200" spans="1:26" s="104" customFormat="1"/>
    <row r="201" spans="1:26" s="104" customFormat="1"/>
    <row r="202" spans="1:26" s="104" customFormat="1"/>
    <row r="203" spans="1:26" s="104" customFormat="1"/>
    <row r="204" spans="1:26" s="104" customFormat="1"/>
    <row r="205" spans="1:26" s="104" customFormat="1"/>
    <row r="206" spans="1:26" s="104" customFormat="1"/>
    <row r="207" spans="1:26" s="104" customFormat="1" ht="18">
      <c r="A207" s="140" t="s">
        <v>1985</v>
      </c>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s="104" customFormat="1"/>
    <row r="209" spans="3:12" s="104" customFormat="1"/>
    <row r="210" spans="3:12" s="104" customFormat="1" ht="15.6">
      <c r="C210"/>
      <c r="D210"/>
    </row>
    <row r="211" spans="3:12" s="104" customFormat="1">
      <c r="C211" s="801" t="s">
        <v>18</v>
      </c>
      <c r="D211" s="802" t="s">
        <v>3199</v>
      </c>
    </row>
    <row r="212" spans="3:12" s="104" customFormat="1"/>
    <row r="213" spans="3:12" s="104" customFormat="1" ht="15.6">
      <c r="C213" s="801" t="s">
        <v>19</v>
      </c>
      <c r="D213" s="801" t="s">
        <v>20</v>
      </c>
      <c r="E213" s="801" t="s">
        <v>27</v>
      </c>
      <c r="F213" s="802" t="s">
        <v>1916</v>
      </c>
      <c r="G213" s="802" t="s">
        <v>1917</v>
      </c>
      <c r="H213" s="802" t="s">
        <v>1918</v>
      </c>
      <c r="I213" s="802" t="s">
        <v>1919</v>
      </c>
      <c r="J213" s="802" t="s">
        <v>1920</v>
      </c>
      <c r="K213"/>
      <c r="L213"/>
    </row>
    <row r="214" spans="3:12" s="104" customFormat="1" ht="15.6">
      <c r="C214" s="802" t="s">
        <v>36</v>
      </c>
      <c r="D214" s="802" t="s">
        <v>149</v>
      </c>
      <c r="E214" s="802" t="s">
        <v>794</v>
      </c>
      <c r="F214" s="806">
        <v>97</v>
      </c>
      <c r="G214" s="806">
        <v>482</v>
      </c>
      <c r="H214" s="807">
        <v>0</v>
      </c>
      <c r="I214" s="807">
        <v>0.37759336099585061</v>
      </c>
      <c r="J214" s="807">
        <v>0.94398340248962653</v>
      </c>
      <c r="K214"/>
      <c r="L214"/>
    </row>
    <row r="215" spans="3:12" s="104" customFormat="1" ht="15.6">
      <c r="C215" s="802"/>
      <c r="D215" s="802" t="s">
        <v>174</v>
      </c>
      <c r="E215" s="802" t="s">
        <v>794</v>
      </c>
      <c r="F215" s="806">
        <v>380</v>
      </c>
      <c r="G215" s="806">
        <v>2306</v>
      </c>
      <c r="H215" s="807">
        <v>1</v>
      </c>
      <c r="I215" s="807">
        <v>1</v>
      </c>
      <c r="J215" s="807">
        <v>1</v>
      </c>
      <c r="K215"/>
      <c r="L215"/>
    </row>
    <row r="216" spans="3:12" s="104" customFormat="1" ht="15.6">
      <c r="C216" s="802"/>
      <c r="D216" s="802" t="s">
        <v>132</v>
      </c>
      <c r="E216" s="802" t="s">
        <v>794</v>
      </c>
      <c r="F216" s="806">
        <v>1146</v>
      </c>
      <c r="G216" s="806">
        <v>5042</v>
      </c>
      <c r="H216" s="807">
        <v>0.5</v>
      </c>
      <c r="I216" s="807">
        <v>0.65422620944185372</v>
      </c>
      <c r="J216" s="807">
        <v>0.92925179658118984</v>
      </c>
      <c r="K216"/>
      <c r="L216"/>
    </row>
    <row r="217" spans="3:12" s="104" customFormat="1" ht="15.6">
      <c r="C217" s="802"/>
      <c r="D217" s="802" t="s">
        <v>771</v>
      </c>
      <c r="E217" s="802" t="s">
        <v>794</v>
      </c>
      <c r="F217" s="806">
        <v>624</v>
      </c>
      <c r="G217" s="806">
        <v>3741</v>
      </c>
      <c r="H217" s="807">
        <v>1</v>
      </c>
      <c r="I217" s="807">
        <v>1</v>
      </c>
      <c r="J217" s="807">
        <v>1</v>
      </c>
      <c r="K217"/>
      <c r="L217"/>
    </row>
    <row r="218" spans="3:12" s="104" customFormat="1" ht="15.6">
      <c r="C218" s="802" t="s">
        <v>3198</v>
      </c>
      <c r="D218" s="802"/>
      <c r="E218" s="802"/>
      <c r="F218" s="806">
        <v>2247</v>
      </c>
      <c r="G218" s="806">
        <v>11571</v>
      </c>
      <c r="H218" s="807">
        <v>0.77551020408163263</v>
      </c>
      <c r="I218" s="807">
        <v>0.84616566428230455</v>
      </c>
      <c r="J218" s="807">
        <v>0.969979986410478</v>
      </c>
      <c r="K218"/>
      <c r="L218"/>
    </row>
    <row r="219" spans="3:12" s="104" customFormat="1" ht="15.6">
      <c r="C219" s="802" t="s">
        <v>698</v>
      </c>
      <c r="D219" s="802" t="s">
        <v>717</v>
      </c>
      <c r="E219" s="802" t="s">
        <v>794</v>
      </c>
      <c r="F219" s="806">
        <v>68</v>
      </c>
      <c r="G219" s="806">
        <v>413</v>
      </c>
      <c r="H219" s="807">
        <v>0.66666666666666663</v>
      </c>
      <c r="I219" s="807">
        <v>0.29664769133459834</v>
      </c>
      <c r="J219" s="807">
        <v>0.45062475385772083</v>
      </c>
      <c r="K219"/>
      <c r="L219"/>
    </row>
    <row r="220" spans="3:12" s="104" customFormat="1" ht="15.6">
      <c r="C220" s="802"/>
      <c r="D220" s="802" t="s">
        <v>1253</v>
      </c>
      <c r="E220" s="802" t="s">
        <v>794</v>
      </c>
      <c r="F220" s="806">
        <v>262</v>
      </c>
      <c r="G220" s="806">
        <v>1342</v>
      </c>
      <c r="H220" s="807">
        <v>0.83333333333333337</v>
      </c>
      <c r="I220" s="807">
        <v>5.1282051282051287E-2</v>
      </c>
      <c r="J220" s="807">
        <v>0.35403117563461645</v>
      </c>
      <c r="K220"/>
      <c r="L220"/>
    </row>
    <row r="221" spans="3:12" s="104" customFormat="1" ht="15.6">
      <c r="C221" s="802"/>
      <c r="D221" s="802" t="s">
        <v>1255</v>
      </c>
      <c r="E221" s="802" t="s">
        <v>794</v>
      </c>
      <c r="F221" s="806">
        <v>777</v>
      </c>
      <c r="G221" s="806">
        <v>4171</v>
      </c>
      <c r="H221" s="807">
        <v>0.75</v>
      </c>
      <c r="I221" s="807">
        <v>0.86723823486861851</v>
      </c>
      <c r="J221" s="807">
        <v>1</v>
      </c>
      <c r="K221"/>
      <c r="L221"/>
    </row>
    <row r="222" spans="3:12" s="104" customFormat="1" ht="15.6">
      <c r="C222" s="802" t="s">
        <v>3124</v>
      </c>
      <c r="D222" s="802"/>
      <c r="E222" s="802"/>
      <c r="F222" s="806">
        <v>1107</v>
      </c>
      <c r="G222" s="806">
        <v>5926</v>
      </c>
      <c r="H222" s="807">
        <v>0.76923076923076927</v>
      </c>
      <c r="I222" s="807">
        <v>0.35896833239773662</v>
      </c>
      <c r="J222" s="807">
        <v>0.57508163964468162</v>
      </c>
      <c r="K222"/>
      <c r="L222"/>
    </row>
    <row r="223" spans="3:12" s="104" customFormat="1" ht="15.6">
      <c r="C223" s="802" t="s">
        <v>2648</v>
      </c>
      <c r="D223" s="802" t="s">
        <v>302</v>
      </c>
      <c r="E223" s="802" t="s">
        <v>794</v>
      </c>
      <c r="F223" s="806">
        <v>2246</v>
      </c>
      <c r="G223" s="806">
        <v>10093</v>
      </c>
      <c r="H223" s="807">
        <v>0.2492659637136255</v>
      </c>
      <c r="I223" s="807">
        <v>0.60586821735010921</v>
      </c>
      <c r="J223" s="807">
        <v>1</v>
      </c>
      <c r="K223"/>
      <c r="L223"/>
    </row>
    <row r="224" spans="3:12" s="104" customFormat="1" ht="15.6">
      <c r="C224" s="802"/>
      <c r="D224" s="802" t="s">
        <v>312</v>
      </c>
      <c r="E224" s="802" t="s">
        <v>794</v>
      </c>
      <c r="F224" s="806">
        <v>4598</v>
      </c>
      <c r="G224" s="806">
        <v>22441</v>
      </c>
      <c r="H224" s="807">
        <v>0</v>
      </c>
      <c r="I224" s="807">
        <v>0.30927975142972974</v>
      </c>
      <c r="J224" s="807">
        <v>1</v>
      </c>
      <c r="K224"/>
      <c r="L224"/>
    </row>
    <row r="225" spans="3:12" s="104" customFormat="1" ht="15.6">
      <c r="C225" s="802"/>
      <c r="D225" s="802"/>
      <c r="E225" s="802" t="s">
        <v>879</v>
      </c>
      <c r="F225" s="806">
        <v>533</v>
      </c>
      <c r="G225" s="806">
        <v>2522</v>
      </c>
      <c r="H225" s="807">
        <v>0</v>
      </c>
      <c r="I225" s="807">
        <v>0.47013439522150324</v>
      </c>
      <c r="J225" s="807">
        <v>1</v>
      </c>
      <c r="K225"/>
      <c r="L225"/>
    </row>
    <row r="226" spans="3:12" s="104" customFormat="1" ht="15.6">
      <c r="C226" s="802"/>
      <c r="D226" s="802" t="s">
        <v>399</v>
      </c>
      <c r="E226" s="802" t="s">
        <v>817</v>
      </c>
      <c r="F226" s="806">
        <v>40</v>
      </c>
      <c r="G226" s="806">
        <v>217</v>
      </c>
      <c r="H226" s="807">
        <v>0</v>
      </c>
      <c r="I226" s="807">
        <v>0</v>
      </c>
      <c r="J226" s="807">
        <v>0</v>
      </c>
      <c r="K226"/>
      <c r="L226"/>
    </row>
    <row r="227" spans="3:12" s="104" customFormat="1">
      <c r="C227" s="802"/>
      <c r="D227" s="802" t="s">
        <v>402</v>
      </c>
      <c r="E227" s="802" t="s">
        <v>794</v>
      </c>
      <c r="F227" s="806">
        <v>3533</v>
      </c>
      <c r="G227" s="806">
        <v>15380</v>
      </c>
      <c r="H227" s="807">
        <v>0</v>
      </c>
      <c r="I227" s="807">
        <v>0.89601209861171049</v>
      </c>
      <c r="J227" s="807">
        <v>0.87122385994560114</v>
      </c>
      <c r="K227" s="464"/>
      <c r="L227" s="464"/>
    </row>
    <row r="228" spans="3:12" s="104" customFormat="1">
      <c r="C228" s="802"/>
      <c r="D228" s="802" t="s">
        <v>295</v>
      </c>
      <c r="E228" s="802" t="s">
        <v>794</v>
      </c>
      <c r="F228" s="806">
        <v>16246</v>
      </c>
      <c r="G228" s="806">
        <v>85760</v>
      </c>
      <c r="H228" s="807">
        <v>0.36842105263157893</v>
      </c>
      <c r="I228" s="807">
        <v>0.62936022167149941</v>
      </c>
      <c r="J228" s="807">
        <v>0.65197129943227083</v>
      </c>
      <c r="K228" s="464"/>
      <c r="L228" s="464"/>
    </row>
    <row r="229" spans="3:12" s="104" customFormat="1">
      <c r="C229" s="802"/>
      <c r="D229" s="802"/>
      <c r="E229" s="802" t="s">
        <v>817</v>
      </c>
      <c r="F229" s="806">
        <v>892</v>
      </c>
      <c r="G229" s="806">
        <v>4608</v>
      </c>
      <c r="H229" s="807">
        <v>1</v>
      </c>
      <c r="I229" s="807">
        <v>1</v>
      </c>
      <c r="J229" s="807">
        <v>0.60848168261832924</v>
      </c>
      <c r="K229" s="464"/>
      <c r="L229" s="464"/>
    </row>
    <row r="230" spans="3:12" s="104" customFormat="1">
      <c r="C230" s="802" t="s">
        <v>2649</v>
      </c>
      <c r="D230" s="802"/>
      <c r="E230" s="802"/>
      <c r="F230" s="806">
        <v>28088</v>
      </c>
      <c r="G230" s="806">
        <v>141021</v>
      </c>
      <c r="H230" s="807">
        <v>0.23006551920173024</v>
      </c>
      <c r="I230" s="807">
        <v>0.57895884388599628</v>
      </c>
      <c r="J230" s="807">
        <v>0.80788432410596178</v>
      </c>
      <c r="K230" s="464"/>
      <c r="L230" s="464"/>
    </row>
    <row r="231" spans="3:12" s="104" customFormat="1">
      <c r="C231" s="802" t="s">
        <v>3274</v>
      </c>
      <c r="D231" s="802" t="s">
        <v>3275</v>
      </c>
      <c r="E231" s="802" t="s">
        <v>794</v>
      </c>
      <c r="F231" s="806">
        <v>1398</v>
      </c>
      <c r="G231" s="806">
        <v>7593</v>
      </c>
      <c r="H231" s="807">
        <v>0.05</v>
      </c>
      <c r="I231" s="807">
        <v>0.38325296161126043</v>
      </c>
      <c r="J231" s="807">
        <v>1</v>
      </c>
      <c r="K231" s="464"/>
      <c r="L231" s="464"/>
    </row>
    <row r="232" spans="3:12" s="104" customFormat="1">
      <c r="C232" s="802" t="s">
        <v>3292</v>
      </c>
      <c r="D232" s="802"/>
      <c r="E232" s="802"/>
      <c r="F232" s="806">
        <v>1398</v>
      </c>
      <c r="G232" s="806">
        <v>7593</v>
      </c>
      <c r="H232" s="807">
        <v>0.05</v>
      </c>
      <c r="I232" s="807">
        <v>0.38325296161126043</v>
      </c>
      <c r="J232" s="807">
        <v>1</v>
      </c>
      <c r="K232" s="464"/>
      <c r="L232" s="464"/>
    </row>
    <row r="233" spans="3:12" s="104" customFormat="1" ht="15.6">
      <c r="C233"/>
      <c r="D233"/>
      <c r="E233"/>
      <c r="F233"/>
      <c r="G233"/>
      <c r="H233"/>
      <c r="I233"/>
      <c r="J233"/>
      <c r="K233" s="464"/>
      <c r="L233" s="464"/>
    </row>
    <row r="234" spans="3:12" s="104" customFormat="1" ht="15.6">
      <c r="C234"/>
      <c r="D234"/>
      <c r="E234"/>
      <c r="F234"/>
      <c r="G234"/>
      <c r="H234"/>
      <c r="I234"/>
      <c r="J234"/>
      <c r="K234" s="464"/>
      <c r="L234" s="464"/>
    </row>
    <row r="235" spans="3:12" s="104" customFormat="1">
      <c r="C235" s="740"/>
      <c r="D235" s="740"/>
      <c r="E235" s="740"/>
      <c r="F235" s="741"/>
      <c r="G235" s="741"/>
      <c r="H235" s="742"/>
      <c r="I235" s="742"/>
      <c r="J235" s="742"/>
      <c r="K235" s="464"/>
      <c r="L235" s="464"/>
    </row>
    <row r="236" spans="3:12" s="104" customFormat="1">
      <c r="C236" s="740"/>
      <c r="D236" s="740"/>
      <c r="E236" s="740"/>
      <c r="F236" s="741"/>
      <c r="G236" s="741"/>
      <c r="H236" s="742"/>
      <c r="I236" s="742"/>
      <c r="J236" s="742"/>
      <c r="K236" s="464"/>
      <c r="L236" s="464"/>
    </row>
    <row r="237" spans="3:12" s="104" customFormat="1">
      <c r="C237" s="740"/>
      <c r="D237" s="740"/>
      <c r="E237" s="740"/>
      <c r="F237" s="741"/>
      <c r="G237" s="741"/>
      <c r="H237" s="742"/>
      <c r="I237" s="742"/>
      <c r="J237" s="742"/>
      <c r="K237" s="464"/>
      <c r="L237" s="464"/>
    </row>
    <row r="238" spans="3:12" s="104" customFormat="1">
      <c r="C238" s="740"/>
      <c r="D238" s="740"/>
      <c r="E238" s="740"/>
      <c r="F238" s="741"/>
      <c r="G238" s="741"/>
      <c r="H238" s="742"/>
      <c r="I238" s="742"/>
      <c r="J238" s="742"/>
      <c r="K238" s="464"/>
      <c r="L238" s="464"/>
    </row>
    <row r="239" spans="3:12" s="104" customFormat="1">
      <c r="C239" s="740"/>
      <c r="D239" s="740"/>
      <c r="E239" s="740"/>
      <c r="F239" s="741"/>
      <c r="G239" s="741"/>
      <c r="H239" s="742"/>
      <c r="I239" s="742"/>
      <c r="J239" s="742"/>
      <c r="K239" s="464"/>
      <c r="L239" s="464"/>
    </row>
    <row r="240" spans="3:12" s="104" customFormat="1">
      <c r="C240" s="740"/>
      <c r="D240" s="740"/>
      <c r="E240" s="740"/>
      <c r="F240" s="741"/>
      <c r="G240" s="741"/>
      <c r="H240" s="742"/>
      <c r="I240" s="742"/>
      <c r="J240" s="742"/>
      <c r="K240" s="464"/>
      <c r="L240" s="464"/>
    </row>
    <row r="241" spans="1:25" s="104" customFormat="1">
      <c r="C241" s="740"/>
      <c r="D241" s="740"/>
      <c r="E241" s="740"/>
      <c r="F241" s="741"/>
      <c r="G241" s="741"/>
      <c r="H241" s="742"/>
      <c r="I241" s="742"/>
      <c r="J241" s="742"/>
      <c r="K241" s="464"/>
      <c r="L241" s="464"/>
    </row>
    <row r="242" spans="1:25" s="104" customFormat="1">
      <c r="C242" s="740"/>
      <c r="D242" s="740"/>
      <c r="E242" s="740"/>
      <c r="F242" s="741"/>
      <c r="G242" s="741"/>
      <c r="H242" s="742"/>
      <c r="I242" s="742"/>
      <c r="J242" s="742"/>
      <c r="K242" s="464"/>
      <c r="L242" s="464"/>
    </row>
    <row r="243" spans="1:25" s="104" customFormat="1">
      <c r="C243" s="740"/>
      <c r="D243" s="740"/>
      <c r="E243" s="740"/>
      <c r="F243" s="741"/>
      <c r="G243" s="741"/>
      <c r="H243" s="742"/>
      <c r="I243" s="742"/>
      <c r="J243" s="742"/>
      <c r="K243" s="464"/>
      <c r="L243" s="464"/>
    </row>
    <row r="244" spans="1:25" s="104" customFormat="1">
      <c r="C244" s="740"/>
      <c r="D244" s="740"/>
      <c r="E244" s="740"/>
      <c r="F244" s="741"/>
      <c r="G244" s="741"/>
      <c r="H244" s="742"/>
      <c r="I244" s="742"/>
      <c r="J244" s="742"/>
      <c r="K244" s="464"/>
      <c r="L244" s="464"/>
    </row>
    <row r="245" spans="1:25" s="104" customFormat="1">
      <c r="C245" s="740"/>
      <c r="D245" s="740"/>
      <c r="E245" s="740"/>
      <c r="F245" s="741"/>
      <c r="G245" s="741"/>
      <c r="H245" s="742"/>
      <c r="I245" s="742"/>
      <c r="J245" s="742"/>
      <c r="K245" s="464"/>
      <c r="L245" s="464"/>
    </row>
    <row r="246" spans="1:25" s="104" customFormat="1" ht="18">
      <c r="A246" s="141" t="s">
        <v>1921</v>
      </c>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row>
    <row r="247" spans="1:25" s="104" customFormat="1">
      <c r="C247" s="111"/>
      <c r="D247" s="111"/>
      <c r="E247" s="111"/>
      <c r="F247" s="111"/>
      <c r="G247" s="111"/>
      <c r="H247" s="111"/>
      <c r="I247" s="111"/>
      <c r="J247" s="111"/>
      <c r="K247" s="111"/>
    </row>
    <row r="248" spans="1:25" s="104" customFormat="1">
      <c r="C248" s="111"/>
      <c r="D248" s="111"/>
      <c r="E248" s="111"/>
      <c r="F248" s="111"/>
      <c r="G248" s="111"/>
      <c r="H248" s="111"/>
      <c r="I248" s="111"/>
      <c r="J248" s="111"/>
      <c r="K248" s="111"/>
    </row>
    <row r="249" spans="1:25" s="104" customFormat="1">
      <c r="C249" s="111"/>
      <c r="D249" s="111"/>
      <c r="E249" s="111"/>
      <c r="F249" s="111"/>
      <c r="G249" s="111"/>
      <c r="H249" s="111"/>
      <c r="I249" s="111"/>
      <c r="J249" s="111"/>
      <c r="K249" s="111"/>
    </row>
    <row r="250" spans="1:25" s="104" customFormat="1">
      <c r="C250" s="801" t="s">
        <v>18</v>
      </c>
      <c r="D250" s="802" t="s">
        <v>3199</v>
      </c>
      <c r="F250" s="111"/>
      <c r="G250" s="111"/>
      <c r="H250" s="111"/>
      <c r="I250" s="111"/>
      <c r="J250" s="111"/>
      <c r="K250" s="111"/>
    </row>
    <row r="251" spans="1:25" s="104" customFormat="1">
      <c r="C251" s="801" t="s">
        <v>32</v>
      </c>
      <c r="D251" s="802" t="s">
        <v>32</v>
      </c>
      <c r="F251" s="111"/>
      <c r="G251" s="111"/>
      <c r="H251" s="111"/>
      <c r="I251" s="111"/>
      <c r="J251" s="111"/>
      <c r="K251" s="111"/>
    </row>
    <row r="252" spans="1:25" s="104" customFormat="1">
      <c r="C252" s="462"/>
      <c r="F252" s="111"/>
      <c r="G252" s="111"/>
      <c r="H252" s="111"/>
      <c r="I252" s="111"/>
      <c r="J252" s="111"/>
      <c r="K252" s="111"/>
    </row>
    <row r="253" spans="1:25" s="109" customFormat="1" ht="15.6">
      <c r="C253" s="802" t="s">
        <v>2923</v>
      </c>
      <c r="D253" s="802" t="s">
        <v>2919</v>
      </c>
      <c r="E253" s="802" t="s">
        <v>2924</v>
      </c>
      <c r="F253"/>
      <c r="G253"/>
      <c r="H253"/>
      <c r="I253"/>
      <c r="J253" s="439"/>
      <c r="K253" s="439"/>
    </row>
    <row r="254" spans="1:25" s="104" customFormat="1" ht="15.6">
      <c r="C254" s="806">
        <v>10</v>
      </c>
      <c r="D254" s="806">
        <v>121</v>
      </c>
      <c r="E254" s="806">
        <v>20</v>
      </c>
      <c r="F254"/>
      <c r="G254"/>
      <c r="H254"/>
      <c r="I254"/>
      <c r="J254" s="111"/>
      <c r="K254" s="111"/>
    </row>
    <row r="255" spans="1:25" s="104" customFormat="1" ht="15.6">
      <c r="C255"/>
      <c r="D255"/>
      <c r="E255"/>
      <c r="F255"/>
      <c r="G255"/>
      <c r="H255"/>
      <c r="I255"/>
      <c r="J255" s="111"/>
      <c r="K255" s="111"/>
    </row>
    <row r="256" spans="1:25" s="104" customFormat="1" ht="15.6">
      <c r="C256"/>
      <c r="D256"/>
      <c r="E256"/>
      <c r="F256"/>
      <c r="G256"/>
      <c r="H256"/>
      <c r="I256"/>
      <c r="J256" s="111"/>
      <c r="K256" s="111"/>
    </row>
    <row r="257" spans="3:11" s="104" customFormat="1" ht="15.6">
      <c r="C257"/>
      <c r="D257"/>
      <c r="E257"/>
      <c r="F257"/>
      <c r="G257"/>
      <c r="H257"/>
      <c r="I257"/>
      <c r="J257" s="111"/>
      <c r="K257" s="111"/>
    </row>
    <row r="258" spans="3:11" s="104" customFormat="1" ht="15" thickBot="1">
      <c r="C258" s="463"/>
      <c r="D258" s="111"/>
      <c r="E258" s="111"/>
      <c r="F258" s="111"/>
      <c r="G258" s="111"/>
      <c r="H258" s="111"/>
      <c r="I258" s="111"/>
      <c r="J258" s="111"/>
      <c r="K258" s="111"/>
    </row>
    <row r="259" spans="3:11" s="440" customFormat="1" ht="41.25" customHeight="1" thickBot="1">
      <c r="C259" s="441" t="s">
        <v>19</v>
      </c>
      <c r="D259" s="437" t="s">
        <v>2284</v>
      </c>
      <c r="E259" s="437" t="s">
        <v>2922</v>
      </c>
      <c r="F259" s="437" t="s">
        <v>2666</v>
      </c>
      <c r="G259" s="438" t="s">
        <v>2925</v>
      </c>
      <c r="H259" s="438" t="s">
        <v>3212</v>
      </c>
      <c r="I259" s="442"/>
      <c r="J259" s="442"/>
      <c r="K259" s="442"/>
    </row>
    <row r="260" spans="3:11" s="104" customFormat="1">
      <c r="C260" s="121"/>
      <c r="D260" s="159"/>
      <c r="E260" s="159"/>
      <c r="F260" s="159"/>
      <c r="G260" s="159"/>
      <c r="H260" s="159"/>
      <c r="I260" s="111"/>
      <c r="J260" s="111"/>
      <c r="K260" s="111"/>
    </row>
    <row r="261" spans="3:11" s="104" customFormat="1">
      <c r="C261" s="122" t="s">
        <v>294</v>
      </c>
      <c r="D261" s="159" t="e">
        <f>GETPIVOTDATA(" # of hand washing stations with soap in TLS",$C$253,"State","Central Rakhine")</f>
        <v>#REF!</v>
      </c>
      <c r="E261" s="160">
        <f>GETPIVOTDATA("Sum of #_of_functional_handwashing_facilities_at_school",$C$253)</f>
        <v>10</v>
      </c>
      <c r="F261" s="160" t="e">
        <f>GETPIVOTDATA(" #_Hygiene Promotion activities (sessions) in TLS?",$C$253,"State","Central Rakhine")</f>
        <v>#REF!</v>
      </c>
      <c r="G261" s="161">
        <f>GETPIVOTDATA("Sum of #_of_Functioning_latrines_in_school",$C$253)</f>
        <v>121</v>
      </c>
      <c r="H261" s="161">
        <f>GETPIVOTDATA("Sum of #_Functioning_water_points_at_school",$C$253)</f>
        <v>20</v>
      </c>
      <c r="I261" s="111"/>
      <c r="J261" s="111"/>
      <c r="K261" s="111"/>
    </row>
    <row r="262" spans="3:11" s="104" customFormat="1">
      <c r="C262" s="121" t="s">
        <v>698</v>
      </c>
      <c r="D262" s="159" t="e">
        <f>GETPIVOTDATA(" # of hand washing stations with soap in TLS",$C$253,"State","Shan (North)")</f>
        <v>#REF!</v>
      </c>
      <c r="E262" s="159" t="e">
        <f>GETPIVOTDATA(" #_Constructed/Existing hand washing stations at TLS",$C$253,"State","Shan (North)")</f>
        <v>#REF!</v>
      </c>
      <c r="F262" s="159" t="e">
        <f>GETPIVOTDATA(" #_Hygiene Promotion activities (sessions) in TLS?",$C$253,"State","Shan (North)")</f>
        <v>#REF!</v>
      </c>
      <c r="G262" s="159" t="e">
        <f>GETPIVOTDATA(" #_Constructed/Existing latrines in TLS",$C$253,"State","Shan (North)")</f>
        <v>#REF!</v>
      </c>
      <c r="H262" s="159" t="e">
        <f>GETPIVOTDATA(" #_of water points in TLS and CFS ",$C$253,"State","Shan (North)")</f>
        <v>#REF!</v>
      </c>
      <c r="I262" s="111"/>
      <c r="J262" s="111"/>
      <c r="K262" s="111"/>
    </row>
    <row r="263" spans="3:11" s="104" customFormat="1">
      <c r="C263" s="111"/>
      <c r="D263" s="111"/>
      <c r="E263" s="111"/>
      <c r="F263" s="111"/>
      <c r="G263" s="111"/>
      <c r="H263" s="111"/>
      <c r="I263" s="111"/>
      <c r="J263" s="111"/>
      <c r="K263" s="111"/>
    </row>
    <row r="264" spans="3:11" s="104" customFormat="1">
      <c r="C264" s="111"/>
      <c r="D264" s="111"/>
      <c r="E264" s="111"/>
      <c r="F264" s="111"/>
      <c r="G264" s="111"/>
      <c r="H264" s="111"/>
      <c r="I264" s="111"/>
      <c r="J264" s="111"/>
      <c r="K264" s="111"/>
    </row>
    <row r="265" spans="3:11" s="104" customFormat="1">
      <c r="C265" s="111"/>
      <c r="D265" s="111"/>
      <c r="E265" s="111"/>
      <c r="F265" s="111"/>
      <c r="G265" s="111"/>
      <c r="H265" s="111"/>
      <c r="I265" s="111"/>
      <c r="J265" s="111"/>
      <c r="K265" s="111"/>
    </row>
    <row r="266" spans="3:11" s="104" customFormat="1">
      <c r="C266" s="111"/>
      <c r="D266" s="111"/>
      <c r="E266" s="111"/>
      <c r="F266" s="111"/>
      <c r="G266" s="111"/>
      <c r="H266" s="111"/>
      <c r="I266" s="111"/>
      <c r="J266" s="111"/>
      <c r="K266" s="111"/>
    </row>
    <row r="267" spans="3:11" s="104" customFormat="1">
      <c r="C267" s="111"/>
      <c r="D267" s="111"/>
      <c r="E267" s="111"/>
      <c r="F267" s="111"/>
      <c r="G267" s="111"/>
      <c r="H267" s="111"/>
      <c r="I267" s="111"/>
      <c r="J267" s="111"/>
      <c r="K267" s="111"/>
    </row>
    <row r="268" spans="3:11" s="104" customFormat="1">
      <c r="C268" s="111"/>
      <c r="D268" s="111"/>
      <c r="E268" s="111"/>
      <c r="F268" s="111"/>
      <c r="G268" s="111"/>
      <c r="H268" s="111"/>
      <c r="I268" s="111"/>
      <c r="J268" s="111"/>
      <c r="K268" s="111"/>
    </row>
    <row r="269" spans="3:11" s="104" customFormat="1">
      <c r="C269" s="111"/>
      <c r="D269" s="111"/>
      <c r="E269" s="111"/>
      <c r="F269" s="111"/>
      <c r="G269" s="111"/>
      <c r="H269" s="111"/>
      <c r="I269" s="111"/>
      <c r="J269" s="111"/>
      <c r="K269" s="111"/>
    </row>
    <row r="270" spans="3:11" s="104" customFormat="1">
      <c r="C270" s="111"/>
      <c r="D270" s="111"/>
      <c r="E270" s="111"/>
      <c r="F270" s="111"/>
      <c r="G270" s="111"/>
      <c r="H270" s="111"/>
      <c r="I270" s="111"/>
      <c r="J270" s="111"/>
      <c r="K270" s="111"/>
    </row>
    <row r="271" spans="3:11" s="104" customFormat="1">
      <c r="C271" s="111"/>
      <c r="D271" s="111"/>
      <c r="E271" s="111"/>
      <c r="F271" s="111"/>
      <c r="G271" s="111"/>
      <c r="H271" s="111"/>
      <c r="I271" s="111"/>
      <c r="J271" s="111"/>
      <c r="K271" s="111"/>
    </row>
    <row r="272" spans="3:11" s="104" customFormat="1">
      <c r="C272" s="111"/>
      <c r="D272" s="111"/>
      <c r="E272" s="111"/>
      <c r="F272" s="111"/>
      <c r="G272" s="111"/>
      <c r="H272" s="111"/>
      <c r="I272" s="111"/>
      <c r="J272" s="111"/>
      <c r="K272" s="111"/>
    </row>
    <row r="273" spans="3:17" s="104" customFormat="1">
      <c r="C273" s="111"/>
      <c r="D273" s="111"/>
      <c r="E273" s="111"/>
      <c r="F273" s="111"/>
      <c r="G273" s="111"/>
      <c r="H273" s="111"/>
      <c r="I273" s="111"/>
      <c r="J273" s="111"/>
      <c r="K273" s="111"/>
    </row>
    <row r="274" spans="3:17" s="104" customFormat="1">
      <c r="C274" s="111"/>
      <c r="D274" s="111"/>
      <c r="E274" s="111"/>
      <c r="F274" s="111"/>
      <c r="G274" s="111"/>
      <c r="H274" s="111"/>
      <c r="I274" s="111"/>
      <c r="J274" s="111"/>
      <c r="K274" s="111"/>
    </row>
    <row r="275" spans="3:17" s="104" customFormat="1">
      <c r="C275" s="111"/>
      <c r="D275" s="111"/>
      <c r="E275" s="111"/>
      <c r="F275" s="111"/>
      <c r="G275" s="111"/>
      <c r="H275" s="111"/>
      <c r="I275" s="111"/>
      <c r="J275" s="111"/>
      <c r="K275" s="111"/>
    </row>
    <row r="276" spans="3:17" s="104" customFormat="1">
      <c r="C276" s="111"/>
      <c r="D276" s="111"/>
      <c r="E276" s="111"/>
      <c r="F276" s="111"/>
      <c r="G276" s="111"/>
      <c r="H276" s="111"/>
      <c r="I276" s="111"/>
      <c r="J276" s="111"/>
      <c r="K276" s="111"/>
    </row>
    <row r="277" spans="3:17" s="104" customFormat="1">
      <c r="C277" s="111"/>
      <c r="D277" s="111"/>
      <c r="E277" s="111"/>
      <c r="F277" s="111"/>
      <c r="G277" s="111"/>
      <c r="H277" s="111"/>
      <c r="I277" s="111"/>
      <c r="J277" s="111"/>
      <c r="K277" s="111"/>
    </row>
    <row r="278" spans="3:17" s="104" customFormat="1">
      <c r="C278" s="111"/>
      <c r="D278" s="111"/>
      <c r="E278" s="111"/>
      <c r="F278" s="111"/>
      <c r="G278" s="111"/>
      <c r="H278" s="111"/>
      <c r="I278" s="111"/>
      <c r="J278" s="111"/>
      <c r="K278" s="111"/>
    </row>
    <row r="279" spans="3:17" s="104" customFormat="1">
      <c r="C279" s="111"/>
      <c r="D279" s="111"/>
      <c r="E279" s="111"/>
      <c r="F279" s="111"/>
      <c r="G279" s="111"/>
      <c r="H279" s="111"/>
      <c r="I279" s="111"/>
      <c r="J279" s="111"/>
      <c r="K279" s="111"/>
    </row>
    <row r="280" spans="3:17" s="104" customFormat="1">
      <c r="C280" s="801" t="s">
        <v>18</v>
      </c>
      <c r="D280" s="802" t="s">
        <v>3199</v>
      </c>
      <c r="E280" s="111"/>
      <c r="F280" s="111"/>
      <c r="G280" s="111"/>
      <c r="H280" s="111"/>
      <c r="I280" s="111"/>
      <c r="J280" s="111"/>
      <c r="K280" s="111"/>
    </row>
    <row r="281" spans="3:17" s="104" customFormat="1">
      <c r="C281" s="801" t="s">
        <v>19</v>
      </c>
      <c r="D281" s="802" t="s">
        <v>1638</v>
      </c>
      <c r="E281" s="111"/>
      <c r="F281" s="111"/>
      <c r="G281" s="111"/>
      <c r="H281" s="111"/>
      <c r="I281" s="111"/>
      <c r="J281" s="111"/>
      <c r="K281" s="111"/>
    </row>
    <row r="282" spans="3:17" s="104" customFormat="1">
      <c r="C282" s="801" t="s">
        <v>32</v>
      </c>
      <c r="D282" s="802" t="s">
        <v>32</v>
      </c>
      <c r="F282" s="111"/>
      <c r="G282" s="111"/>
      <c r="H282" s="111"/>
      <c r="I282" s="111"/>
      <c r="J282" s="111"/>
      <c r="K282" s="111"/>
      <c r="L282" s="457"/>
      <c r="Q282" s="457"/>
    </row>
    <row r="283" spans="3:17" s="104" customFormat="1">
      <c r="C283" s="801" t="s">
        <v>124</v>
      </c>
      <c r="D283" s="802" t="s">
        <v>794</v>
      </c>
      <c r="F283" s="111"/>
      <c r="G283" s="111"/>
      <c r="H283" s="111"/>
      <c r="I283" s="111"/>
      <c r="J283" s="111"/>
      <c r="K283" s="111"/>
    </row>
    <row r="284" spans="3:17" s="104" customFormat="1">
      <c r="F284" s="111"/>
      <c r="G284" s="111"/>
      <c r="H284" s="111"/>
      <c r="I284" s="111"/>
      <c r="J284" s="111"/>
      <c r="K284" s="111"/>
    </row>
    <row r="285" spans="3:17" s="104" customFormat="1" ht="15.6">
      <c r="C285" s="801" t="s">
        <v>19</v>
      </c>
      <c r="D285" s="802" t="s">
        <v>2916</v>
      </c>
      <c r="E285"/>
      <c r="F285"/>
      <c r="G285"/>
      <c r="H285"/>
      <c r="I285" s="111"/>
      <c r="J285" s="111"/>
      <c r="K285" s="111"/>
    </row>
    <row r="286" spans="3:17" s="104" customFormat="1" ht="15.6">
      <c r="C286" s="805" t="s">
        <v>40</v>
      </c>
      <c r="D286" s="806">
        <v>39</v>
      </c>
      <c r="E286"/>
      <c r="F286"/>
      <c r="G286"/>
      <c r="H286"/>
      <c r="I286" s="111"/>
      <c r="J286" s="111"/>
      <c r="K286" s="111"/>
    </row>
    <row r="287" spans="3:17" s="104" customFormat="1" ht="15.6">
      <c r="C287" s="805" t="s">
        <v>126</v>
      </c>
      <c r="D287" s="806">
        <v>136</v>
      </c>
      <c r="E287"/>
      <c r="F287"/>
      <c r="G287"/>
      <c r="H287"/>
      <c r="I287" s="111"/>
      <c r="J287" s="111"/>
      <c r="K287" s="111"/>
    </row>
    <row r="288" spans="3:17" s="104" customFormat="1" ht="15.6">
      <c r="C288"/>
      <c r="D288"/>
      <c r="E288"/>
      <c r="F288"/>
      <c r="G288"/>
      <c r="H288"/>
      <c r="I288" s="111"/>
      <c r="J288" s="111"/>
      <c r="K288" s="111"/>
    </row>
    <row r="289" spans="2:11" s="104" customFormat="1" ht="15.6">
      <c r="C289"/>
      <c r="D289"/>
      <c r="E289"/>
      <c r="F289"/>
      <c r="G289" s="111"/>
      <c r="H289" s="111"/>
      <c r="I289" s="111"/>
      <c r="J289" s="111"/>
      <c r="K289" s="111"/>
    </row>
    <row r="290" spans="2:11" s="104" customFormat="1">
      <c r="B290" s="111"/>
      <c r="C290" s="111"/>
      <c r="D290" s="111"/>
      <c r="E290" s="111"/>
      <c r="F290" s="111"/>
      <c r="G290" s="111"/>
      <c r="H290" s="111"/>
      <c r="I290" s="111"/>
      <c r="J290" s="111"/>
      <c r="K290" s="111"/>
    </row>
    <row r="291" spans="2:11" s="104" customFormat="1">
      <c r="B291" s="111"/>
      <c r="C291" s="111"/>
      <c r="D291" s="111"/>
      <c r="E291" s="111"/>
      <c r="F291" s="111"/>
      <c r="G291" s="111"/>
      <c r="H291" s="111"/>
      <c r="I291" s="111"/>
      <c r="J291" s="111"/>
      <c r="K291" s="111"/>
    </row>
    <row r="292" spans="2:11" s="104" customFormat="1">
      <c r="B292" s="111"/>
      <c r="C292" s="111"/>
      <c r="D292" s="111"/>
      <c r="E292" s="111"/>
      <c r="F292" s="111"/>
      <c r="G292" s="111"/>
      <c r="H292" s="111"/>
      <c r="I292" s="111"/>
      <c r="J292" s="111"/>
      <c r="K292" s="111"/>
    </row>
    <row r="293" spans="2:11" s="104" customFormat="1">
      <c r="B293" s="111"/>
      <c r="C293" s="111"/>
      <c r="D293" s="111"/>
      <c r="E293" s="111"/>
      <c r="F293" s="111"/>
      <c r="G293" s="111"/>
      <c r="H293" s="111"/>
      <c r="I293" s="111"/>
      <c r="J293" s="111"/>
      <c r="K293" s="111"/>
    </row>
    <row r="294" spans="2:11" s="104" customFormat="1">
      <c r="B294" s="111"/>
      <c r="C294" s="111"/>
      <c r="D294" s="111"/>
      <c r="E294" s="111"/>
      <c r="F294" s="111"/>
      <c r="G294" s="111"/>
      <c r="H294" s="111"/>
      <c r="I294" s="111"/>
      <c r="J294" s="111"/>
      <c r="K294" s="111"/>
    </row>
    <row r="295" spans="2:11" s="104" customFormat="1">
      <c r="B295" s="111"/>
      <c r="C295" s="111"/>
      <c r="D295" s="111"/>
      <c r="E295" s="111"/>
      <c r="F295" s="111"/>
      <c r="G295" s="111"/>
      <c r="H295" s="111"/>
      <c r="I295" s="111"/>
      <c r="J295" s="111"/>
      <c r="K295" s="111"/>
    </row>
    <row r="296" spans="2:11" s="104" customFormat="1">
      <c r="B296" s="111"/>
      <c r="C296" s="111"/>
      <c r="D296" s="111"/>
      <c r="E296" s="111"/>
      <c r="F296" s="111"/>
      <c r="G296" s="111"/>
      <c r="H296" s="111"/>
      <c r="I296" s="111"/>
      <c r="J296" s="111"/>
      <c r="K296" s="111"/>
    </row>
    <row r="297" spans="2:11" s="104" customFormat="1">
      <c r="B297" s="111"/>
      <c r="C297" s="111"/>
      <c r="D297" s="111"/>
      <c r="E297" s="111"/>
      <c r="F297" s="111"/>
      <c r="G297" s="111"/>
      <c r="H297" s="111"/>
      <c r="I297" s="111"/>
      <c r="J297" s="111"/>
      <c r="K297" s="111"/>
    </row>
    <row r="298" spans="2:11" s="104" customFormat="1">
      <c r="B298" s="111"/>
      <c r="C298" s="111"/>
      <c r="D298" s="111"/>
      <c r="E298" s="111"/>
      <c r="F298" s="111"/>
      <c r="G298" s="111"/>
      <c r="H298" s="111"/>
      <c r="I298" s="111"/>
      <c r="J298" s="111"/>
      <c r="K298" s="111"/>
    </row>
    <row r="299" spans="2:11" s="104" customFormat="1">
      <c r="C299" s="111"/>
      <c r="D299" s="111"/>
      <c r="E299" s="111"/>
      <c r="F299" s="111"/>
      <c r="G299" s="111"/>
      <c r="H299" s="111"/>
      <c r="I299" s="111"/>
      <c r="J299" s="111"/>
      <c r="K299" s="111"/>
    </row>
    <row r="300" spans="2:11" s="104" customFormat="1">
      <c r="C300" s="111"/>
      <c r="D300" s="111"/>
      <c r="E300" s="111"/>
      <c r="F300" s="111"/>
      <c r="G300" s="111"/>
      <c r="H300" s="111"/>
      <c r="I300" s="111"/>
      <c r="J300" s="111"/>
      <c r="K300" s="111"/>
    </row>
    <row r="301" spans="2:11" s="104" customFormat="1">
      <c r="C301" s="111"/>
      <c r="D301" s="111"/>
      <c r="E301" s="111"/>
      <c r="F301" s="111"/>
      <c r="G301" s="111"/>
      <c r="H301" s="111"/>
      <c r="I301" s="111"/>
      <c r="J301" s="111"/>
      <c r="K301" s="111"/>
    </row>
    <row r="302" spans="2:11" s="104" customFormat="1">
      <c r="C302" s="111"/>
      <c r="D302" s="111"/>
      <c r="E302" s="111"/>
      <c r="F302" s="111"/>
      <c r="G302" s="111"/>
      <c r="H302" s="111"/>
      <c r="I302" s="111"/>
      <c r="J302" s="111"/>
      <c r="K302" s="111"/>
    </row>
    <row r="303" spans="2:11" s="104" customFormat="1">
      <c r="C303" s="111"/>
      <c r="D303" s="111"/>
      <c r="E303" s="111"/>
      <c r="F303" s="111"/>
      <c r="G303" s="111"/>
      <c r="H303" s="111"/>
      <c r="I303" s="111"/>
      <c r="J303" s="111"/>
      <c r="K303" s="111"/>
    </row>
    <row r="304" spans="2:11" s="104" customFormat="1">
      <c r="C304" s="111"/>
      <c r="D304" s="111"/>
      <c r="E304" s="111"/>
      <c r="F304" s="111"/>
      <c r="G304" s="111"/>
      <c r="H304" s="111"/>
      <c r="I304" s="111"/>
      <c r="J304" s="111"/>
      <c r="K304" s="111"/>
    </row>
    <row r="305" spans="3:11" s="104" customFormat="1">
      <c r="C305" s="111"/>
      <c r="D305" s="111"/>
      <c r="E305" s="111"/>
      <c r="F305" s="111"/>
      <c r="G305" s="111"/>
      <c r="H305" s="111"/>
      <c r="I305" s="111"/>
      <c r="J305" s="111"/>
      <c r="K305" s="111"/>
    </row>
    <row r="306" spans="3:11" s="104" customFormat="1">
      <c r="C306" s="111"/>
      <c r="D306" s="111"/>
      <c r="E306" s="111"/>
      <c r="F306" s="111"/>
      <c r="G306" s="111"/>
      <c r="H306" s="111"/>
      <c r="I306" s="111"/>
      <c r="J306" s="111"/>
      <c r="K306" s="111"/>
    </row>
    <row r="307" spans="3:11" s="104" customFormat="1">
      <c r="C307" s="111"/>
      <c r="D307" s="111"/>
      <c r="E307" s="111"/>
      <c r="F307" s="111"/>
      <c r="G307" s="111"/>
      <c r="H307" s="111"/>
      <c r="I307" s="111"/>
      <c r="J307" s="111"/>
      <c r="K307" s="111"/>
    </row>
    <row r="308" spans="3:11" s="104" customFormat="1">
      <c r="C308" s="111"/>
      <c r="D308" s="111"/>
      <c r="E308" s="111"/>
      <c r="F308" s="111"/>
      <c r="G308" s="111"/>
      <c r="H308" s="111"/>
      <c r="I308" s="111"/>
      <c r="J308" s="111"/>
      <c r="K308" s="111"/>
    </row>
    <row r="309" spans="3:11" s="104" customFormat="1">
      <c r="C309" s="111"/>
      <c r="D309" s="111"/>
      <c r="E309" s="111"/>
      <c r="F309" s="111"/>
      <c r="G309" s="111"/>
      <c r="H309" s="111"/>
      <c r="I309" s="111"/>
      <c r="J309" s="111"/>
      <c r="K309" s="111"/>
    </row>
    <row r="310" spans="3:11" s="104" customFormat="1">
      <c r="C310" s="111"/>
      <c r="D310" s="111"/>
      <c r="E310" s="111"/>
      <c r="F310" s="111"/>
      <c r="G310" s="111"/>
      <c r="H310" s="111"/>
      <c r="I310" s="111"/>
      <c r="J310" s="111"/>
      <c r="K310" s="111"/>
    </row>
    <row r="311" spans="3:11" s="104" customFormat="1">
      <c r="C311" s="111"/>
      <c r="D311" s="111"/>
      <c r="E311" s="111"/>
      <c r="F311" s="111"/>
      <c r="G311" s="111"/>
      <c r="H311" s="111"/>
      <c r="I311" s="111"/>
      <c r="J311" s="111"/>
      <c r="K311" s="111"/>
    </row>
    <row r="312" spans="3:11" s="104" customFormat="1">
      <c r="C312" s="111"/>
      <c r="D312" s="111"/>
      <c r="E312" s="111"/>
      <c r="F312" s="111"/>
      <c r="G312" s="111"/>
      <c r="H312" s="111"/>
      <c r="I312" s="111"/>
      <c r="J312" s="111"/>
      <c r="K312" s="111"/>
    </row>
    <row r="313" spans="3:11" s="104" customFormat="1">
      <c r="C313" s="111"/>
      <c r="D313" s="111"/>
      <c r="E313" s="111"/>
      <c r="F313" s="111"/>
      <c r="G313" s="111"/>
      <c r="H313" s="111"/>
      <c r="I313" s="111"/>
      <c r="J313" s="111"/>
      <c r="K313" s="111"/>
    </row>
    <row r="314" spans="3:11" s="104" customFormat="1">
      <c r="C314" s="111"/>
      <c r="D314" s="111"/>
      <c r="E314" s="111"/>
      <c r="F314" s="111"/>
      <c r="G314" s="111"/>
      <c r="H314" s="111"/>
      <c r="I314" s="111"/>
      <c r="J314" s="111"/>
      <c r="K314" s="111"/>
    </row>
    <row r="315" spans="3:11" s="104" customFormat="1">
      <c r="C315" s="111"/>
      <c r="D315" s="111"/>
      <c r="E315" s="111"/>
      <c r="F315" s="111"/>
      <c r="G315" s="111"/>
      <c r="H315" s="111"/>
      <c r="I315" s="111"/>
      <c r="J315" s="111"/>
      <c r="K315" s="111"/>
    </row>
    <row r="316" spans="3:11" s="104" customFormat="1">
      <c r="C316" s="111"/>
      <c r="D316" s="111"/>
      <c r="E316" s="111"/>
      <c r="F316" s="111"/>
      <c r="G316" s="111"/>
      <c r="H316" s="111"/>
      <c r="I316" s="111"/>
      <c r="J316" s="111"/>
      <c r="K316" s="111"/>
    </row>
    <row r="317" spans="3:11" s="104" customFormat="1">
      <c r="C317" s="111"/>
      <c r="D317" s="111"/>
      <c r="E317" s="111"/>
      <c r="F317" s="111"/>
      <c r="G317" s="111"/>
      <c r="H317" s="111"/>
      <c r="I317" s="111"/>
      <c r="J317" s="111"/>
      <c r="K317" s="111"/>
    </row>
    <row r="318" spans="3:11" s="104" customFormat="1">
      <c r="C318" s="111"/>
      <c r="D318" s="111"/>
      <c r="E318" s="111"/>
      <c r="F318" s="111"/>
      <c r="G318" s="111"/>
      <c r="H318" s="111"/>
      <c r="I318" s="111"/>
      <c r="J318" s="111"/>
      <c r="K318" s="111"/>
    </row>
    <row r="319" spans="3:11" s="104" customFormat="1">
      <c r="C319" s="111"/>
      <c r="D319" s="111"/>
      <c r="E319" s="111"/>
      <c r="F319" s="111"/>
      <c r="G319" s="111"/>
      <c r="H319" s="111"/>
      <c r="I319" s="111"/>
      <c r="J319" s="111"/>
      <c r="K319" s="111"/>
    </row>
    <row r="320" spans="3:11" s="104" customFormat="1">
      <c r="C320" s="111"/>
      <c r="D320" s="111"/>
      <c r="E320" s="111"/>
      <c r="F320" s="111"/>
      <c r="G320" s="111"/>
      <c r="H320" s="111"/>
      <c r="I320" s="111"/>
      <c r="J320" s="111"/>
      <c r="K320" s="111"/>
    </row>
    <row r="321" spans="3:11" s="104" customFormat="1">
      <c r="C321" s="111"/>
      <c r="D321" s="111"/>
      <c r="E321" s="111"/>
      <c r="F321" s="111"/>
      <c r="G321" s="111"/>
      <c r="H321" s="111"/>
      <c r="I321" s="111"/>
      <c r="J321" s="111"/>
      <c r="K321" s="111"/>
    </row>
    <row r="322" spans="3:11" s="104" customFormat="1">
      <c r="C322" s="111"/>
      <c r="D322" s="111"/>
      <c r="E322" s="111"/>
      <c r="F322" s="111"/>
      <c r="G322" s="111"/>
      <c r="H322" s="111"/>
      <c r="I322" s="111"/>
      <c r="J322" s="111"/>
      <c r="K322" s="111"/>
    </row>
    <row r="323" spans="3:11" s="104" customFormat="1">
      <c r="C323" s="111"/>
      <c r="D323" s="111"/>
      <c r="E323" s="111"/>
      <c r="F323" s="111"/>
      <c r="G323" s="111"/>
      <c r="H323" s="111"/>
      <c r="I323" s="111"/>
      <c r="J323" s="111"/>
      <c r="K323" s="111"/>
    </row>
    <row r="324" spans="3:11" s="104" customFormat="1"/>
    <row r="325" spans="3:11" s="104" customFormat="1"/>
    <row r="326" spans="3:11" s="104" customFormat="1"/>
    <row r="327" spans="3:11" s="104" customFormat="1"/>
    <row r="328" spans="3:11" s="104" customFormat="1"/>
    <row r="329" spans="3:11" s="104" customFormat="1"/>
    <row r="330" spans="3:11" s="104" customFormat="1"/>
    <row r="331" spans="3:11" s="104" customFormat="1"/>
    <row r="332" spans="3:11" s="104" customFormat="1"/>
    <row r="333" spans="3:11" s="104" customFormat="1"/>
    <row r="334" spans="3:11" s="104" customFormat="1"/>
    <row r="335" spans="3:11" s="104" customFormat="1"/>
    <row r="336" spans="3:11" s="104" customFormat="1"/>
    <row r="337" s="104" customFormat="1"/>
    <row r="338" s="104" customFormat="1"/>
    <row r="339" s="104" customFormat="1"/>
    <row r="340" s="104" customFormat="1"/>
    <row r="341" s="104" customFormat="1"/>
    <row r="342" s="104" customFormat="1"/>
    <row r="343" s="104" customFormat="1"/>
    <row r="344" s="104" customFormat="1"/>
    <row r="345" s="104" customFormat="1"/>
    <row r="346" s="104" customFormat="1"/>
    <row r="347" s="104" customFormat="1"/>
    <row r="348" s="104" customFormat="1"/>
    <row r="349" s="104" customFormat="1"/>
    <row r="350" s="104" customFormat="1"/>
    <row r="351" s="104" customFormat="1"/>
    <row r="352" s="104" customFormat="1"/>
    <row r="353" s="104" customFormat="1"/>
    <row r="354" s="104" customFormat="1"/>
    <row r="355" s="104" customFormat="1"/>
    <row r="356" s="104" customFormat="1"/>
    <row r="357" s="104" customFormat="1"/>
    <row r="358" s="104" customFormat="1"/>
    <row r="359" s="104" customFormat="1"/>
    <row r="360" s="104" customFormat="1"/>
    <row r="361" s="104" customFormat="1"/>
    <row r="362" s="104" customFormat="1"/>
    <row r="363" s="104" customFormat="1"/>
    <row r="364" s="104" customFormat="1"/>
    <row r="365" s="104" customFormat="1"/>
    <row r="366" s="104" customFormat="1"/>
    <row r="367" s="104" customFormat="1"/>
    <row r="368" s="104" customFormat="1"/>
    <row r="369" s="104" customFormat="1"/>
    <row r="370" s="104" customFormat="1"/>
    <row r="371" s="104" customFormat="1"/>
    <row r="372" s="104" customFormat="1"/>
    <row r="373" s="104" customFormat="1"/>
    <row r="374" s="104" customFormat="1"/>
    <row r="375" s="104" customFormat="1"/>
    <row r="376" s="104" customFormat="1"/>
  </sheetData>
  <conditionalFormatting pivot="1" sqref="L10:N13">
    <cfRule type="iconSet" priority="3">
      <iconSet reverse="1">
        <cfvo type="percent" val="0"/>
        <cfvo type="num" val="0" gte="0"/>
        <cfvo type="num" val="0.3"/>
      </iconSet>
    </cfRule>
  </conditionalFormatting>
  <conditionalFormatting pivot="1" sqref="S10:U14">
    <cfRule type="iconSet" priority="1">
      <iconSet reverse="1">
        <cfvo type="percent" val="0"/>
        <cfvo type="num" val="0" gte="0"/>
        <cfvo type="num" val="0.3"/>
      </iconSet>
    </cfRule>
  </conditionalFormatting>
  <pageMargins left="0.7" right="0.7" top="0.75" bottom="0.75" header="0.3" footer="0.3"/>
  <pageSetup orientation="portrait" r:id="rId24"/>
  <drawing r:id="rId25"/>
  <extLst>
    <ext xmlns:x14="http://schemas.microsoft.com/office/spreadsheetml/2009/9/main" uri="{A8765BA9-456A-4dab-B4F3-ACF838C121DE}">
      <x14:slicerList>
        <x14:slicer r:id="rId26"/>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zoomScale="80" zoomScaleNormal="80" workbookViewId="0">
      <selection activeCell="B90" sqref="B90"/>
    </sheetView>
  </sheetViews>
  <sheetFormatPr defaultColWidth="9" defaultRowHeight="15.6"/>
  <cols>
    <col min="1" max="1" width="31.69921875" style="58" bestFit="1" customWidth="1"/>
    <col min="2" max="2" width="20.5" style="58" bestFit="1" customWidth="1"/>
    <col min="3" max="3" width="10.296875" style="58" bestFit="1" customWidth="1"/>
    <col min="4" max="4" width="65.69921875" style="58" hidden="1" customWidth="1"/>
    <col min="5" max="5" width="73.69921875" style="58" hidden="1" customWidth="1"/>
    <col min="6" max="6" width="86" style="58" hidden="1" customWidth="1"/>
    <col min="7" max="7" width="11" style="58" customWidth="1"/>
    <col min="8" max="16384" width="9" style="58"/>
  </cols>
  <sheetData>
    <row r="27" spans="1:7" hidden="1">
      <c r="A27" s="797" t="s">
        <v>18</v>
      </c>
      <c r="B27" s="798" t="s">
        <v>3271</v>
      </c>
    </row>
    <row r="28" spans="1:7" hidden="1"/>
    <row r="29" spans="1:7" s="94" customFormat="1" ht="31.2" hidden="1">
      <c r="A29" s="834" t="s">
        <v>19</v>
      </c>
      <c r="B29" s="834" t="s">
        <v>20</v>
      </c>
      <c r="C29" s="824" t="s">
        <v>1927</v>
      </c>
      <c r="D29" s="798" t="s">
        <v>2669</v>
      </c>
      <c r="E29" s="798" t="s">
        <v>2668</v>
      </c>
      <c r="F29" s="798" t="s">
        <v>2667</v>
      </c>
      <c r="G29"/>
    </row>
    <row r="30" spans="1:7" hidden="1">
      <c r="A30" s="798" t="s">
        <v>36</v>
      </c>
      <c r="B30" s="798" t="s">
        <v>149</v>
      </c>
      <c r="C30" s="809">
        <v>964</v>
      </c>
      <c r="D30" s="809">
        <v>54</v>
      </c>
      <c r="E30" s="809">
        <v>600</v>
      </c>
      <c r="F30" s="809">
        <v>964</v>
      </c>
      <c r="G30"/>
    </row>
    <row r="31" spans="1:7" hidden="1">
      <c r="A31" s="798"/>
      <c r="B31" s="798" t="s">
        <v>174</v>
      </c>
      <c r="C31" s="809">
        <v>2306</v>
      </c>
      <c r="D31" s="809">
        <v>0</v>
      </c>
      <c r="E31" s="809">
        <v>0</v>
      </c>
      <c r="F31" s="809">
        <v>0</v>
      </c>
      <c r="G31"/>
    </row>
    <row r="32" spans="1:7" hidden="1">
      <c r="A32" s="798"/>
      <c r="B32" s="798" t="s">
        <v>132</v>
      </c>
      <c r="C32" s="809">
        <v>10084</v>
      </c>
      <c r="D32" s="809">
        <v>608</v>
      </c>
      <c r="E32" s="809">
        <v>2740</v>
      </c>
      <c r="F32" s="809">
        <v>4844</v>
      </c>
      <c r="G32"/>
    </row>
    <row r="33" spans="1:7" hidden="1">
      <c r="A33" s="798"/>
      <c r="B33" s="798" t="s">
        <v>771</v>
      </c>
      <c r="C33" s="809">
        <v>3741</v>
      </c>
      <c r="D33" s="809">
        <v>0</v>
      </c>
      <c r="E33" s="809">
        <v>0</v>
      </c>
      <c r="F33" s="809">
        <v>0</v>
      </c>
      <c r="G33"/>
    </row>
    <row r="34" spans="1:7" hidden="1">
      <c r="A34" s="798" t="s">
        <v>3198</v>
      </c>
      <c r="B34" s="798"/>
      <c r="C34" s="809">
        <v>17095</v>
      </c>
      <c r="D34" s="809">
        <v>662</v>
      </c>
      <c r="E34" s="809">
        <v>3340</v>
      </c>
      <c r="F34" s="809">
        <v>5808</v>
      </c>
      <c r="G34"/>
    </row>
    <row r="35" spans="1:7" hidden="1">
      <c r="A35" s="798" t="s">
        <v>698</v>
      </c>
      <c r="B35" s="798" t="s">
        <v>717</v>
      </c>
      <c r="C35" s="809">
        <v>413</v>
      </c>
      <c r="D35" s="809">
        <v>228</v>
      </c>
      <c r="E35" s="809">
        <v>320</v>
      </c>
      <c r="F35" s="809">
        <v>170</v>
      </c>
      <c r="G35"/>
    </row>
    <row r="36" spans="1:7" hidden="1">
      <c r="A36" s="798"/>
      <c r="B36" s="798" t="s">
        <v>1253</v>
      </c>
      <c r="C36" s="809">
        <v>1342</v>
      </c>
      <c r="D36" s="809">
        <v>816</v>
      </c>
      <c r="E36" s="809">
        <v>1262</v>
      </c>
      <c r="F36" s="809">
        <v>260</v>
      </c>
      <c r="G36"/>
    </row>
    <row r="37" spans="1:7" hidden="1">
      <c r="A37" s="798"/>
      <c r="B37" s="798" t="s">
        <v>1234</v>
      </c>
      <c r="C37" s="809">
        <v>1209</v>
      </c>
      <c r="D37" s="809">
        <v>489</v>
      </c>
      <c r="E37" s="809">
        <v>18</v>
      </c>
      <c r="F37" s="809">
        <v>0</v>
      </c>
      <c r="G37"/>
    </row>
    <row r="38" spans="1:7" hidden="1">
      <c r="A38" s="798"/>
      <c r="B38" s="798" t="s">
        <v>1278</v>
      </c>
      <c r="C38" s="809">
        <v>871</v>
      </c>
      <c r="D38" s="809">
        <v>436</v>
      </c>
      <c r="E38" s="809">
        <v>0</v>
      </c>
      <c r="F38" s="809">
        <v>0</v>
      </c>
      <c r="G38"/>
    </row>
    <row r="39" spans="1:7" hidden="1">
      <c r="A39" s="798"/>
      <c r="B39" s="798" t="s">
        <v>3005</v>
      </c>
      <c r="C39" s="809">
        <v>937</v>
      </c>
      <c r="D39" s="809">
        <v>105</v>
      </c>
      <c r="E39" s="809">
        <v>0</v>
      </c>
      <c r="F39" s="809">
        <v>0</v>
      </c>
      <c r="G39"/>
    </row>
    <row r="40" spans="1:7" hidden="1">
      <c r="A40" s="798"/>
      <c r="B40" s="798" t="s">
        <v>1272</v>
      </c>
      <c r="C40" s="809">
        <v>617</v>
      </c>
      <c r="D40" s="809">
        <v>75</v>
      </c>
      <c r="E40" s="809">
        <v>156</v>
      </c>
      <c r="F40" s="809">
        <v>0</v>
      </c>
      <c r="G40"/>
    </row>
    <row r="41" spans="1:7" hidden="1">
      <c r="A41" s="798"/>
      <c r="B41" s="798" t="s">
        <v>1246</v>
      </c>
      <c r="C41" s="809">
        <v>272</v>
      </c>
      <c r="D41" s="809">
        <v>103</v>
      </c>
      <c r="E41" s="809">
        <v>0</v>
      </c>
      <c r="F41" s="809">
        <v>0</v>
      </c>
      <c r="G41"/>
    </row>
    <row r="42" spans="1:7" hidden="1">
      <c r="A42" s="798"/>
      <c r="B42" s="798" t="s">
        <v>3012</v>
      </c>
      <c r="C42" s="809">
        <v>5336</v>
      </c>
      <c r="D42" s="809">
        <v>0</v>
      </c>
      <c r="E42" s="809">
        <v>819</v>
      </c>
      <c r="F42" s="809">
        <v>0</v>
      </c>
      <c r="G42"/>
    </row>
    <row r="43" spans="1:7" hidden="1">
      <c r="A43" s="798"/>
      <c r="B43" s="798" t="s">
        <v>3033</v>
      </c>
      <c r="C43" s="809">
        <v>4563</v>
      </c>
      <c r="D43" s="809">
        <v>0</v>
      </c>
      <c r="E43" s="809">
        <v>1494</v>
      </c>
      <c r="F43" s="809">
        <v>0</v>
      </c>
      <c r="G43"/>
    </row>
    <row r="44" spans="1:7" hidden="1">
      <c r="A44" s="798"/>
      <c r="B44" s="798" t="s">
        <v>3068</v>
      </c>
      <c r="C44" s="809">
        <v>291</v>
      </c>
      <c r="D44" s="809">
        <v>67</v>
      </c>
      <c r="E44" s="809">
        <v>42</v>
      </c>
      <c r="F44" s="809">
        <v>0</v>
      </c>
      <c r="G44"/>
    </row>
    <row r="45" spans="1:7" hidden="1">
      <c r="A45" s="798"/>
      <c r="B45" s="798" t="s">
        <v>1255</v>
      </c>
      <c r="C45" s="809">
        <v>4171</v>
      </c>
      <c r="D45" s="809">
        <v>0</v>
      </c>
      <c r="E45" s="809">
        <v>812</v>
      </c>
      <c r="F45" s="809">
        <v>2624</v>
      </c>
      <c r="G45"/>
    </row>
    <row r="46" spans="1:7" hidden="1">
      <c r="A46" s="798" t="s">
        <v>3124</v>
      </c>
      <c r="B46" s="798"/>
      <c r="C46" s="809">
        <v>20022</v>
      </c>
      <c r="D46" s="809">
        <v>2319</v>
      </c>
      <c r="E46" s="809">
        <v>4923</v>
      </c>
      <c r="F46" s="809">
        <v>3054</v>
      </c>
      <c r="G46"/>
    </row>
    <row r="47" spans="1:7" hidden="1">
      <c r="A47" s="798" t="s">
        <v>2648</v>
      </c>
      <c r="B47" s="798" t="s">
        <v>357</v>
      </c>
      <c r="C47" s="809">
        <v>3451</v>
      </c>
      <c r="D47" s="809">
        <v>0</v>
      </c>
      <c r="E47" s="809">
        <v>323</v>
      </c>
      <c r="F47" s="809">
        <v>323</v>
      </c>
      <c r="G47"/>
    </row>
    <row r="48" spans="1:7" hidden="1">
      <c r="A48" s="798"/>
      <c r="B48" s="798" t="s">
        <v>302</v>
      </c>
      <c r="C48" s="809">
        <v>20186</v>
      </c>
      <c r="D48" s="809">
        <v>253</v>
      </c>
      <c r="E48" s="809">
        <v>8650</v>
      </c>
      <c r="F48" s="809">
        <v>14886</v>
      </c>
      <c r="G48"/>
    </row>
    <row r="49" spans="1:7" hidden="1">
      <c r="A49" s="798"/>
      <c r="B49" s="798" t="s">
        <v>312</v>
      </c>
      <c r="C49" s="809">
        <v>49926</v>
      </c>
      <c r="D49" s="809">
        <v>1443</v>
      </c>
      <c r="E49" s="809">
        <v>25618</v>
      </c>
      <c r="F49" s="809">
        <v>49926</v>
      </c>
      <c r="G49"/>
    </row>
    <row r="50" spans="1:7" hidden="1">
      <c r="A50" s="798"/>
      <c r="B50" s="798" t="s">
        <v>399</v>
      </c>
      <c r="C50" s="809">
        <v>434</v>
      </c>
      <c r="D50" s="809">
        <v>434</v>
      </c>
      <c r="E50" s="809">
        <v>434</v>
      </c>
      <c r="F50" s="809">
        <v>434</v>
      </c>
      <c r="G50"/>
    </row>
    <row r="51" spans="1:7" hidden="1">
      <c r="A51" s="798"/>
      <c r="B51" s="798" t="s">
        <v>402</v>
      </c>
      <c r="C51" s="809">
        <v>30582</v>
      </c>
      <c r="D51" s="809">
        <v>13381</v>
      </c>
      <c r="E51" s="809">
        <v>2580</v>
      </c>
      <c r="F51" s="809">
        <v>30582</v>
      </c>
      <c r="G51"/>
    </row>
    <row r="52" spans="1:7" hidden="1">
      <c r="A52" s="798"/>
      <c r="B52" s="798" t="s">
        <v>295</v>
      </c>
      <c r="C52" s="809">
        <v>170635</v>
      </c>
      <c r="D52" s="809">
        <v>56431</v>
      </c>
      <c r="E52" s="809">
        <v>51810</v>
      </c>
      <c r="F52" s="809">
        <v>129162</v>
      </c>
      <c r="G52"/>
    </row>
    <row r="53" spans="1:7" hidden="1">
      <c r="A53" s="798" t="s">
        <v>2649</v>
      </c>
      <c r="B53" s="798"/>
      <c r="C53" s="809">
        <v>275214</v>
      </c>
      <c r="D53" s="809">
        <v>71942</v>
      </c>
      <c r="E53" s="809">
        <v>89415</v>
      </c>
      <c r="F53" s="809">
        <v>225313</v>
      </c>
      <c r="G53"/>
    </row>
    <row r="54" spans="1:7" hidden="1">
      <c r="A54" s="798" t="s">
        <v>3274</v>
      </c>
      <c r="B54" s="798" t="s">
        <v>3275</v>
      </c>
      <c r="C54" s="809">
        <v>7593</v>
      </c>
      <c r="D54" s="809">
        <v>0</v>
      </c>
      <c r="E54" s="809">
        <v>4602</v>
      </c>
      <c r="F54" s="809">
        <v>7144</v>
      </c>
      <c r="G54"/>
    </row>
    <row r="55" spans="1:7" hidden="1">
      <c r="A55" s="798" t="s">
        <v>3292</v>
      </c>
      <c r="B55" s="798"/>
      <c r="C55" s="809">
        <v>7593</v>
      </c>
      <c r="D55" s="809">
        <v>0</v>
      </c>
      <c r="E55" s="809">
        <v>4602</v>
      </c>
      <c r="F55" s="809">
        <v>7144</v>
      </c>
      <c r="G55"/>
    </row>
    <row r="56" spans="1:7" hidden="1">
      <c r="A56" s="798" t="s">
        <v>1639</v>
      </c>
      <c r="B56" s="798"/>
      <c r="C56" s="809">
        <v>319924</v>
      </c>
      <c r="D56" s="809">
        <v>74923</v>
      </c>
      <c r="E56" s="809">
        <v>102280</v>
      </c>
      <c r="F56" s="809">
        <v>241319</v>
      </c>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6686-2FF9-4AF9-80F5-D9B52B63D405}">
  <sheetPr>
    <pageSetUpPr fitToPage="1"/>
  </sheetPr>
  <dimension ref="A1:AC128"/>
  <sheetViews>
    <sheetView showGridLines="0" view="pageBreakPreview" zoomScale="90" zoomScaleNormal="60" zoomScaleSheetLayoutView="90" zoomScalePageLayoutView="80" workbookViewId="0">
      <selection activeCell="V60" sqref="V60"/>
    </sheetView>
  </sheetViews>
  <sheetFormatPr defaultColWidth="9" defaultRowHeight="13.8"/>
  <cols>
    <col min="1" max="1" width="1.19921875" style="17" customWidth="1"/>
    <col min="2" max="2" width="11.69921875" style="17" customWidth="1"/>
    <col min="3" max="3" width="21.796875" style="17" customWidth="1"/>
    <col min="4" max="4" width="10.59765625" style="17" customWidth="1"/>
    <col min="5" max="5" width="14.59765625" style="17" customWidth="1"/>
    <col min="6" max="6" width="16.09765625" style="17" customWidth="1"/>
    <col min="7" max="7" width="14.69921875" style="17" customWidth="1"/>
    <col min="8" max="8" width="1.19921875" style="17" customWidth="1"/>
    <col min="9" max="9" width="10" style="17" customWidth="1"/>
    <col min="10" max="10" width="10.59765625" style="17" customWidth="1"/>
    <col min="11" max="11" width="9.59765625" style="17" customWidth="1"/>
    <col min="12" max="12" width="10.69921875" style="17" customWidth="1"/>
    <col min="13" max="13" width="8" style="17" customWidth="1"/>
    <col min="14" max="14" width="10.09765625" style="17" customWidth="1"/>
    <col min="15" max="15" width="10.69921875" style="17" customWidth="1"/>
    <col min="16" max="16" width="8" style="17" customWidth="1"/>
    <col min="17" max="17" width="21.5" style="17" customWidth="1"/>
    <col min="18" max="18" width="12" style="17" customWidth="1"/>
    <col min="19" max="19" width="4.59765625" style="17" customWidth="1"/>
    <col min="20" max="20" width="4.19921875" style="17" customWidth="1"/>
    <col min="21" max="21" width="8.09765625" style="17" customWidth="1"/>
    <col min="22" max="22" width="11.19921875" style="17" bestFit="1" customWidth="1"/>
    <col min="23" max="23" width="8.09765625" style="17" customWidth="1"/>
    <col min="24" max="24" width="3.69921875" style="17" customWidth="1"/>
    <col min="25" max="25" width="16.09765625" style="17" bestFit="1" customWidth="1"/>
    <col min="26" max="26" width="9" style="17"/>
    <col min="27" max="27" width="21.69921875" style="17" bestFit="1" customWidth="1"/>
    <col min="28" max="28" width="13.19921875" style="17" customWidth="1"/>
    <col min="29" max="16384" width="9" style="17"/>
  </cols>
  <sheetData>
    <row r="1" spans="1:29" ht="39" customHeight="1">
      <c r="A1" s="459"/>
      <c r="B1" s="911" t="s">
        <v>3312</v>
      </c>
      <c r="C1" s="911"/>
      <c r="D1" s="911"/>
      <c r="E1" s="911"/>
      <c r="F1" s="911"/>
      <c r="G1" s="911"/>
      <c r="H1" s="911"/>
      <c r="I1" s="911"/>
      <c r="J1" s="911"/>
      <c r="K1" s="911"/>
      <c r="L1" s="911"/>
      <c r="M1" s="911"/>
      <c r="N1" s="911"/>
      <c r="O1" s="911"/>
      <c r="P1" s="911"/>
      <c r="Q1" s="911"/>
      <c r="R1" s="619"/>
      <c r="S1" s="619"/>
      <c r="T1" s="619"/>
      <c r="U1" s="148"/>
      <c r="V1" s="148"/>
      <c r="W1" s="148"/>
      <c r="X1" s="148"/>
      <c r="Y1" s="148"/>
      <c r="Z1" s="148"/>
      <c r="AA1" s="148"/>
      <c r="AB1" s="148"/>
    </row>
    <row r="8" spans="1:29">
      <c r="AC8" s="17" t="s">
        <v>1925</v>
      </c>
    </row>
    <row r="41" ht="15" customHeight="1"/>
    <row r="43" ht="18" customHeight="1"/>
    <row r="50" spans="2:25" ht="15.6">
      <c r="U50" s="470"/>
    </row>
    <row r="51" spans="2:25" ht="15.6">
      <c r="U51" s="470"/>
      <c r="V51" s="470"/>
    </row>
    <row r="52" spans="2:25" ht="15.6">
      <c r="U52" s="470"/>
      <c r="V52" s="470"/>
    </row>
    <row r="53" spans="2:25" ht="15.6">
      <c r="U53" s="470"/>
      <c r="V53" s="470"/>
    </row>
    <row r="56" spans="2:25" ht="15.6">
      <c r="W56" s="470"/>
      <c r="X56" s="470"/>
    </row>
    <row r="57" spans="2:25" ht="15.75" customHeight="1">
      <c r="N57" s="92"/>
      <c r="O57" s="92"/>
      <c r="P57" s="92"/>
      <c r="Q57" s="92"/>
      <c r="R57" s="92"/>
      <c r="S57" s="92"/>
      <c r="T57" s="92"/>
      <c r="U57" s="158"/>
      <c r="V57" s="470"/>
      <c r="W57" s="470"/>
      <c r="X57" s="470"/>
      <c r="Y57" s="470"/>
    </row>
    <row r="58" spans="2:25" ht="53.25" customHeight="1">
      <c r="N58" s="92"/>
      <c r="O58" s="92"/>
      <c r="P58" s="92"/>
      <c r="Q58" s="92"/>
      <c r="R58" s="92"/>
      <c r="S58" s="92"/>
      <c r="T58" s="92"/>
      <c r="U58" s="470"/>
      <c r="V58" s="470"/>
      <c r="W58" s="470"/>
      <c r="X58" s="470"/>
      <c r="Y58" s="470"/>
    </row>
    <row r="59" spans="2:25" ht="10.5" customHeight="1">
      <c r="N59" s="92"/>
      <c r="O59" s="92"/>
      <c r="P59" s="92"/>
      <c r="Q59" s="92"/>
      <c r="R59" s="470"/>
      <c r="S59" s="470"/>
      <c r="T59" s="92"/>
      <c r="U59" s="470"/>
      <c r="V59" s="470"/>
      <c r="W59" s="470"/>
      <c r="X59" s="470"/>
      <c r="Y59" s="470"/>
    </row>
    <row r="60" spans="2:25" ht="140.4">
      <c r="B60" s="620" t="s">
        <v>2100</v>
      </c>
      <c r="C60" s="621" t="s">
        <v>1912</v>
      </c>
      <c r="D60" s="622" t="s">
        <v>1892</v>
      </c>
      <c r="E60" s="622" t="s">
        <v>3221</v>
      </c>
      <c r="F60" s="622" t="s">
        <v>3219</v>
      </c>
      <c r="G60" s="623" t="s">
        <v>3220</v>
      </c>
      <c r="S60" s="470"/>
      <c r="U60" s="470"/>
      <c r="V60" s="470"/>
      <c r="W60" s="470"/>
      <c r="X60" s="470"/>
      <c r="Y60" s="470"/>
    </row>
    <row r="61" spans="2:25" ht="15.6">
      <c r="B61" s="629" t="s">
        <v>302</v>
      </c>
      <c r="C61" s="625" t="s">
        <v>318</v>
      </c>
      <c r="D61" s="626">
        <v>10093</v>
      </c>
      <c r="E61" s="627">
        <v>0.737441791340533</v>
      </c>
      <c r="F61" s="627">
        <v>0.42851481224611115</v>
      </c>
      <c r="G61" s="628">
        <v>0</v>
      </c>
      <c r="S61" s="470"/>
      <c r="U61" s="470"/>
      <c r="V61" s="470"/>
      <c r="W61" s="470"/>
      <c r="X61" s="470"/>
      <c r="Y61" s="470"/>
    </row>
    <row r="62" spans="2:25" ht="15.6">
      <c r="B62" s="624" t="s">
        <v>312</v>
      </c>
      <c r="C62" s="625" t="s">
        <v>314</v>
      </c>
      <c r="D62" s="626">
        <v>24963</v>
      </c>
      <c r="E62" s="627">
        <v>1</v>
      </c>
      <c r="F62" s="627">
        <v>0.51311941673677042</v>
      </c>
      <c r="G62" s="628">
        <v>0</v>
      </c>
      <c r="S62" s="470"/>
      <c r="U62" s="470"/>
      <c r="V62" s="470"/>
      <c r="W62" s="470"/>
      <c r="X62" s="470"/>
      <c r="Y62" s="470"/>
    </row>
    <row r="63" spans="2:25" ht="15.6">
      <c r="B63" s="624" t="s">
        <v>399</v>
      </c>
      <c r="C63" s="625" t="s">
        <v>398</v>
      </c>
      <c r="D63" s="626">
        <v>217</v>
      </c>
      <c r="E63" s="627">
        <v>1</v>
      </c>
      <c r="F63" s="627">
        <v>1</v>
      </c>
      <c r="G63" s="628">
        <v>1</v>
      </c>
      <c r="S63" s="470"/>
      <c r="U63" s="470"/>
      <c r="V63" s="470"/>
      <c r="W63" s="470"/>
      <c r="X63" s="470"/>
      <c r="Y63" s="470"/>
    </row>
    <row r="64" spans="2:25" ht="15.6">
      <c r="B64" s="624" t="s">
        <v>402</v>
      </c>
      <c r="C64" s="625" t="s">
        <v>2705</v>
      </c>
      <c r="D64" s="626">
        <v>15380</v>
      </c>
      <c r="E64" s="627">
        <v>1</v>
      </c>
      <c r="F64" s="627">
        <v>0.12483745123537061</v>
      </c>
      <c r="G64" s="628">
        <v>0.27932379713914174</v>
      </c>
      <c r="S64" s="470"/>
      <c r="U64" s="470"/>
      <c r="V64" s="470"/>
      <c r="W64" s="470"/>
      <c r="X64" s="470"/>
      <c r="Y64" s="470"/>
    </row>
    <row r="65" spans="2:25" ht="29.4" thickBot="1">
      <c r="B65" s="624" t="s">
        <v>295</v>
      </c>
      <c r="C65" s="743" t="s">
        <v>3202</v>
      </c>
      <c r="D65" s="626">
        <v>90368</v>
      </c>
      <c r="E65" s="627">
        <v>0.70496193342776203</v>
      </c>
      <c r="F65" s="627">
        <v>0.28496813031161472</v>
      </c>
      <c r="G65" s="628">
        <v>0.28558781869688388</v>
      </c>
      <c r="S65" s="470"/>
      <c r="U65" s="470"/>
      <c r="V65" s="470"/>
      <c r="W65" s="470"/>
      <c r="X65" s="470"/>
      <c r="Y65" s="470"/>
    </row>
    <row r="66" spans="2:25" ht="24.75" customHeight="1" thickTop="1">
      <c r="B66" s="178" t="s">
        <v>1893</v>
      </c>
      <c r="C66" s="606" t="s">
        <v>2099</v>
      </c>
      <c r="D66" s="640">
        <f>SUBTOTAL(109,D61:D65)</f>
        <v>141021</v>
      </c>
      <c r="E66" s="179">
        <v>0.79214443238950227</v>
      </c>
      <c r="F66" s="179">
        <v>0.31926450670467521</v>
      </c>
      <c r="G66" s="180">
        <v>0.21501053034654413</v>
      </c>
      <c r="U66" s="470"/>
      <c r="V66" s="470"/>
      <c r="W66" s="470"/>
      <c r="X66" s="470"/>
      <c r="Y66" s="470"/>
    </row>
    <row r="67" spans="2:25" ht="15.6">
      <c r="U67" s="470"/>
      <c r="V67" s="470"/>
      <c r="W67" s="470"/>
      <c r="X67" s="470"/>
      <c r="Y67" s="470"/>
    </row>
    <row r="68" spans="2:25" ht="15.6">
      <c r="U68" s="470"/>
      <c r="V68" s="470"/>
      <c r="W68" s="470"/>
      <c r="X68" s="470"/>
      <c r="Y68" s="470"/>
    </row>
    <row r="69" spans="2:25" ht="15.6">
      <c r="U69" s="470"/>
      <c r="V69" s="470"/>
      <c r="W69" s="470"/>
      <c r="X69" s="470"/>
      <c r="Y69" s="470"/>
    </row>
    <row r="70" spans="2:25" ht="15.6">
      <c r="U70" s="470"/>
      <c r="V70" s="470"/>
      <c r="W70" s="470"/>
      <c r="X70" s="470"/>
      <c r="Y70" s="470"/>
    </row>
    <row r="71" spans="2:25" ht="15.6">
      <c r="U71" s="470"/>
      <c r="V71" s="470"/>
      <c r="W71" s="470"/>
      <c r="X71" s="470"/>
      <c r="Y71" s="470"/>
    </row>
    <row r="72" spans="2:25" ht="15.6">
      <c r="U72" s="470"/>
      <c r="V72" s="470"/>
      <c r="W72" s="470"/>
      <c r="X72" s="470"/>
      <c r="Y72" s="470"/>
    </row>
    <row r="73" spans="2:25" ht="15.6">
      <c r="U73" s="470"/>
      <c r="V73" s="470"/>
      <c r="W73" s="470"/>
      <c r="X73" s="470"/>
      <c r="Y73" s="470"/>
    </row>
    <row r="74" spans="2:25" ht="15.6">
      <c r="U74" s="470"/>
      <c r="V74" s="470"/>
      <c r="W74" s="470"/>
      <c r="X74" s="470"/>
      <c r="Y74" s="470"/>
    </row>
    <row r="75" spans="2:25" ht="15.6">
      <c r="U75" s="470"/>
      <c r="V75" s="470"/>
      <c r="W75" s="470"/>
      <c r="X75" s="470"/>
      <c r="Y75" s="470"/>
    </row>
    <row r="76" spans="2:25" ht="15.6">
      <c r="U76" s="470"/>
      <c r="V76" s="470"/>
      <c r="W76" s="470"/>
      <c r="X76" s="470"/>
      <c r="Y76" s="470"/>
    </row>
    <row r="77" spans="2:25" ht="15.6">
      <c r="U77" s="470"/>
      <c r="V77" s="763"/>
      <c r="W77" s="470"/>
      <c r="X77" s="470"/>
      <c r="Y77" s="470"/>
    </row>
    <row r="78" spans="2:25" ht="15.6">
      <c r="U78" s="470"/>
      <c r="V78" s="470"/>
      <c r="W78" s="470"/>
      <c r="X78" s="470"/>
      <c r="Y78" s="470"/>
    </row>
    <row r="79" spans="2:25" ht="15.6">
      <c r="U79" s="470"/>
      <c r="V79" s="470"/>
      <c r="W79" s="470"/>
      <c r="X79" s="470"/>
      <c r="Y79" s="470"/>
    </row>
    <row r="80" spans="2:25" ht="15.6">
      <c r="U80" s="470"/>
      <c r="V80" s="470"/>
      <c r="W80" s="470"/>
      <c r="X80" s="470"/>
      <c r="Y80" s="470"/>
    </row>
    <row r="81" spans="21:25" ht="15.6">
      <c r="U81" s="470"/>
      <c r="V81" s="470"/>
      <c r="W81" s="470"/>
      <c r="X81" s="470"/>
      <c r="Y81" s="470"/>
    </row>
    <row r="82" spans="21:25" ht="15.6">
      <c r="U82" s="470"/>
      <c r="V82" s="470"/>
      <c r="W82" s="470"/>
      <c r="X82" s="470"/>
      <c r="Y82" s="470"/>
    </row>
    <row r="83" spans="21:25" ht="15.6">
      <c r="U83" s="470"/>
      <c r="V83" s="470"/>
      <c r="W83" s="470"/>
      <c r="X83" s="470"/>
      <c r="Y83" s="470"/>
    </row>
    <row r="84" spans="21:25" ht="15.6">
      <c r="U84" s="470"/>
      <c r="V84" s="470"/>
      <c r="W84" s="470"/>
      <c r="X84" s="470"/>
      <c r="Y84" s="470"/>
    </row>
    <row r="85" spans="21:25" ht="15.6">
      <c r="U85" s="470"/>
      <c r="V85" s="470"/>
      <c r="W85" s="470"/>
      <c r="X85" s="470"/>
      <c r="Y85" s="470"/>
    </row>
    <row r="86" spans="21:25" ht="15.6">
      <c r="U86" s="470"/>
      <c r="V86" s="470"/>
      <c r="W86" s="470"/>
      <c r="X86" s="470"/>
      <c r="Y86" s="470"/>
    </row>
    <row r="87" spans="21:25" ht="15.6">
      <c r="U87" s="470"/>
      <c r="V87" s="470"/>
      <c r="W87" s="470"/>
      <c r="X87" s="470"/>
      <c r="Y87" s="470"/>
    </row>
    <row r="88" spans="21:25" ht="15.6">
      <c r="U88" s="470"/>
      <c r="V88" s="470"/>
      <c r="W88" s="470"/>
      <c r="X88" s="470"/>
      <c r="Y88" s="470"/>
    </row>
    <row r="89" spans="21:25" ht="15.6">
      <c r="U89" s="470"/>
      <c r="V89" s="470"/>
      <c r="W89" s="470"/>
      <c r="X89" s="470"/>
      <c r="Y89" s="470"/>
    </row>
    <row r="90" spans="21:25" ht="15.6">
      <c r="U90" s="470"/>
      <c r="V90" s="470"/>
      <c r="W90" s="470"/>
      <c r="X90" s="470"/>
      <c r="Y90" s="470"/>
    </row>
    <row r="91" spans="21:25" ht="15.6">
      <c r="U91" s="470"/>
      <c r="V91" s="470"/>
      <c r="W91" s="470"/>
      <c r="X91" s="470"/>
      <c r="Y91" s="470"/>
    </row>
    <row r="92" spans="21:25" ht="15.6">
      <c r="U92" s="470"/>
      <c r="V92" s="470"/>
      <c r="W92" s="470"/>
      <c r="X92" s="470"/>
      <c r="Y92" s="470"/>
    </row>
    <row r="93" spans="21:25" ht="15.6">
      <c r="U93" s="470"/>
      <c r="V93" s="470"/>
      <c r="W93" s="470"/>
      <c r="X93" s="470"/>
      <c r="Y93" s="470"/>
    </row>
    <row r="94" spans="21:25" ht="15.6">
      <c r="U94" s="470"/>
      <c r="V94" s="470"/>
      <c r="W94" s="470"/>
      <c r="X94" s="470"/>
      <c r="Y94" s="470"/>
    </row>
    <row r="95" spans="21:25" ht="15.6">
      <c r="W95" s="470"/>
      <c r="X95" s="470"/>
    </row>
    <row r="96" spans="21:25" ht="15.6">
      <c r="W96" s="470"/>
      <c r="X96" s="470"/>
    </row>
    <row r="97" spans="23:24" ht="15.6">
      <c r="W97" s="470"/>
      <c r="X97" s="470"/>
    </row>
    <row r="98" spans="23:24" ht="15.6">
      <c r="W98" s="470"/>
      <c r="X98" s="470"/>
    </row>
    <row r="99" spans="23:24" ht="15.6">
      <c r="W99" s="470"/>
      <c r="X99" s="470"/>
    </row>
    <row r="100" spans="23:24" ht="15.6">
      <c r="W100" s="470"/>
      <c r="X100" s="470"/>
    </row>
    <row r="101" spans="23:24" ht="15.6">
      <c r="W101" s="470"/>
      <c r="X101" s="470"/>
    </row>
    <row r="102" spans="23:24" ht="15.6">
      <c r="W102" s="470"/>
      <c r="X102" s="470"/>
    </row>
    <row r="103" spans="23:24" ht="15.6">
      <c r="W103" s="470"/>
      <c r="X103" s="470"/>
    </row>
    <row r="104" spans="23:24" ht="15.6">
      <c r="W104" s="470"/>
      <c r="X104" s="470"/>
    </row>
    <row r="105" spans="23:24" ht="15.6">
      <c r="W105" s="470"/>
      <c r="X105" s="470"/>
    </row>
    <row r="106" spans="23:24" ht="15.6">
      <c r="W106" s="470"/>
      <c r="X106" s="470"/>
    </row>
    <row r="107" spans="23:24" ht="15.6">
      <c r="W107" s="470"/>
      <c r="X107" s="470"/>
    </row>
    <row r="108" spans="23:24" ht="15.6">
      <c r="W108" s="470"/>
      <c r="X108" s="470"/>
    </row>
    <row r="109" spans="23:24" ht="15.6">
      <c r="W109" s="470"/>
      <c r="X109" s="470"/>
    </row>
    <row r="110" spans="23:24" ht="15.6">
      <c r="W110" s="470"/>
      <c r="X110" s="470"/>
    </row>
    <row r="111" spans="23:24" ht="15.6">
      <c r="W111" s="470"/>
      <c r="X111" s="470"/>
    </row>
    <row r="112" spans="23:24" ht="15.6">
      <c r="W112" s="470"/>
      <c r="X112" s="470"/>
    </row>
    <row r="113" spans="23:24" ht="15.6">
      <c r="W113" s="470"/>
      <c r="X113" s="470"/>
    </row>
    <row r="114" spans="23:24" ht="15.6">
      <c r="W114" s="470"/>
      <c r="X114" s="470"/>
    </row>
    <row r="115" spans="23:24" ht="15.6">
      <c r="W115" s="470"/>
      <c r="X115" s="470"/>
    </row>
    <row r="116" spans="23:24" ht="15.6">
      <c r="W116" s="470"/>
      <c r="X116" s="470"/>
    </row>
    <row r="117" spans="23:24" ht="15.6">
      <c r="W117" s="470"/>
      <c r="X117" s="470"/>
    </row>
    <row r="118" spans="23:24" ht="15.6">
      <c r="W118" s="470"/>
      <c r="X118" s="470"/>
    </row>
    <row r="119" spans="23:24" ht="15.6">
      <c r="W119" s="470"/>
      <c r="X119" s="470"/>
    </row>
    <row r="120" spans="23:24" ht="15.6">
      <c r="W120" s="470"/>
      <c r="X120" s="470"/>
    </row>
    <row r="121" spans="23:24" ht="15.6">
      <c r="W121" s="470"/>
      <c r="X121" s="470"/>
    </row>
    <row r="122" spans="23:24" ht="15.6">
      <c r="W122" s="470"/>
      <c r="X122" s="470"/>
    </row>
    <row r="123" spans="23:24" ht="15.6">
      <c r="W123" s="470"/>
      <c r="X123" s="470"/>
    </row>
    <row r="124" spans="23:24" ht="15.6">
      <c r="W124" s="470"/>
      <c r="X124" s="470"/>
    </row>
    <row r="125" spans="23:24" ht="15.6">
      <c r="W125" s="470"/>
      <c r="X125" s="470"/>
    </row>
    <row r="126" spans="23:24" ht="15.6">
      <c r="W126" s="470"/>
      <c r="X126" s="470"/>
    </row>
    <row r="127" spans="23:24" ht="15.6">
      <c r="W127" s="470"/>
      <c r="X127" s="470"/>
    </row>
    <row r="128" spans="23:24" ht="15.6">
      <c r="W128" s="470"/>
      <c r="X128" s="470"/>
    </row>
  </sheetData>
  <mergeCells count="1">
    <mergeCell ref="B1:Q1"/>
  </mergeCells>
  <conditionalFormatting sqref="E61:G66">
    <cfRule type="iconSet" priority="12542">
      <iconSet>
        <cfvo type="percent" val="0"/>
        <cfvo type="num" val="0.7" gte="0"/>
        <cfvo type="num" val="1"/>
      </iconSet>
    </cfRule>
  </conditionalFormatting>
  <printOptions horizontalCentered="1" verticalCentered="1"/>
  <pageMargins left="0" right="0" top="0" bottom="0" header="0.3" footer="0.3"/>
  <pageSetup paperSize="9" scale="50"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573"/>
  <sheetViews>
    <sheetView showGridLines="0" topLeftCell="F1" zoomScale="91" zoomScaleNormal="91" workbookViewId="0">
      <selection activeCell="A25" sqref="A1:E1048576"/>
    </sheetView>
  </sheetViews>
  <sheetFormatPr defaultColWidth="9" defaultRowHeight="15.6"/>
  <cols>
    <col min="1" max="1" width="25.19921875" style="58" hidden="1" customWidth="1"/>
    <col min="2" max="2" width="16.19921875" style="58" hidden="1" customWidth="1"/>
    <col min="3" max="3" width="58.09765625" style="58" hidden="1" customWidth="1"/>
    <col min="4" max="4" width="46.19921875" style="58" hidden="1" customWidth="1"/>
    <col min="5" max="5" width="73.5" style="58" hidden="1" customWidth="1"/>
    <col min="6" max="6" width="37.19921875" style="58" customWidth="1"/>
    <col min="7" max="7" width="59.19921875" style="58" customWidth="1"/>
    <col min="8" max="16384" width="9" style="58"/>
  </cols>
  <sheetData>
    <row r="1" spans="1:20" ht="25.8">
      <c r="A1" s="912" t="s">
        <v>3313</v>
      </c>
      <c r="B1" s="912"/>
      <c r="C1" s="912"/>
      <c r="D1" s="912"/>
      <c r="E1" s="912"/>
      <c r="F1" s="912"/>
      <c r="G1" s="912"/>
      <c r="H1" s="912"/>
      <c r="I1" s="912"/>
      <c r="J1" s="912"/>
      <c r="K1" s="912"/>
      <c r="L1" s="912"/>
      <c r="M1" s="912"/>
      <c r="N1" s="912"/>
      <c r="O1" s="912"/>
      <c r="P1" s="912"/>
      <c r="Q1" s="912"/>
      <c r="R1" s="912"/>
      <c r="S1" s="912"/>
      <c r="T1" s="912"/>
    </row>
    <row r="33" spans="1:7">
      <c r="A33"/>
      <c r="B33"/>
    </row>
    <row r="34" spans="1:7">
      <c r="A34" s="797" t="s">
        <v>18</v>
      </c>
      <c r="B34" s="798" t="s">
        <v>3199</v>
      </c>
    </row>
    <row r="35" spans="1:7">
      <c r="A35" s="834" t="s">
        <v>20</v>
      </c>
      <c r="B35" s="798" t="s">
        <v>295</v>
      </c>
    </row>
    <row r="36" spans="1:7">
      <c r="A36" s="834" t="s">
        <v>19</v>
      </c>
      <c r="B36" s="798" t="s">
        <v>2648</v>
      </c>
    </row>
    <row r="37" spans="1:7">
      <c r="C37" s="177"/>
      <c r="D37" s="177"/>
      <c r="E37" s="177"/>
    </row>
    <row r="38" spans="1:7" s="94" customFormat="1">
      <c r="A38" s="797" t="s">
        <v>2895</v>
      </c>
      <c r="B38" s="824" t="s">
        <v>1927</v>
      </c>
      <c r="C38" s="798" t="s">
        <v>2706</v>
      </c>
      <c r="D38" s="798" t="s">
        <v>2707</v>
      </c>
      <c r="E38" s="798" t="s">
        <v>2708</v>
      </c>
      <c r="F38"/>
      <c r="G38"/>
    </row>
    <row r="39" spans="1:7">
      <c r="A39" s="798" t="s">
        <v>1089</v>
      </c>
      <c r="B39" s="809">
        <v>1435</v>
      </c>
      <c r="C39" s="809">
        <v>0</v>
      </c>
      <c r="D39" s="809">
        <v>791.99999999999989</v>
      </c>
      <c r="E39" s="809">
        <v>1435</v>
      </c>
      <c r="F39"/>
      <c r="G39"/>
    </row>
    <row r="40" spans="1:7">
      <c r="A40" s="798" t="s">
        <v>2590</v>
      </c>
      <c r="B40" s="809">
        <v>4476</v>
      </c>
      <c r="C40" s="809">
        <v>0</v>
      </c>
      <c r="D40" s="809">
        <v>1302.0000000000002</v>
      </c>
      <c r="E40" s="809">
        <v>4476</v>
      </c>
      <c r="F40"/>
      <c r="G40"/>
    </row>
    <row r="41" spans="1:7">
      <c r="A41" s="798" t="s">
        <v>2577</v>
      </c>
      <c r="B41" s="809">
        <v>1083</v>
      </c>
      <c r="C41" s="809">
        <v>0</v>
      </c>
      <c r="D41" s="809">
        <v>672</v>
      </c>
      <c r="E41" s="809">
        <v>1083</v>
      </c>
      <c r="F41"/>
      <c r="G41"/>
    </row>
    <row r="42" spans="1:7">
      <c r="A42" s="798" t="s">
        <v>2591</v>
      </c>
      <c r="B42" s="809">
        <v>1867</v>
      </c>
      <c r="C42" s="809">
        <v>0</v>
      </c>
      <c r="D42" s="809">
        <v>1260</v>
      </c>
      <c r="E42" s="809">
        <v>1867</v>
      </c>
      <c r="F42"/>
      <c r="G42"/>
    </row>
    <row r="43" spans="1:7">
      <c r="A43" s="798" t="s">
        <v>1743</v>
      </c>
      <c r="B43" s="809">
        <v>3768</v>
      </c>
      <c r="C43" s="809">
        <v>0</v>
      </c>
      <c r="D43" s="809">
        <v>1194</v>
      </c>
      <c r="E43" s="809">
        <v>3768</v>
      </c>
      <c r="F43"/>
      <c r="G43"/>
    </row>
    <row r="44" spans="1:7">
      <c r="A44" s="798" t="s">
        <v>2578</v>
      </c>
      <c r="B44" s="809">
        <v>373</v>
      </c>
      <c r="C44" s="809">
        <v>0</v>
      </c>
      <c r="D44" s="809">
        <v>264</v>
      </c>
      <c r="E44" s="809">
        <v>373</v>
      </c>
      <c r="F44"/>
      <c r="G44"/>
    </row>
    <row r="45" spans="1:7">
      <c r="A45" s="798" t="s">
        <v>2579</v>
      </c>
      <c r="B45" s="809">
        <v>481</v>
      </c>
      <c r="C45" s="809">
        <v>0</v>
      </c>
      <c r="D45" s="809">
        <v>402</v>
      </c>
      <c r="E45" s="809">
        <v>481</v>
      </c>
      <c r="F45"/>
      <c r="G45"/>
    </row>
    <row r="46" spans="1:7">
      <c r="A46" s="798" t="s">
        <v>2006</v>
      </c>
      <c r="B46" s="809">
        <v>2168</v>
      </c>
      <c r="C46" s="809">
        <v>0</v>
      </c>
      <c r="D46" s="809">
        <v>1296</v>
      </c>
      <c r="E46" s="809">
        <v>2168</v>
      </c>
      <c r="F46"/>
      <c r="G46"/>
    </row>
    <row r="47" spans="1:7">
      <c r="A47" s="798" t="s">
        <v>2593</v>
      </c>
      <c r="B47" s="809">
        <v>715</v>
      </c>
      <c r="C47" s="809">
        <v>0</v>
      </c>
      <c r="D47" s="809">
        <v>715</v>
      </c>
      <c r="E47" s="809">
        <v>715</v>
      </c>
      <c r="F47"/>
      <c r="G47"/>
    </row>
    <row r="48" spans="1:7">
      <c r="A48" s="798" t="s">
        <v>2002</v>
      </c>
      <c r="B48" s="809">
        <v>656</v>
      </c>
      <c r="C48" s="809">
        <v>0</v>
      </c>
      <c r="D48" s="809">
        <v>468</v>
      </c>
      <c r="E48" s="809">
        <v>656</v>
      </c>
      <c r="F48"/>
      <c r="G48"/>
    </row>
    <row r="49" spans="1:7">
      <c r="A49" s="798" t="s">
        <v>2583</v>
      </c>
      <c r="B49" s="809">
        <v>1117</v>
      </c>
      <c r="C49" s="809">
        <v>0</v>
      </c>
      <c r="D49" s="809">
        <v>1117</v>
      </c>
      <c r="E49" s="809">
        <v>1117</v>
      </c>
      <c r="F49"/>
      <c r="G49"/>
    </row>
    <row r="50" spans="1:7">
      <c r="A50" s="798" t="s">
        <v>2582</v>
      </c>
      <c r="B50" s="809">
        <v>741</v>
      </c>
      <c r="C50" s="809">
        <v>0</v>
      </c>
      <c r="D50" s="809">
        <v>738</v>
      </c>
      <c r="E50" s="809">
        <v>741</v>
      </c>
      <c r="F50"/>
      <c r="G50"/>
    </row>
    <row r="51" spans="1:7">
      <c r="A51" s="798" t="s">
        <v>2581</v>
      </c>
      <c r="B51" s="809">
        <v>978</v>
      </c>
      <c r="C51" s="809">
        <v>0</v>
      </c>
      <c r="D51" s="809">
        <v>708</v>
      </c>
      <c r="E51" s="809">
        <v>978</v>
      </c>
      <c r="F51"/>
      <c r="G51"/>
    </row>
    <row r="52" spans="1:7">
      <c r="A52" s="798" t="s">
        <v>2586</v>
      </c>
      <c r="B52" s="809">
        <v>1027</v>
      </c>
      <c r="C52" s="809">
        <v>0</v>
      </c>
      <c r="D52" s="809">
        <v>396</v>
      </c>
      <c r="E52" s="809">
        <v>1027</v>
      </c>
      <c r="F52"/>
      <c r="G52"/>
    </row>
    <row r="53" spans="1:7">
      <c r="A53" s="798" t="s">
        <v>2588</v>
      </c>
      <c r="B53" s="809">
        <v>369</v>
      </c>
      <c r="C53" s="809">
        <v>0</v>
      </c>
      <c r="D53" s="809">
        <v>348</v>
      </c>
      <c r="E53" s="809">
        <v>369</v>
      </c>
      <c r="F53"/>
      <c r="G53"/>
    </row>
    <row r="54" spans="1:7">
      <c r="A54" s="798" t="s">
        <v>2587</v>
      </c>
      <c r="B54" s="809">
        <v>370</v>
      </c>
      <c r="C54" s="809">
        <v>0</v>
      </c>
      <c r="D54" s="809">
        <v>370</v>
      </c>
      <c r="E54" s="809">
        <v>370</v>
      </c>
      <c r="F54"/>
      <c r="G54"/>
    </row>
    <row r="55" spans="1:7">
      <c r="A55" s="798" t="s">
        <v>2589</v>
      </c>
      <c r="B55" s="809">
        <v>1369</v>
      </c>
      <c r="C55" s="809">
        <v>0</v>
      </c>
      <c r="D55" s="809">
        <v>1314</v>
      </c>
      <c r="E55" s="809">
        <v>1369</v>
      </c>
      <c r="F55"/>
      <c r="G55"/>
    </row>
    <row r="56" spans="1:7">
      <c r="A56" s="798" t="s">
        <v>2592</v>
      </c>
      <c r="B56" s="809">
        <v>1750</v>
      </c>
      <c r="C56" s="809">
        <v>0</v>
      </c>
      <c r="D56" s="809">
        <v>1188</v>
      </c>
      <c r="E56" s="809">
        <v>1750</v>
      </c>
      <c r="F56"/>
      <c r="G56"/>
    </row>
    <row r="57" spans="1:7">
      <c r="A57" s="798" t="s">
        <v>446</v>
      </c>
      <c r="B57" s="809">
        <v>658</v>
      </c>
      <c r="C57" s="809">
        <v>0</v>
      </c>
      <c r="D57" s="809">
        <v>588</v>
      </c>
      <c r="E57" s="809">
        <v>658</v>
      </c>
      <c r="F57"/>
      <c r="G57"/>
    </row>
    <row r="58" spans="1:7">
      <c r="A58" s="798" t="s">
        <v>2595</v>
      </c>
      <c r="B58" s="809">
        <v>12993</v>
      </c>
      <c r="C58" s="809">
        <v>0</v>
      </c>
      <c r="D58" s="809">
        <v>1308</v>
      </c>
      <c r="E58" s="809">
        <v>12993</v>
      </c>
      <c r="F58"/>
      <c r="G58"/>
    </row>
    <row r="59" spans="1:7">
      <c r="A59" s="798" t="s">
        <v>2226</v>
      </c>
      <c r="B59" s="809">
        <v>1901</v>
      </c>
      <c r="C59" s="809">
        <v>0</v>
      </c>
      <c r="D59" s="809">
        <v>0</v>
      </c>
      <c r="E59" s="809">
        <v>0</v>
      </c>
      <c r="F59"/>
      <c r="G59"/>
    </row>
    <row r="60" spans="1:7">
      <c r="A60" s="798" t="s">
        <v>874</v>
      </c>
      <c r="B60" s="809">
        <v>1574</v>
      </c>
      <c r="C60" s="809">
        <v>0</v>
      </c>
      <c r="D60" s="809">
        <v>816</v>
      </c>
      <c r="E60" s="809">
        <v>1574</v>
      </c>
      <c r="F60"/>
      <c r="G60"/>
    </row>
    <row r="61" spans="1:7">
      <c r="A61" s="798" t="s">
        <v>2580</v>
      </c>
      <c r="B61" s="809">
        <v>454</v>
      </c>
      <c r="C61" s="809">
        <v>0</v>
      </c>
      <c r="D61" s="809">
        <v>454</v>
      </c>
      <c r="E61" s="809">
        <v>454</v>
      </c>
      <c r="F61"/>
      <c r="G61"/>
    </row>
    <row r="62" spans="1:7">
      <c r="A62" s="798" t="s">
        <v>2005</v>
      </c>
      <c r="B62" s="809">
        <v>1529</v>
      </c>
      <c r="C62" s="809">
        <v>0</v>
      </c>
      <c r="D62" s="809">
        <v>1116</v>
      </c>
      <c r="E62" s="809">
        <v>1529</v>
      </c>
      <c r="F62"/>
      <c r="G62"/>
    </row>
    <row r="63" spans="1:7">
      <c r="A63" s="798" t="s">
        <v>669</v>
      </c>
      <c r="B63" s="809">
        <v>1473</v>
      </c>
      <c r="C63" s="809">
        <v>0</v>
      </c>
      <c r="D63" s="809">
        <v>474</v>
      </c>
      <c r="E63" s="809">
        <v>1473</v>
      </c>
      <c r="F63"/>
      <c r="G63"/>
    </row>
    <row r="64" spans="1:7">
      <c r="A64" s="798" t="s">
        <v>1639</v>
      </c>
      <c r="B64" s="809">
        <v>45325</v>
      </c>
      <c r="C64" s="809">
        <v>0</v>
      </c>
      <c r="D64" s="809">
        <v>19300</v>
      </c>
      <c r="E64" s="809">
        <v>43424</v>
      </c>
      <c r="F64"/>
      <c r="G64"/>
    </row>
    <row r="65" spans="1:7">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row r="70" spans="1:7">
      <c r="A70"/>
      <c r="B70"/>
      <c r="C70"/>
      <c r="D70"/>
      <c r="E70"/>
      <c r="F70"/>
      <c r="G70"/>
    </row>
    <row r="71" spans="1:7">
      <c r="A71"/>
      <c r="B71"/>
      <c r="C71"/>
      <c r="D71"/>
      <c r="E71"/>
      <c r="F71"/>
      <c r="G71"/>
    </row>
    <row r="72" spans="1:7">
      <c r="A72"/>
      <c r="B72"/>
      <c r="C72"/>
      <c r="D72"/>
      <c r="E72"/>
      <c r="F72"/>
      <c r="G72"/>
    </row>
    <row r="73" spans="1:7">
      <c r="A73"/>
      <c r="B73"/>
      <c r="C73"/>
      <c r="D73"/>
      <c r="E73"/>
      <c r="F73"/>
      <c r="G73"/>
    </row>
    <row r="74" spans="1:7">
      <c r="A74"/>
      <c r="B74"/>
      <c r="C74"/>
      <c r="D74"/>
      <c r="E74"/>
      <c r="F74"/>
      <c r="G74"/>
    </row>
    <row r="75" spans="1:7">
      <c r="A75"/>
      <c r="B75"/>
      <c r="C75"/>
      <c r="D75"/>
      <c r="E75"/>
      <c r="F75"/>
      <c r="G75"/>
    </row>
    <row r="76" spans="1:7">
      <c r="A76"/>
      <c r="B76"/>
      <c r="C76"/>
      <c r="D76"/>
      <c r="E76"/>
      <c r="F76"/>
      <c r="G76"/>
    </row>
    <row r="77" spans="1:7">
      <c r="A77"/>
      <c r="B77"/>
      <c r="C77"/>
      <c r="D77"/>
      <c r="E77"/>
      <c r="F77"/>
      <c r="G77"/>
    </row>
    <row r="78" spans="1:7">
      <c r="A78"/>
      <c r="B78"/>
      <c r="C78"/>
      <c r="D78"/>
      <c r="E78"/>
      <c r="F78"/>
      <c r="G78"/>
    </row>
    <row r="79" spans="1:7">
      <c r="A79"/>
      <c r="B79"/>
      <c r="C79"/>
      <c r="D79"/>
      <c r="E79"/>
      <c r="F79"/>
      <c r="G79"/>
    </row>
    <row r="80" spans="1:7">
      <c r="A80"/>
      <c r="B80"/>
      <c r="C80"/>
      <c r="D80"/>
      <c r="E80"/>
      <c r="F80"/>
      <c r="G80"/>
    </row>
    <row r="81" spans="1:7">
      <c r="A81"/>
      <c r="B81"/>
      <c r="C81"/>
      <c r="D81"/>
      <c r="E81"/>
      <c r="F81"/>
      <c r="G81"/>
    </row>
    <row r="82" spans="1:7">
      <c r="A82"/>
      <c r="B82"/>
      <c r="C82"/>
      <c r="D82"/>
      <c r="E82"/>
      <c r="F82"/>
      <c r="G82"/>
    </row>
    <row r="83" spans="1:7">
      <c r="A83"/>
      <c r="B83"/>
      <c r="C83"/>
      <c r="D83"/>
      <c r="E83"/>
      <c r="F83"/>
      <c r="G83"/>
    </row>
    <row r="84" spans="1:7">
      <c r="A84"/>
      <c r="B84"/>
      <c r="C84"/>
      <c r="D84"/>
      <c r="E84"/>
      <c r="F84"/>
      <c r="G84"/>
    </row>
    <row r="85" spans="1:7">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row>
    <row r="173" spans="1:7">
      <c r="A173"/>
      <c r="B173"/>
      <c r="C173"/>
      <c r="D173"/>
      <c r="E173"/>
    </row>
    <row r="174" spans="1:7">
      <c r="A174"/>
      <c r="B174"/>
      <c r="C174"/>
      <c r="D174"/>
      <c r="E174"/>
    </row>
    <row r="175" spans="1:7">
      <c r="A175"/>
      <c r="B175"/>
      <c r="C175"/>
      <c r="D175"/>
      <c r="E175"/>
    </row>
    <row r="176" spans="1:7">
      <c r="A176"/>
      <c r="B176"/>
      <c r="C176"/>
      <c r="D176"/>
      <c r="E176"/>
    </row>
    <row r="177" spans="1:5">
      <c r="A177"/>
      <c r="B177"/>
      <c r="C177"/>
      <c r="D177"/>
      <c r="E177"/>
    </row>
    <row r="178" spans="1:5">
      <c r="A178"/>
      <c r="B178"/>
      <c r="C178"/>
      <c r="D178"/>
      <c r="E178"/>
    </row>
    <row r="179" spans="1:5">
      <c r="A179"/>
      <c r="B179"/>
      <c r="C179"/>
      <c r="D179"/>
      <c r="E179"/>
    </row>
    <row r="180" spans="1:5">
      <c r="A180"/>
      <c r="B180"/>
      <c r="C180"/>
      <c r="D180"/>
      <c r="E180"/>
    </row>
    <row r="181" spans="1:5">
      <c r="A181"/>
      <c r="B181"/>
      <c r="C181"/>
      <c r="D181"/>
      <c r="E181"/>
    </row>
    <row r="182" spans="1:5">
      <c r="A182"/>
      <c r="B182"/>
      <c r="C182"/>
      <c r="D182"/>
      <c r="E182"/>
    </row>
    <row r="183" spans="1:5">
      <c r="A183"/>
      <c r="B183"/>
      <c r="C183"/>
      <c r="D183"/>
      <c r="E183"/>
    </row>
    <row r="184" spans="1:5">
      <c r="A184"/>
      <c r="B184"/>
      <c r="C184"/>
      <c r="D184"/>
      <c r="E184"/>
    </row>
    <row r="185" spans="1:5">
      <c r="A185"/>
      <c r="B185"/>
      <c r="C185"/>
      <c r="D185"/>
      <c r="E185"/>
    </row>
    <row r="186" spans="1:5">
      <c r="A186"/>
      <c r="B186"/>
      <c r="C186"/>
      <c r="D186"/>
      <c r="E186"/>
    </row>
    <row r="187" spans="1:5">
      <c r="A187"/>
      <c r="B187"/>
      <c r="C187"/>
      <c r="D187"/>
      <c r="E187"/>
    </row>
    <row r="188" spans="1:5">
      <c r="A188"/>
      <c r="B188"/>
      <c r="C188"/>
      <c r="D188"/>
      <c r="E188"/>
    </row>
    <row r="189" spans="1:5">
      <c r="A189"/>
      <c r="B189"/>
      <c r="C189"/>
      <c r="D189"/>
      <c r="E189"/>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7"/>
  <sheetViews>
    <sheetView showGridLines="0" zoomScale="70" zoomScaleNormal="70" workbookViewId="0">
      <selection activeCell="R27" sqref="R27"/>
    </sheetView>
  </sheetViews>
  <sheetFormatPr defaultColWidth="14" defaultRowHeight="15.6"/>
  <cols>
    <col min="9" max="9" width="22.59765625" customWidth="1"/>
    <col min="10" max="10" width="24.69921875" customWidth="1"/>
    <col min="11" max="11" width="42.5" customWidth="1"/>
    <col min="12" max="12" width="17.19921875" hidden="1" customWidth="1"/>
    <col min="13" max="13" width="15.69921875" hidden="1" customWidth="1"/>
    <col min="14" max="14" width="57" hidden="1" customWidth="1"/>
    <col min="15" max="15" width="45.19921875" hidden="1" customWidth="1"/>
    <col min="16" max="16" width="71.69921875" hidden="1" customWidth="1"/>
  </cols>
  <sheetData>
    <row r="2" spans="12:16">
      <c r="L2" s="481" t="s">
        <v>32</v>
      </c>
      <c r="M2" s="763" t="s">
        <v>32</v>
      </c>
    </row>
    <row r="3" spans="12:16">
      <c r="N3" s="393"/>
      <c r="O3" s="393"/>
      <c r="P3" s="393"/>
    </row>
    <row r="4" spans="12:16">
      <c r="L4" s="481" t="s">
        <v>18</v>
      </c>
      <c r="M4" s="763" t="s">
        <v>2926</v>
      </c>
      <c r="N4" s="763" t="s">
        <v>2706</v>
      </c>
      <c r="O4" s="763" t="s">
        <v>2707</v>
      </c>
      <c r="P4" s="763" t="s">
        <v>2708</v>
      </c>
    </row>
    <row r="5" spans="12:16">
      <c r="L5" s="763" t="s">
        <v>3150</v>
      </c>
      <c r="M5" s="469">
        <v>14096</v>
      </c>
      <c r="N5" s="469">
        <v>1275</v>
      </c>
      <c r="O5" s="469">
        <v>2529</v>
      </c>
      <c r="P5" s="469">
        <v>0</v>
      </c>
    </row>
    <row r="6" spans="12:16">
      <c r="L6" s="763" t="s">
        <v>3199</v>
      </c>
      <c r="M6" s="469">
        <v>5926</v>
      </c>
      <c r="N6" s="469">
        <v>1044</v>
      </c>
      <c r="O6" s="469">
        <v>2394</v>
      </c>
      <c r="P6" s="469">
        <v>3054</v>
      </c>
    </row>
    <row r="7" spans="12:16">
      <c r="L7" s="763" t="s">
        <v>1639</v>
      </c>
      <c r="M7" s="469">
        <v>20022</v>
      </c>
      <c r="N7" s="469">
        <v>2319</v>
      </c>
      <c r="O7" s="469">
        <v>4923</v>
      </c>
      <c r="P7" s="469">
        <v>3054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topLeftCell="G4" workbookViewId="0">
      <selection activeCell="AC89" sqref="AC89"/>
    </sheetView>
  </sheetViews>
  <sheetFormatPr defaultColWidth="9" defaultRowHeight="13.8"/>
  <cols>
    <col min="1" max="3" width="9" style="18"/>
    <col min="4" max="4" width="9" style="66"/>
    <col min="5" max="5" width="15.69921875" style="65" customWidth="1"/>
    <col min="6" max="14" width="9" style="18"/>
    <col min="15" max="15" width="15.69921875" style="18" customWidth="1"/>
    <col min="16" max="27" width="9" style="18"/>
    <col min="28" max="28" width="13" style="61" customWidth="1"/>
    <col min="29" max="29" width="16.69921875" style="61" customWidth="1"/>
    <col min="30" max="16384" width="9" style="18"/>
  </cols>
  <sheetData>
    <row r="1" spans="1:29" ht="15" thickTop="1" thickBot="1">
      <c r="A1" s="1" t="s">
        <v>0</v>
      </c>
      <c r="B1" s="1" t="s">
        <v>1</v>
      </c>
      <c r="C1" s="1" t="s">
        <v>2</v>
      </c>
      <c r="D1" s="48" t="s">
        <v>3</v>
      </c>
      <c r="E1" s="48" t="s">
        <v>4</v>
      </c>
      <c r="F1" s="1" t="s">
        <v>1150</v>
      </c>
      <c r="G1" s="1" t="s">
        <v>5</v>
      </c>
      <c r="H1" s="1" t="s">
        <v>6</v>
      </c>
      <c r="I1" s="1" t="s">
        <v>49</v>
      </c>
      <c r="J1" s="1" t="s">
        <v>50</v>
      </c>
      <c r="K1" s="1" t="s">
        <v>53</v>
      </c>
      <c r="L1" s="2" t="s">
        <v>55</v>
      </c>
      <c r="M1" s="2" t="s">
        <v>57</v>
      </c>
      <c r="N1" s="2" t="s">
        <v>110</v>
      </c>
      <c r="O1" s="2" t="s">
        <v>111</v>
      </c>
      <c r="P1" s="2" t="s">
        <v>59</v>
      </c>
      <c r="Q1" s="2" t="s">
        <v>58</v>
      </c>
      <c r="R1" s="3" t="s">
        <v>60</v>
      </c>
      <c r="S1" s="3" t="s">
        <v>1151</v>
      </c>
      <c r="T1" s="4" t="s">
        <v>62</v>
      </c>
      <c r="U1" s="3" t="s">
        <v>63</v>
      </c>
      <c r="V1" s="3" t="s">
        <v>64</v>
      </c>
      <c r="W1" s="5" t="s">
        <v>65</v>
      </c>
      <c r="X1" s="5"/>
      <c r="Y1" s="5" t="s">
        <v>1152</v>
      </c>
      <c r="Z1" s="5" t="s">
        <v>66</v>
      </c>
      <c r="AA1" s="46" t="s">
        <v>67</v>
      </c>
      <c r="AB1" s="61" t="s">
        <v>1153</v>
      </c>
    </row>
    <row r="2" spans="1:29" ht="14.4" thickBot="1">
      <c r="A2" s="11" t="s">
        <v>14</v>
      </c>
      <c r="B2" s="12" t="s">
        <v>14</v>
      </c>
      <c r="C2" s="11" t="s">
        <v>14</v>
      </c>
      <c r="D2" s="52" t="s">
        <v>14</v>
      </c>
      <c r="E2" s="49" t="s">
        <v>14</v>
      </c>
      <c r="F2" s="12" t="s">
        <v>15</v>
      </c>
      <c r="G2" s="11" t="s">
        <v>15</v>
      </c>
      <c r="H2" s="12" t="s">
        <v>52</v>
      </c>
      <c r="I2" s="11" t="s">
        <v>14</v>
      </c>
      <c r="J2" s="12" t="s">
        <v>17</v>
      </c>
      <c r="K2" s="11" t="s">
        <v>54</v>
      </c>
      <c r="L2" s="12" t="s">
        <v>15</v>
      </c>
      <c r="M2" s="11" t="s">
        <v>15</v>
      </c>
      <c r="N2" s="12" t="s">
        <v>15</v>
      </c>
      <c r="O2" s="11" t="s">
        <v>15</v>
      </c>
      <c r="P2" s="12" t="s">
        <v>54</v>
      </c>
      <c r="Q2" s="11" t="s">
        <v>15</v>
      </c>
      <c r="R2" s="12" t="s">
        <v>15</v>
      </c>
      <c r="S2" s="11" t="s">
        <v>15</v>
      </c>
      <c r="T2" s="12" t="s">
        <v>15</v>
      </c>
      <c r="U2" s="11" t="s">
        <v>1154</v>
      </c>
      <c r="V2" s="12" t="s">
        <v>1154</v>
      </c>
      <c r="W2" s="11" t="s">
        <v>15</v>
      </c>
      <c r="X2" s="11"/>
      <c r="Y2" s="12" t="s">
        <v>15</v>
      </c>
      <c r="Z2" s="11" t="s">
        <v>15</v>
      </c>
      <c r="AA2" s="47" t="s">
        <v>15</v>
      </c>
    </row>
    <row r="3" spans="1:29" ht="139.19999999999999" thickTop="1" thickBot="1">
      <c r="A3" s="14" t="s">
        <v>18</v>
      </c>
      <c r="B3" s="13" t="s">
        <v>1155</v>
      </c>
      <c r="C3" s="14" t="s">
        <v>19</v>
      </c>
      <c r="D3" s="53" t="s">
        <v>20</v>
      </c>
      <c r="E3" s="50" t="s">
        <v>21</v>
      </c>
      <c r="F3" s="13" t="s">
        <v>23</v>
      </c>
      <c r="G3" s="14" t="s">
        <v>1156</v>
      </c>
      <c r="H3" s="13" t="s">
        <v>1157</v>
      </c>
      <c r="I3" s="14" t="s">
        <v>1158</v>
      </c>
      <c r="J3" s="13" t="s">
        <v>1159</v>
      </c>
      <c r="K3" s="14" t="s">
        <v>1160</v>
      </c>
      <c r="L3" s="13" t="s">
        <v>1161</v>
      </c>
      <c r="M3" s="14" t="s">
        <v>1162</v>
      </c>
      <c r="N3" s="13" t="s">
        <v>1163</v>
      </c>
      <c r="O3" s="14" t="s">
        <v>1164</v>
      </c>
      <c r="P3" s="13" t="s">
        <v>1165</v>
      </c>
      <c r="Q3" s="14" t="s">
        <v>1166</v>
      </c>
      <c r="R3" s="13" t="s">
        <v>1167</v>
      </c>
      <c r="S3" s="14" t="s">
        <v>1168</v>
      </c>
      <c r="T3" s="13" t="s">
        <v>1169</v>
      </c>
      <c r="U3" s="14" t="s">
        <v>1170</v>
      </c>
      <c r="V3" s="13" t="s">
        <v>1171</v>
      </c>
      <c r="W3" s="16" t="s">
        <v>1172</v>
      </c>
      <c r="X3" s="16" t="s">
        <v>1173</v>
      </c>
      <c r="Y3" s="13" t="s">
        <v>1174</v>
      </c>
      <c r="Z3" s="14" t="s">
        <v>1175</v>
      </c>
      <c r="AA3" s="56" t="s">
        <v>1176</v>
      </c>
      <c r="AB3" s="62" t="s">
        <v>1177</v>
      </c>
      <c r="AC3" s="62" t="s">
        <v>1178</v>
      </c>
    </row>
    <row r="4" spans="1:29" ht="15" thickTop="1" thickBot="1">
      <c r="A4" s="10" t="s">
        <v>1179</v>
      </c>
      <c r="B4" s="10" t="s">
        <v>1180</v>
      </c>
      <c r="C4" s="8" t="s">
        <v>36</v>
      </c>
      <c r="D4" s="51" t="s">
        <v>325</v>
      </c>
      <c r="E4" s="51" t="s">
        <v>627</v>
      </c>
      <c r="F4" s="7"/>
      <c r="G4" s="8"/>
      <c r="H4" s="7" t="s">
        <v>40</v>
      </c>
      <c r="I4" s="40" t="s">
        <v>310</v>
      </c>
      <c r="J4" s="7"/>
      <c r="K4" s="15">
        <v>0</v>
      </c>
      <c r="L4" s="7"/>
      <c r="M4" s="8"/>
      <c r="N4" s="7"/>
      <c r="O4" s="8"/>
      <c r="P4" s="7"/>
      <c r="Q4" s="7"/>
      <c r="R4" s="8"/>
      <c r="S4" s="7"/>
      <c r="T4" s="9"/>
      <c r="U4" s="7" t="s">
        <v>127</v>
      </c>
      <c r="V4" s="7" t="s">
        <v>127</v>
      </c>
      <c r="W4" s="7"/>
      <c r="X4" s="7" t="s">
        <v>128</v>
      </c>
      <c r="Y4" s="8"/>
      <c r="Z4" s="7"/>
      <c r="AA4" s="57"/>
      <c r="AB4" s="61" t="s">
        <v>2648</v>
      </c>
      <c r="AC4" s="61" t="s">
        <v>357</v>
      </c>
    </row>
    <row r="5" spans="1:29" ht="15" thickTop="1" thickBot="1">
      <c r="A5" s="10" t="s">
        <v>1181</v>
      </c>
      <c r="B5" s="10" t="s">
        <v>314</v>
      </c>
      <c r="C5" s="8" t="s">
        <v>294</v>
      </c>
      <c r="D5" s="51" t="s">
        <v>185</v>
      </c>
      <c r="E5" s="51" t="s">
        <v>540</v>
      </c>
      <c r="F5" s="7"/>
      <c r="G5" s="8"/>
      <c r="H5" s="7" t="s">
        <v>126</v>
      </c>
      <c r="I5" s="40" t="s">
        <v>140</v>
      </c>
      <c r="J5" s="7"/>
      <c r="K5" s="15">
        <v>0.1</v>
      </c>
      <c r="L5" s="7"/>
      <c r="M5" s="8"/>
      <c r="N5" s="7"/>
      <c r="O5" s="8"/>
      <c r="P5" s="7"/>
      <c r="Q5" s="7"/>
      <c r="R5" s="8"/>
      <c r="S5" s="7"/>
      <c r="T5" s="9"/>
      <c r="U5" s="7" t="s">
        <v>1182</v>
      </c>
      <c r="V5" s="7" t="s">
        <v>141</v>
      </c>
      <c r="W5" s="7"/>
      <c r="X5" s="7" t="s">
        <v>219</v>
      </c>
      <c r="Y5" s="8"/>
      <c r="Z5" s="7"/>
      <c r="AA5" s="57"/>
      <c r="AB5" s="61" t="s">
        <v>2648</v>
      </c>
      <c r="AC5" s="61" t="s">
        <v>302</v>
      </c>
    </row>
    <row r="6" spans="1:29" ht="15" thickTop="1" thickBot="1">
      <c r="A6" s="10" t="s">
        <v>1183</v>
      </c>
      <c r="B6" s="10" t="s">
        <v>1184</v>
      </c>
      <c r="C6" s="8" t="s">
        <v>698</v>
      </c>
      <c r="D6" s="51" t="s">
        <v>319</v>
      </c>
      <c r="E6" s="51" t="s">
        <v>661</v>
      </c>
      <c r="F6" s="7"/>
      <c r="G6" s="8"/>
      <c r="H6" s="7" t="s">
        <v>283</v>
      </c>
      <c r="I6" s="6" t="s">
        <v>1185</v>
      </c>
      <c r="J6" s="7"/>
      <c r="K6" s="15">
        <v>0.2</v>
      </c>
      <c r="L6" s="7"/>
      <c r="M6" s="8"/>
      <c r="N6" s="7"/>
      <c r="O6" s="8"/>
      <c r="P6" s="7"/>
      <c r="Q6" s="7"/>
      <c r="R6" s="8"/>
      <c r="S6" s="7"/>
      <c r="T6" s="9"/>
      <c r="U6" s="7" t="s">
        <v>176</v>
      </c>
      <c r="V6" s="7" t="s">
        <v>176</v>
      </c>
      <c r="W6" s="7"/>
      <c r="X6" s="7" t="s">
        <v>135</v>
      </c>
      <c r="Y6" s="8"/>
      <c r="Z6" s="7"/>
      <c r="AA6" s="57"/>
      <c r="AB6" s="61" t="s">
        <v>2648</v>
      </c>
      <c r="AC6" s="61" t="s">
        <v>312</v>
      </c>
    </row>
    <row r="7" spans="1:29" ht="15" thickTop="1" thickBot="1">
      <c r="A7" s="10" t="s">
        <v>1186</v>
      </c>
      <c r="B7" s="10" t="s">
        <v>1187</v>
      </c>
      <c r="D7" s="51" t="s">
        <v>136</v>
      </c>
      <c r="E7" s="51" t="s">
        <v>579</v>
      </c>
      <c r="F7" s="7"/>
      <c r="G7" s="8"/>
      <c r="H7" s="7"/>
      <c r="I7" s="40" t="s">
        <v>327</v>
      </c>
      <c r="J7" s="7"/>
      <c r="K7" s="15">
        <v>0.3</v>
      </c>
      <c r="L7" s="7"/>
      <c r="M7" s="8"/>
      <c r="N7" s="7"/>
      <c r="O7" s="8"/>
      <c r="P7" s="7"/>
      <c r="Q7" s="7"/>
      <c r="R7" s="8"/>
      <c r="S7" s="7"/>
      <c r="T7" s="9"/>
      <c r="U7" s="7" t="s">
        <v>130</v>
      </c>
      <c r="V7" s="7" t="s">
        <v>130</v>
      </c>
      <c r="W7" s="7"/>
      <c r="X7" s="7"/>
      <c r="Y7" s="8"/>
      <c r="Z7" s="7"/>
      <c r="AA7" s="57"/>
      <c r="AB7" s="61" t="s">
        <v>2648</v>
      </c>
      <c r="AC7" s="61" t="s">
        <v>471</v>
      </c>
    </row>
    <row r="8" spans="1:29" ht="15" thickTop="1" thickBot="1">
      <c r="A8" s="10" t="s">
        <v>1188</v>
      </c>
      <c r="B8" s="10" t="s">
        <v>1189</v>
      </c>
      <c r="D8" s="51" t="s">
        <v>138</v>
      </c>
      <c r="E8" s="51" t="s">
        <v>601</v>
      </c>
      <c r="F8" s="7"/>
      <c r="G8" s="8"/>
      <c r="H8" s="7"/>
      <c r="I8" s="54" t="s">
        <v>1190</v>
      </c>
      <c r="J8" s="7"/>
      <c r="K8" s="15">
        <v>0.4</v>
      </c>
      <c r="L8" s="7"/>
      <c r="M8" s="8"/>
      <c r="N8" s="7"/>
      <c r="O8" s="8"/>
      <c r="P8" s="7"/>
      <c r="Q8" s="7"/>
      <c r="R8" s="8"/>
      <c r="S8" s="7"/>
      <c r="T8" s="9"/>
      <c r="U8" s="64"/>
      <c r="V8" s="64"/>
      <c r="W8" s="7"/>
      <c r="X8" s="7"/>
      <c r="Y8" s="8"/>
      <c r="Z8" s="7"/>
      <c r="AA8" s="57"/>
      <c r="AB8" s="61" t="s">
        <v>2648</v>
      </c>
      <c r="AC8" s="61" t="s">
        <v>399</v>
      </c>
    </row>
    <row r="9" spans="1:29" ht="14.4" thickBot="1">
      <c r="A9" s="10" t="s">
        <v>1191</v>
      </c>
      <c r="B9" s="10" t="s">
        <v>2269</v>
      </c>
      <c r="D9" s="51" t="s">
        <v>717</v>
      </c>
      <c r="E9" s="51" t="s">
        <v>648</v>
      </c>
      <c r="F9" s="7"/>
      <c r="G9" s="8"/>
      <c r="H9" s="7"/>
      <c r="I9" s="39" t="s">
        <v>1192</v>
      </c>
      <c r="J9" s="7"/>
      <c r="K9" s="15">
        <v>0.5</v>
      </c>
      <c r="L9" s="7"/>
      <c r="M9" s="8"/>
      <c r="N9" s="7"/>
      <c r="O9" s="8"/>
      <c r="P9" s="7"/>
      <c r="Q9" s="7"/>
      <c r="R9" s="8"/>
      <c r="S9" s="7"/>
      <c r="T9" s="9"/>
      <c r="U9" s="7"/>
      <c r="V9" s="8"/>
      <c r="W9" s="7"/>
      <c r="X9" s="7"/>
      <c r="Y9" s="8"/>
      <c r="Z9" s="7"/>
      <c r="AA9" s="57"/>
      <c r="AB9" s="61" t="s">
        <v>2648</v>
      </c>
      <c r="AC9" s="61" t="s">
        <v>402</v>
      </c>
    </row>
    <row r="10" spans="1:29" ht="14.4" thickBot="1">
      <c r="A10" s="10" t="s">
        <v>1193</v>
      </c>
      <c r="B10" s="10" t="s">
        <v>304</v>
      </c>
      <c r="D10" s="51" t="s">
        <v>739</v>
      </c>
      <c r="E10" s="51" t="s">
        <v>936</v>
      </c>
      <c r="F10" s="7"/>
      <c r="G10" s="8"/>
      <c r="H10" s="7"/>
      <c r="I10" s="39" t="s">
        <v>1195</v>
      </c>
      <c r="J10" s="7"/>
      <c r="K10" s="15">
        <v>0.6</v>
      </c>
      <c r="L10" s="7"/>
      <c r="M10" s="8"/>
      <c r="N10" s="7"/>
      <c r="O10" s="8"/>
      <c r="P10" s="7"/>
      <c r="Q10" s="7"/>
      <c r="R10" s="8"/>
      <c r="S10" s="7"/>
      <c r="T10" s="9"/>
      <c r="U10" s="7"/>
      <c r="V10" s="8"/>
      <c r="W10" s="7"/>
      <c r="X10" s="7"/>
      <c r="Y10" s="8"/>
      <c r="Z10" s="7"/>
      <c r="AA10" s="57"/>
      <c r="AB10" s="61" t="s">
        <v>2648</v>
      </c>
      <c r="AC10" s="61" t="s">
        <v>452</v>
      </c>
    </row>
    <row r="11" spans="1:29" ht="14.4" thickBot="1">
      <c r="A11" s="10" t="s">
        <v>1193</v>
      </c>
      <c r="B11" s="10" t="s">
        <v>1194</v>
      </c>
      <c r="D11" s="51" t="s">
        <v>771</v>
      </c>
      <c r="E11" s="51" t="s">
        <v>538</v>
      </c>
      <c r="F11" s="7"/>
      <c r="G11" s="8"/>
      <c r="H11" s="7"/>
      <c r="I11" s="30" t="s">
        <v>297</v>
      </c>
      <c r="J11" s="7"/>
      <c r="K11" s="15">
        <v>0.7</v>
      </c>
      <c r="L11" s="7"/>
      <c r="M11" s="8"/>
      <c r="N11" s="7"/>
      <c r="O11" s="8"/>
      <c r="P11" s="7"/>
      <c r="Q11" s="7"/>
      <c r="R11" s="8"/>
      <c r="S11" s="7"/>
      <c r="T11" s="9"/>
      <c r="U11" s="7"/>
      <c r="V11" s="8"/>
      <c r="W11" s="7"/>
      <c r="X11" s="7"/>
      <c r="Y11" s="8"/>
      <c r="Z11" s="7"/>
      <c r="AA11" s="57"/>
      <c r="AB11" s="61" t="s">
        <v>2648</v>
      </c>
      <c r="AC11" s="61" t="s">
        <v>354</v>
      </c>
    </row>
    <row r="12" spans="1:29" ht="14.4" thickBot="1">
      <c r="A12" s="10" t="s">
        <v>1196</v>
      </c>
      <c r="B12" s="10" t="s">
        <v>318</v>
      </c>
      <c r="D12" s="51" t="s">
        <v>1069</v>
      </c>
      <c r="E12" s="51" t="s">
        <v>567</v>
      </c>
      <c r="F12" s="7"/>
      <c r="G12" s="8"/>
      <c r="H12" s="7"/>
      <c r="I12" s="30" t="s">
        <v>218</v>
      </c>
      <c r="J12" s="7"/>
      <c r="K12" s="15">
        <v>0.8</v>
      </c>
      <c r="L12" s="7"/>
      <c r="M12" s="8"/>
      <c r="N12" s="7"/>
      <c r="O12" s="8"/>
      <c r="P12" s="7"/>
      <c r="Q12" s="7"/>
      <c r="R12" s="8"/>
      <c r="S12" s="7"/>
      <c r="T12" s="9"/>
      <c r="U12" s="7"/>
      <c r="V12" s="8"/>
      <c r="W12" s="7"/>
      <c r="X12" s="7"/>
      <c r="Y12" s="8"/>
      <c r="Z12" s="7"/>
      <c r="AA12" s="57"/>
      <c r="AB12" s="61" t="s">
        <v>2648</v>
      </c>
      <c r="AC12" s="61" t="s">
        <v>295</v>
      </c>
    </row>
    <row r="13" spans="1:29" ht="14.4" thickBot="1">
      <c r="A13" s="10" t="s">
        <v>1198</v>
      </c>
      <c r="B13" s="10" t="s">
        <v>1197</v>
      </c>
      <c r="C13" s="64"/>
      <c r="D13" s="51" t="s">
        <v>702</v>
      </c>
      <c r="E13" s="51" t="s">
        <v>589</v>
      </c>
      <c r="F13" s="7"/>
      <c r="G13" s="8"/>
      <c r="H13" s="7"/>
      <c r="I13" s="30" t="s">
        <v>39</v>
      </c>
      <c r="J13" s="7"/>
      <c r="K13" s="15">
        <v>0.9</v>
      </c>
      <c r="L13" s="7"/>
      <c r="M13" s="8"/>
      <c r="N13" s="7"/>
      <c r="O13" s="8"/>
      <c r="P13" s="7"/>
      <c r="Q13" s="7"/>
      <c r="R13" s="8"/>
      <c r="S13" s="7"/>
      <c r="T13" s="9"/>
      <c r="U13" s="7"/>
      <c r="V13" s="8"/>
      <c r="W13" s="7"/>
      <c r="X13" s="7"/>
      <c r="Y13" s="8"/>
      <c r="Z13" s="7"/>
      <c r="AA13" s="57"/>
      <c r="AB13" s="61" t="s">
        <v>36</v>
      </c>
      <c r="AC13" s="61" t="s">
        <v>185</v>
      </c>
    </row>
    <row r="14" spans="1:29" ht="14.4" thickBot="1">
      <c r="A14" s="10" t="s">
        <v>1200</v>
      </c>
      <c r="B14" s="10" t="s">
        <v>1199</v>
      </c>
      <c r="D14" s="51" t="s">
        <v>357</v>
      </c>
      <c r="E14" s="51" t="s">
        <v>581</v>
      </c>
      <c r="F14" s="7"/>
      <c r="G14" s="8"/>
      <c r="H14" s="7"/>
      <c r="I14" s="45" t="s">
        <v>216</v>
      </c>
      <c r="J14" s="7"/>
      <c r="K14" s="15">
        <v>1</v>
      </c>
      <c r="L14" s="7"/>
      <c r="M14" s="8"/>
      <c r="N14" s="7"/>
      <c r="O14" s="8"/>
      <c r="P14" s="7"/>
      <c r="Q14" s="7"/>
      <c r="R14" s="8"/>
      <c r="S14" s="7"/>
      <c r="T14" s="9"/>
      <c r="U14" s="7"/>
      <c r="V14" s="8"/>
      <c r="W14" s="7"/>
      <c r="X14" s="7"/>
      <c r="Y14" s="8"/>
      <c r="Z14" s="7"/>
      <c r="AA14" s="57"/>
      <c r="AB14" s="61" t="s">
        <v>36</v>
      </c>
      <c r="AC14" s="61" t="s">
        <v>136</v>
      </c>
    </row>
    <row r="15" spans="1:29" ht="14.4" thickBot="1">
      <c r="A15" s="10" t="s">
        <v>1202</v>
      </c>
      <c r="B15" s="10" t="s">
        <v>1201</v>
      </c>
      <c r="D15" s="51" t="s">
        <v>302</v>
      </c>
      <c r="E15" s="51" t="s">
        <v>550</v>
      </c>
      <c r="F15" s="7"/>
      <c r="G15" s="8"/>
      <c r="H15" s="7"/>
      <c r="I15" s="30" t="s">
        <v>282</v>
      </c>
      <c r="J15" s="7"/>
      <c r="K15" s="8"/>
      <c r="L15" s="7"/>
      <c r="M15" s="8"/>
      <c r="N15" s="7"/>
      <c r="O15" s="8"/>
      <c r="P15" s="7"/>
      <c r="Q15" s="7"/>
      <c r="R15" s="8"/>
      <c r="S15" s="7"/>
      <c r="T15" s="9"/>
      <c r="U15" s="7"/>
      <c r="V15" s="8"/>
      <c r="W15" s="7"/>
      <c r="X15" s="7"/>
      <c r="Y15" s="8"/>
      <c r="Z15" s="7"/>
      <c r="AA15" s="57"/>
      <c r="AB15" s="61" t="s">
        <v>36</v>
      </c>
      <c r="AC15" s="61" t="s">
        <v>138</v>
      </c>
    </row>
    <row r="16" spans="1:29" ht="14.4" thickBot="1">
      <c r="A16" s="10" t="s">
        <v>1205</v>
      </c>
      <c r="B16" s="10" t="s">
        <v>1203</v>
      </c>
      <c r="D16" s="51" t="s">
        <v>1074</v>
      </c>
      <c r="E16" s="51" t="s">
        <v>551</v>
      </c>
      <c r="F16" s="7"/>
      <c r="G16" s="8"/>
      <c r="H16" s="7"/>
      <c r="I16" s="30" t="s">
        <v>701</v>
      </c>
      <c r="J16" s="7"/>
      <c r="K16" s="8"/>
      <c r="L16" s="7"/>
      <c r="M16" s="8"/>
      <c r="N16" s="7"/>
      <c r="O16" s="8"/>
      <c r="P16" s="7"/>
      <c r="Q16" s="7"/>
      <c r="R16" s="8"/>
      <c r="S16" s="7"/>
      <c r="T16" s="9"/>
      <c r="U16" s="7"/>
      <c r="V16" s="8"/>
      <c r="W16" s="7"/>
      <c r="X16" s="7"/>
      <c r="Y16" s="8"/>
      <c r="Z16" s="7"/>
      <c r="AA16" s="57"/>
      <c r="AB16" s="61" t="s">
        <v>36</v>
      </c>
      <c r="AC16" s="61" t="s">
        <v>771</v>
      </c>
    </row>
    <row r="17" spans="1:29" ht="14.4" thickBot="1">
      <c r="A17" s="10" t="s">
        <v>1206</v>
      </c>
      <c r="B17" s="10" t="s">
        <v>409</v>
      </c>
      <c r="D17" s="51" t="s">
        <v>37</v>
      </c>
      <c r="E17" s="51" t="s">
        <v>529</v>
      </c>
      <c r="F17" s="7"/>
      <c r="G17" s="8"/>
      <c r="H17" s="7"/>
      <c r="I17" s="30" t="s">
        <v>275</v>
      </c>
      <c r="J17" s="7"/>
      <c r="K17" s="8"/>
      <c r="L17" s="7"/>
      <c r="M17" s="8"/>
      <c r="N17" s="7"/>
      <c r="O17" s="8"/>
      <c r="P17" s="7"/>
      <c r="Q17" s="7"/>
      <c r="R17" s="8"/>
      <c r="S17" s="7"/>
      <c r="T17" s="9"/>
      <c r="U17" s="7"/>
      <c r="V17" s="8"/>
      <c r="W17" s="7"/>
      <c r="X17" s="7"/>
      <c r="Y17" s="8"/>
      <c r="Z17" s="7"/>
      <c r="AA17" s="57"/>
      <c r="AB17" s="61" t="s">
        <v>36</v>
      </c>
      <c r="AC17" s="61" t="s">
        <v>1069</v>
      </c>
    </row>
    <row r="18" spans="1:29" ht="14.4" thickBot="1">
      <c r="A18" s="41" t="s">
        <v>1208</v>
      </c>
      <c r="B18" s="10" t="s">
        <v>1207</v>
      </c>
      <c r="D18" s="51" t="s">
        <v>705</v>
      </c>
      <c r="E18" s="51" t="s">
        <v>664</v>
      </c>
      <c r="F18" s="7"/>
      <c r="G18" s="8"/>
      <c r="H18" s="7"/>
      <c r="I18" s="30" t="s">
        <v>268</v>
      </c>
      <c r="J18" s="7"/>
      <c r="K18" s="8"/>
      <c r="L18" s="7"/>
      <c r="M18" s="8"/>
      <c r="N18" s="7"/>
      <c r="O18" s="8"/>
      <c r="P18" s="7"/>
      <c r="Q18" s="7"/>
      <c r="R18" s="8"/>
      <c r="S18" s="7"/>
      <c r="T18" s="9"/>
      <c r="U18" s="7"/>
      <c r="V18" s="8"/>
      <c r="W18" s="7"/>
      <c r="X18" s="7"/>
      <c r="Y18" s="8"/>
      <c r="Z18" s="7"/>
      <c r="AA18" s="57"/>
      <c r="AB18" s="61" t="s">
        <v>36</v>
      </c>
      <c r="AC18" s="61" t="s">
        <v>1074</v>
      </c>
    </row>
    <row r="19" spans="1:29" ht="14.4" thickBot="1">
      <c r="A19" s="41" t="s">
        <v>1210</v>
      </c>
      <c r="B19" s="10" t="s">
        <v>1209</v>
      </c>
      <c r="D19" s="51" t="s">
        <v>305</v>
      </c>
      <c r="E19" s="51" t="s">
        <v>663</v>
      </c>
      <c r="F19" s="7"/>
      <c r="G19" s="8"/>
      <c r="H19" s="7"/>
      <c r="I19" s="30" t="s">
        <v>307</v>
      </c>
      <c r="J19" s="7"/>
      <c r="K19" s="8"/>
      <c r="L19" s="7"/>
      <c r="M19" s="8"/>
      <c r="N19" s="7"/>
      <c r="O19" s="8"/>
      <c r="P19" s="7"/>
      <c r="Q19" s="7"/>
      <c r="R19" s="8"/>
      <c r="S19" s="7"/>
      <c r="T19" s="9"/>
      <c r="U19" s="7"/>
      <c r="V19" s="8"/>
      <c r="W19" s="7"/>
      <c r="X19" s="7"/>
      <c r="Y19" s="8"/>
      <c r="Z19" s="7"/>
      <c r="AA19" s="57"/>
      <c r="AB19" s="61" t="s">
        <v>36</v>
      </c>
      <c r="AC19" s="61" t="s">
        <v>1315</v>
      </c>
    </row>
    <row r="20" spans="1:29" ht="14.4" thickBot="1">
      <c r="A20" s="41" t="s">
        <v>34</v>
      </c>
      <c r="B20" s="10" t="s">
        <v>131</v>
      </c>
      <c r="D20" s="51" t="s">
        <v>312</v>
      </c>
      <c r="E20" s="51" t="s">
        <v>640</v>
      </c>
      <c r="F20" s="7"/>
      <c r="G20" s="8"/>
      <c r="H20" s="7"/>
      <c r="I20" s="30" t="s">
        <v>316</v>
      </c>
      <c r="J20" s="7"/>
      <c r="K20" s="8"/>
      <c r="L20" s="7"/>
      <c r="M20" s="8"/>
      <c r="N20" s="7"/>
      <c r="O20" s="8"/>
      <c r="P20" s="7"/>
      <c r="Q20" s="7"/>
      <c r="R20" s="8"/>
      <c r="S20" s="7"/>
      <c r="T20" s="9"/>
      <c r="U20" s="7"/>
      <c r="V20" s="8"/>
      <c r="W20" s="7"/>
      <c r="X20" s="7"/>
      <c r="Y20" s="8"/>
      <c r="Z20" s="7"/>
      <c r="AA20" s="57"/>
      <c r="AB20" s="61" t="s">
        <v>36</v>
      </c>
      <c r="AC20" s="61" t="s">
        <v>37</v>
      </c>
    </row>
    <row r="21" spans="1:29" ht="14.4" thickBot="1">
      <c r="A21" s="41" t="s">
        <v>1212</v>
      </c>
      <c r="B21" s="10" t="s">
        <v>35</v>
      </c>
      <c r="D21" s="51" t="s">
        <v>142</v>
      </c>
      <c r="E21" s="51" t="s">
        <v>578</v>
      </c>
      <c r="F21" s="7"/>
      <c r="G21" s="8"/>
      <c r="H21" s="7"/>
      <c r="I21" s="39" t="s">
        <v>1214</v>
      </c>
      <c r="J21" s="7"/>
      <c r="K21" s="8"/>
      <c r="L21" s="7"/>
      <c r="M21" s="8"/>
      <c r="N21" s="7"/>
      <c r="O21" s="8"/>
      <c r="P21" s="7"/>
      <c r="Q21" s="7"/>
      <c r="R21" s="8"/>
      <c r="S21" s="7"/>
      <c r="T21" s="9"/>
      <c r="U21" s="7"/>
      <c r="V21" s="8"/>
      <c r="W21" s="7"/>
      <c r="X21" s="7"/>
      <c r="Y21" s="8"/>
      <c r="Z21" s="7"/>
      <c r="AA21" s="57"/>
      <c r="AB21" s="61" t="s">
        <v>36</v>
      </c>
      <c r="AC21" s="61" t="s">
        <v>142</v>
      </c>
    </row>
    <row r="22" spans="1:29" ht="14.4" thickBot="1">
      <c r="A22" s="41" t="s">
        <v>1968</v>
      </c>
      <c r="B22" s="10" t="s">
        <v>1213</v>
      </c>
      <c r="D22" s="51" t="s">
        <v>147</v>
      </c>
      <c r="E22" s="51" t="s">
        <v>541</v>
      </c>
      <c r="F22" s="7"/>
      <c r="G22" s="8"/>
      <c r="H22" s="7"/>
      <c r="I22" s="39" t="s">
        <v>1216</v>
      </c>
      <c r="J22" s="7"/>
      <c r="K22" s="8"/>
      <c r="L22" s="7"/>
      <c r="M22" s="8"/>
      <c r="N22" s="7"/>
      <c r="O22" s="8"/>
      <c r="P22" s="7"/>
      <c r="Q22" s="7"/>
      <c r="R22" s="8"/>
      <c r="S22" s="7"/>
      <c r="T22" s="9"/>
      <c r="U22" s="7"/>
      <c r="V22" s="8"/>
      <c r="W22" s="7"/>
      <c r="X22" s="7"/>
      <c r="Y22" s="8"/>
      <c r="Z22" s="7"/>
      <c r="AA22" s="57"/>
      <c r="AB22" s="61" t="s">
        <v>36</v>
      </c>
      <c r="AC22" s="61" t="s">
        <v>147</v>
      </c>
    </row>
    <row r="23" spans="1:29" ht="14.4" thickBot="1">
      <c r="A23" s="41" t="s">
        <v>2211</v>
      </c>
      <c r="B23" s="10" t="s">
        <v>1215</v>
      </c>
      <c r="D23" s="51" t="s">
        <v>195</v>
      </c>
      <c r="E23" s="51" t="s">
        <v>659</v>
      </c>
      <c r="F23" s="7"/>
      <c r="G23" s="8"/>
      <c r="H23" s="7"/>
      <c r="I23" s="30" t="s">
        <v>334</v>
      </c>
      <c r="J23" s="7"/>
      <c r="K23" s="8"/>
      <c r="L23" s="7"/>
      <c r="M23" s="8"/>
      <c r="N23" s="7"/>
      <c r="O23" s="8"/>
      <c r="P23" s="7"/>
      <c r="Q23" s="7"/>
      <c r="R23" s="8"/>
      <c r="S23" s="7"/>
      <c r="T23" s="9"/>
      <c r="U23" s="7"/>
      <c r="V23" s="8"/>
      <c r="W23" s="7"/>
      <c r="X23" s="7"/>
      <c r="Y23" s="8"/>
      <c r="Z23" s="7"/>
      <c r="AA23" s="57"/>
      <c r="AB23" s="61" t="s">
        <v>36</v>
      </c>
      <c r="AC23" s="61" t="s">
        <v>195</v>
      </c>
    </row>
    <row r="24" spans="1:29" ht="14.4" thickBot="1">
      <c r="A24" s="41" t="s">
        <v>2212</v>
      </c>
      <c r="B24" s="10" t="s">
        <v>1217</v>
      </c>
      <c r="D24" s="51" t="s">
        <v>471</v>
      </c>
      <c r="E24" s="51" t="s">
        <v>620</v>
      </c>
      <c r="F24" s="7"/>
      <c r="G24" s="8"/>
      <c r="H24" s="7"/>
      <c r="I24" s="30" t="s">
        <v>704</v>
      </c>
      <c r="J24" s="7"/>
      <c r="K24" s="8"/>
      <c r="L24" s="7"/>
      <c r="M24" s="8"/>
      <c r="N24" s="7"/>
      <c r="O24" s="8"/>
      <c r="P24" s="7"/>
      <c r="Q24" s="7"/>
      <c r="R24" s="8"/>
      <c r="S24" s="7"/>
      <c r="T24" s="9"/>
      <c r="U24" s="7"/>
      <c r="V24" s="8"/>
      <c r="W24" s="7"/>
      <c r="X24" s="7"/>
      <c r="Y24" s="8"/>
      <c r="Z24" s="7"/>
      <c r="AA24" s="57"/>
      <c r="AB24" s="61" t="s">
        <v>36</v>
      </c>
      <c r="AC24" s="61" t="s">
        <v>149</v>
      </c>
    </row>
    <row r="25" spans="1:29" ht="14.4" thickBot="1">
      <c r="A25" s="41" t="s">
        <v>2354</v>
      </c>
      <c r="B25" s="10" t="s">
        <v>1218</v>
      </c>
      <c r="D25" s="51" t="s">
        <v>708</v>
      </c>
      <c r="E25" s="51" t="s">
        <v>613</v>
      </c>
      <c r="F25" s="7"/>
      <c r="G25" s="8"/>
      <c r="H25" s="7"/>
      <c r="I25" s="39" t="s">
        <v>1220</v>
      </c>
      <c r="J25" s="7"/>
      <c r="K25" s="8"/>
      <c r="L25" s="7"/>
      <c r="M25" s="8"/>
      <c r="N25" s="7"/>
      <c r="O25" s="8"/>
      <c r="P25" s="7"/>
      <c r="Q25" s="7"/>
      <c r="R25" s="8"/>
      <c r="S25" s="7"/>
      <c r="T25" s="9"/>
      <c r="U25" s="7"/>
      <c r="V25" s="8"/>
      <c r="W25" s="7"/>
      <c r="X25" s="7"/>
      <c r="Y25" s="8"/>
      <c r="Z25" s="7"/>
      <c r="AA25" s="57"/>
      <c r="AB25" s="61" t="s">
        <v>36</v>
      </c>
      <c r="AC25" s="61" t="s">
        <v>1204</v>
      </c>
    </row>
    <row r="26" spans="1:29" ht="14.4" thickBot="1">
      <c r="A26" s="41" t="s">
        <v>2355</v>
      </c>
      <c r="B26" s="10" t="s">
        <v>293</v>
      </c>
      <c r="D26" s="51" t="s">
        <v>399</v>
      </c>
      <c r="E26" s="51" t="s">
        <v>604</v>
      </c>
      <c r="F26" s="7"/>
      <c r="G26" s="8"/>
      <c r="H26" s="7"/>
      <c r="I26" s="30" t="s">
        <v>461</v>
      </c>
      <c r="J26" s="7"/>
      <c r="K26" s="8"/>
      <c r="L26" s="7"/>
      <c r="M26" s="8"/>
      <c r="N26" s="7"/>
      <c r="O26" s="8"/>
      <c r="P26" s="7"/>
      <c r="Q26" s="7"/>
      <c r="R26" s="8"/>
      <c r="S26" s="7"/>
      <c r="T26" s="9"/>
      <c r="U26" s="7"/>
      <c r="V26" s="8"/>
      <c r="W26" s="7"/>
      <c r="X26" s="7"/>
      <c r="Y26" s="8"/>
      <c r="Z26" s="7"/>
      <c r="AA26" s="57"/>
      <c r="AB26" s="61" t="s">
        <v>36</v>
      </c>
      <c r="AC26" s="61" t="s">
        <v>163</v>
      </c>
    </row>
    <row r="27" spans="1:29" ht="14.4" thickBot="1">
      <c r="A27" s="41" t="s">
        <v>2356</v>
      </c>
      <c r="B27" s="10" t="s">
        <v>308</v>
      </c>
      <c r="D27" s="51" t="s">
        <v>149</v>
      </c>
      <c r="E27" s="51" t="s">
        <v>532</v>
      </c>
      <c r="F27" s="7"/>
      <c r="G27" s="8"/>
      <c r="H27" s="7"/>
      <c r="I27" s="30" t="s">
        <v>339</v>
      </c>
      <c r="J27" s="7"/>
      <c r="K27" s="8"/>
      <c r="L27" s="7"/>
      <c r="M27" s="8"/>
      <c r="N27" s="7"/>
      <c r="O27" s="8"/>
      <c r="P27" s="7"/>
      <c r="Q27" s="7"/>
      <c r="R27" s="8"/>
      <c r="S27" s="7"/>
      <c r="T27" s="9"/>
      <c r="U27" s="7"/>
      <c r="V27" s="8"/>
      <c r="W27" s="7"/>
      <c r="X27" s="7"/>
      <c r="Y27" s="8"/>
      <c r="Z27" s="7"/>
      <c r="AA27" s="57"/>
      <c r="AB27" s="61" t="s">
        <v>36</v>
      </c>
      <c r="AC27" s="61" t="s">
        <v>204</v>
      </c>
    </row>
    <row r="28" spans="1:29" ht="14.4" thickBot="1">
      <c r="A28" s="41" t="s">
        <v>2357</v>
      </c>
      <c r="B28" s="10" t="s">
        <v>1221</v>
      </c>
      <c r="D28" s="51" t="s">
        <v>699</v>
      </c>
      <c r="E28" s="51" t="s">
        <v>580</v>
      </c>
      <c r="F28" s="7"/>
      <c r="G28" s="8"/>
      <c r="H28" s="7"/>
      <c r="I28" s="30" t="s">
        <v>296</v>
      </c>
      <c r="J28" s="7"/>
      <c r="K28" s="8"/>
      <c r="L28" s="7"/>
      <c r="M28" s="8"/>
      <c r="N28" s="7"/>
      <c r="O28" s="8"/>
      <c r="P28" s="7"/>
      <c r="Q28" s="7"/>
      <c r="R28" s="8"/>
      <c r="S28" s="7"/>
      <c r="T28" s="9"/>
      <c r="U28" s="7"/>
      <c r="V28" s="8"/>
      <c r="W28" s="7"/>
      <c r="X28" s="7"/>
      <c r="Y28" s="8"/>
      <c r="Z28" s="7"/>
      <c r="AA28" s="57"/>
      <c r="AB28" s="61" t="s">
        <v>36</v>
      </c>
      <c r="AC28" s="61" t="s">
        <v>174</v>
      </c>
    </row>
    <row r="29" spans="1:29" ht="14.4" thickBot="1">
      <c r="A29" s="41" t="s">
        <v>3150</v>
      </c>
      <c r="B29" s="10" t="s">
        <v>1222</v>
      </c>
      <c r="C29" s="64"/>
      <c r="D29" s="51" t="s">
        <v>719</v>
      </c>
      <c r="E29" s="51" t="s">
        <v>587</v>
      </c>
      <c r="F29" s="7"/>
      <c r="G29" s="8"/>
      <c r="H29" s="7"/>
      <c r="I29" s="30" t="s">
        <v>289</v>
      </c>
      <c r="J29" s="7"/>
      <c r="K29" s="8"/>
      <c r="L29" s="7"/>
      <c r="M29" s="8"/>
      <c r="N29" s="7"/>
      <c r="O29" s="8"/>
      <c r="P29" s="7"/>
      <c r="Q29" s="7"/>
      <c r="R29" s="8"/>
      <c r="S29" s="7"/>
      <c r="T29" s="9"/>
      <c r="U29" s="7"/>
      <c r="V29" s="8"/>
      <c r="W29" s="7"/>
      <c r="X29" s="7"/>
      <c r="Y29" s="8"/>
      <c r="Z29" s="7"/>
      <c r="AA29" s="57"/>
      <c r="AB29" s="61" t="s">
        <v>36</v>
      </c>
      <c r="AC29" s="61" t="s">
        <v>1135</v>
      </c>
    </row>
    <row r="30" spans="1:29" ht="14.4" thickBot="1">
      <c r="A30" s="41" t="s">
        <v>3199</v>
      </c>
      <c r="B30" s="10" t="s">
        <v>182</v>
      </c>
      <c r="D30" s="51" t="s">
        <v>1123</v>
      </c>
      <c r="E30" s="51" t="s">
        <v>649</v>
      </c>
      <c r="F30" s="7"/>
      <c r="G30" s="8"/>
      <c r="H30" s="7"/>
      <c r="I30" s="39" t="s">
        <v>1224</v>
      </c>
      <c r="J30" s="7"/>
      <c r="K30" s="8"/>
      <c r="L30" s="7"/>
      <c r="M30" s="8"/>
      <c r="N30" s="7"/>
      <c r="O30" s="8"/>
      <c r="P30" s="7"/>
      <c r="Q30" s="7"/>
      <c r="R30" s="8"/>
      <c r="S30" s="7"/>
      <c r="T30" s="9"/>
      <c r="U30" s="7"/>
      <c r="V30" s="8"/>
      <c r="W30" s="7"/>
      <c r="X30" s="7"/>
      <c r="Y30" s="8"/>
      <c r="Z30" s="7"/>
      <c r="AA30" s="57"/>
      <c r="AB30" s="61" t="s">
        <v>36</v>
      </c>
      <c r="AC30" s="61" t="s">
        <v>1211</v>
      </c>
    </row>
    <row r="31" spans="1:29" ht="14.4" thickBot="1">
      <c r="A31" s="41" t="s">
        <v>3200</v>
      </c>
      <c r="B31" s="10" t="s">
        <v>1223</v>
      </c>
      <c r="D31" s="51" t="s">
        <v>402</v>
      </c>
      <c r="E31" s="51" t="s">
        <v>650</v>
      </c>
      <c r="F31" s="7"/>
      <c r="G31" s="8"/>
      <c r="H31" s="7"/>
      <c r="I31" s="30" t="s">
        <v>234</v>
      </c>
      <c r="J31" s="7"/>
      <c r="K31" s="8"/>
      <c r="L31" s="7"/>
      <c r="M31" s="8"/>
      <c r="N31" s="7"/>
      <c r="O31" s="8"/>
      <c r="P31" s="7"/>
      <c r="Q31" s="7"/>
      <c r="R31" s="8"/>
      <c r="S31" s="7"/>
      <c r="T31" s="9"/>
      <c r="U31" s="7"/>
      <c r="V31" s="8"/>
      <c r="W31" s="7"/>
      <c r="X31" s="7"/>
      <c r="Y31" s="8"/>
      <c r="Z31" s="7"/>
      <c r="AA31" s="57"/>
      <c r="AB31" s="61" t="s">
        <v>36</v>
      </c>
      <c r="AC31" s="61" t="s">
        <v>132</v>
      </c>
    </row>
    <row r="32" spans="1:29" ht="14.4" thickBot="1">
      <c r="A32" s="41" t="s">
        <v>3201</v>
      </c>
      <c r="B32" s="10" t="s">
        <v>1226</v>
      </c>
      <c r="D32" s="51" t="s">
        <v>452</v>
      </c>
      <c r="E32" s="51" t="s">
        <v>942</v>
      </c>
      <c r="F32" s="7"/>
      <c r="G32" s="8"/>
      <c r="H32" s="7"/>
      <c r="I32" s="30" t="s">
        <v>722</v>
      </c>
      <c r="J32" s="7"/>
      <c r="K32" s="8"/>
      <c r="L32" s="7"/>
      <c r="M32" s="8"/>
      <c r="N32" s="7"/>
      <c r="O32" s="8"/>
      <c r="P32" s="7"/>
      <c r="Q32" s="7"/>
      <c r="R32" s="8"/>
      <c r="S32" s="7"/>
      <c r="T32" s="9"/>
      <c r="U32" s="7"/>
      <c r="V32" s="8"/>
      <c r="W32" s="7"/>
      <c r="X32" s="7"/>
      <c r="Y32" s="8"/>
      <c r="Z32" s="7"/>
      <c r="AA32" s="57"/>
      <c r="AB32" s="61" t="s">
        <v>2647</v>
      </c>
      <c r="AC32" s="61" t="s">
        <v>319</v>
      </c>
    </row>
    <row r="33" spans="1:29" ht="14.4" thickBot="1">
      <c r="A33" s="64"/>
      <c r="B33" s="10" t="s">
        <v>1227</v>
      </c>
      <c r="D33" s="51" t="s">
        <v>163</v>
      </c>
      <c r="E33" s="51" t="s">
        <v>531</v>
      </c>
      <c r="F33" s="7"/>
      <c r="G33" s="8"/>
      <c r="H33" s="7"/>
      <c r="I33" s="18" t="s">
        <v>287</v>
      </c>
      <c r="J33" s="7"/>
      <c r="K33" s="8"/>
      <c r="L33" s="7"/>
      <c r="M33" s="8"/>
      <c r="N33" s="7"/>
      <c r="O33" s="8"/>
      <c r="P33" s="7"/>
      <c r="Q33" s="7"/>
      <c r="R33" s="8"/>
      <c r="S33" s="7"/>
      <c r="T33" s="9"/>
      <c r="U33" s="7"/>
      <c r="V33" s="8"/>
      <c r="W33" s="7"/>
      <c r="X33" s="7"/>
      <c r="Y33" s="8"/>
      <c r="Z33" s="7"/>
      <c r="AA33" s="57"/>
      <c r="AB33" s="61" t="s">
        <v>2647</v>
      </c>
      <c r="AC33" s="61" t="s">
        <v>305</v>
      </c>
    </row>
    <row r="34" spans="1:29" ht="14.4" thickBot="1">
      <c r="A34" s="64"/>
      <c r="B34" s="10" t="s">
        <v>1909</v>
      </c>
      <c r="D34" s="51" t="s">
        <v>354</v>
      </c>
      <c r="E34" s="51" t="s">
        <v>660</v>
      </c>
      <c r="F34" s="7"/>
      <c r="G34" s="8"/>
      <c r="H34" s="7"/>
      <c r="I34" s="18" t="s">
        <v>1651</v>
      </c>
      <c r="J34" s="7"/>
      <c r="K34" s="8"/>
      <c r="L34" s="7"/>
      <c r="M34" s="8"/>
      <c r="N34" s="7"/>
      <c r="O34" s="8"/>
      <c r="P34" s="7"/>
      <c r="Q34" s="7"/>
      <c r="R34" s="8"/>
      <c r="S34" s="7"/>
      <c r="T34" s="9"/>
      <c r="U34" s="7"/>
      <c r="V34" s="8"/>
      <c r="W34" s="7"/>
      <c r="X34" s="7"/>
      <c r="Y34" s="8"/>
      <c r="Z34" s="7"/>
      <c r="AA34" s="57"/>
      <c r="AB34" s="61" t="s">
        <v>2647</v>
      </c>
      <c r="AC34" s="61" t="s">
        <v>337</v>
      </c>
    </row>
    <row r="35" spans="1:29" ht="14.4" thickBot="1">
      <c r="B35" s="10" t="s">
        <v>1228</v>
      </c>
      <c r="D35" s="51" t="s">
        <v>337</v>
      </c>
      <c r="E35" s="51" t="s">
        <v>618</v>
      </c>
      <c r="F35" s="7"/>
      <c r="G35" s="8"/>
      <c r="H35" s="7"/>
      <c r="I35" s="30" t="s">
        <v>1885</v>
      </c>
      <c r="J35" s="7"/>
      <c r="K35" s="8"/>
      <c r="L35" s="7"/>
      <c r="M35" s="8"/>
      <c r="N35" s="7"/>
      <c r="O35" s="8"/>
      <c r="P35" s="7"/>
      <c r="Q35" s="7"/>
      <c r="R35" s="8"/>
      <c r="S35" s="7"/>
      <c r="T35" s="9"/>
      <c r="U35" s="7"/>
      <c r="V35" s="8"/>
      <c r="W35" s="7"/>
      <c r="X35" s="7"/>
      <c r="Y35" s="8"/>
      <c r="Z35" s="7"/>
      <c r="AA35" s="57"/>
      <c r="AB35" s="61" t="s">
        <v>294</v>
      </c>
      <c r="AC35" s="61" t="s">
        <v>325</v>
      </c>
    </row>
    <row r="36" spans="1:29" ht="14.4" thickBot="1">
      <c r="B36" s="10" t="s">
        <v>369</v>
      </c>
      <c r="D36" s="51" t="s">
        <v>204</v>
      </c>
      <c r="E36" s="51" t="s">
        <v>652</v>
      </c>
      <c r="F36" s="7"/>
      <c r="G36" s="8"/>
      <c r="H36" s="7"/>
      <c r="I36" s="30" t="s">
        <v>134</v>
      </c>
      <c r="J36" s="7"/>
      <c r="K36" s="8"/>
      <c r="L36" s="7"/>
      <c r="M36" s="8"/>
      <c r="N36" s="7"/>
      <c r="O36" s="8"/>
      <c r="P36" s="7"/>
      <c r="Q36" s="7"/>
      <c r="R36" s="8"/>
      <c r="S36" s="7"/>
      <c r="T36" s="9"/>
      <c r="U36" s="7"/>
      <c r="V36" s="8"/>
      <c r="W36" s="7"/>
      <c r="X36" s="7"/>
      <c r="Y36" s="8"/>
      <c r="Z36" s="7"/>
      <c r="AA36" s="57"/>
      <c r="AB36" s="61" t="s">
        <v>294</v>
      </c>
      <c r="AC36" s="61" t="s">
        <v>1219</v>
      </c>
    </row>
    <row r="37" spans="1:29" ht="14.4" thickBot="1">
      <c r="A37" s="64"/>
      <c r="B37" s="10" t="s">
        <v>1229</v>
      </c>
      <c r="D37" s="51" t="s">
        <v>295</v>
      </c>
      <c r="E37" s="51" t="s">
        <v>568</v>
      </c>
      <c r="F37" s="7"/>
      <c r="G37" s="8"/>
      <c r="H37" s="7"/>
      <c r="I37" s="30" t="s">
        <v>1885</v>
      </c>
      <c r="J37" s="7"/>
      <c r="K37" s="8"/>
      <c r="L37" s="7"/>
      <c r="M37" s="8"/>
      <c r="N37" s="7"/>
      <c r="O37" s="8"/>
      <c r="P37" s="7"/>
      <c r="Q37" s="7"/>
      <c r="R37" s="8"/>
      <c r="S37" s="7"/>
      <c r="T37" s="9"/>
      <c r="U37" s="7"/>
      <c r="V37" s="8"/>
      <c r="W37" s="7"/>
      <c r="X37" s="7"/>
      <c r="Y37" s="8"/>
      <c r="Z37" s="7"/>
      <c r="AA37" s="57"/>
      <c r="AB37" s="61" t="s">
        <v>294</v>
      </c>
      <c r="AC37" s="61" t="s">
        <v>1225</v>
      </c>
    </row>
    <row r="38" spans="1:29" ht="14.4" thickBot="1">
      <c r="A38" s="64"/>
      <c r="B38" s="10" t="s">
        <v>299</v>
      </c>
      <c r="D38" s="51" t="s">
        <v>174</v>
      </c>
      <c r="E38" s="51" t="s">
        <v>602</v>
      </c>
      <c r="F38" s="7"/>
      <c r="G38" s="8"/>
      <c r="H38" s="7"/>
      <c r="I38" s="39" t="s">
        <v>789</v>
      </c>
      <c r="J38" s="7"/>
      <c r="K38" s="8"/>
      <c r="L38" s="7"/>
      <c r="M38" s="8"/>
      <c r="N38" s="7"/>
      <c r="O38" s="8"/>
      <c r="P38" s="7"/>
      <c r="Q38" s="7"/>
      <c r="R38" s="8"/>
      <c r="S38" s="7"/>
      <c r="T38" s="9"/>
      <c r="U38" s="7"/>
      <c r="V38" s="8"/>
      <c r="W38" s="7"/>
      <c r="X38" s="7"/>
      <c r="Y38" s="8"/>
      <c r="Z38" s="7"/>
      <c r="AA38" s="57"/>
      <c r="AB38" s="61" t="s">
        <v>294</v>
      </c>
      <c r="AC38" s="61" t="s">
        <v>1230</v>
      </c>
    </row>
    <row r="39" spans="1:29" ht="14.4" thickBot="1">
      <c r="A39" s="64"/>
      <c r="B39" s="10" t="s">
        <v>1231</v>
      </c>
      <c r="D39" s="51" t="s">
        <v>132</v>
      </c>
      <c r="E39" s="51" t="s">
        <v>1233</v>
      </c>
      <c r="F39" s="7"/>
      <c r="G39" s="8"/>
      <c r="H39" s="7"/>
      <c r="I39" s="30" t="s">
        <v>231</v>
      </c>
      <c r="J39" s="7"/>
      <c r="K39" s="8"/>
      <c r="L39" s="7"/>
      <c r="M39" s="8"/>
      <c r="N39" s="7"/>
      <c r="O39" s="8"/>
      <c r="P39" s="7"/>
      <c r="Q39" s="7"/>
      <c r="R39" s="8"/>
      <c r="S39" s="7"/>
      <c r="T39" s="9"/>
      <c r="U39" s="7"/>
      <c r="V39" s="8"/>
      <c r="W39" s="7"/>
      <c r="X39" s="7"/>
      <c r="Y39" s="8"/>
      <c r="Z39" s="7"/>
      <c r="AA39" s="57"/>
      <c r="AB39" s="61" t="s">
        <v>294</v>
      </c>
      <c r="AC39" s="61" t="s">
        <v>1232</v>
      </c>
    </row>
    <row r="40" spans="1:29" ht="14.4" thickBot="1">
      <c r="A40" s="64"/>
      <c r="B40" s="10" t="s">
        <v>366</v>
      </c>
      <c r="D40" s="51"/>
      <c r="E40" s="51" t="s">
        <v>631</v>
      </c>
      <c r="F40" s="7"/>
      <c r="G40" s="8"/>
      <c r="H40" s="7"/>
      <c r="I40" s="30" t="s">
        <v>236</v>
      </c>
      <c r="J40" s="7"/>
      <c r="K40" s="8"/>
      <c r="L40" s="7"/>
      <c r="M40" s="8"/>
      <c r="N40" s="7"/>
      <c r="O40" s="8"/>
      <c r="P40" s="7"/>
      <c r="Q40" s="7"/>
      <c r="R40" s="8"/>
      <c r="S40" s="7"/>
      <c r="T40" s="9"/>
      <c r="U40" s="7"/>
      <c r="V40" s="8"/>
      <c r="W40" s="7"/>
      <c r="X40" s="7"/>
      <c r="Y40" s="8"/>
      <c r="Z40" s="7"/>
      <c r="AA40" s="57"/>
      <c r="AB40" s="61" t="s">
        <v>698</v>
      </c>
      <c r="AC40" s="61" t="s">
        <v>1234</v>
      </c>
    </row>
    <row r="41" spans="1:29" ht="14.4" thickBot="1">
      <c r="B41" s="10" t="s">
        <v>1235</v>
      </c>
      <c r="D41" s="51"/>
      <c r="E41" s="51" t="s">
        <v>646</v>
      </c>
      <c r="F41" s="7"/>
      <c r="G41" s="8"/>
      <c r="H41" s="7"/>
      <c r="I41" s="30" t="s">
        <v>184</v>
      </c>
      <c r="J41" s="7"/>
      <c r="K41" s="8"/>
      <c r="L41" s="7"/>
      <c r="M41" s="8"/>
      <c r="N41" s="7"/>
      <c r="O41" s="8"/>
      <c r="P41" s="7"/>
      <c r="Q41" s="7"/>
      <c r="R41" s="8"/>
      <c r="S41" s="7"/>
      <c r="T41" s="9"/>
      <c r="U41" s="7"/>
      <c r="V41" s="8"/>
      <c r="W41" s="7"/>
      <c r="X41" s="7"/>
      <c r="Y41" s="8"/>
      <c r="Z41" s="7"/>
      <c r="AA41" s="57"/>
      <c r="AB41" s="61" t="s">
        <v>698</v>
      </c>
      <c r="AC41" s="61" t="s">
        <v>1236</v>
      </c>
    </row>
    <row r="42" spans="1:29" ht="14.4" thickBot="1">
      <c r="B42" s="10" t="s">
        <v>1237</v>
      </c>
      <c r="D42" s="51"/>
      <c r="E42" s="51" t="s">
        <v>582</v>
      </c>
      <c r="F42" s="7"/>
      <c r="G42" s="8"/>
      <c r="H42" s="7"/>
      <c r="I42" s="30" t="s">
        <v>189</v>
      </c>
      <c r="J42" s="7"/>
      <c r="K42" s="8"/>
      <c r="L42" s="7"/>
      <c r="M42" s="8"/>
      <c r="N42" s="7"/>
      <c r="O42" s="8"/>
      <c r="P42" s="7"/>
      <c r="Q42" s="7"/>
      <c r="R42" s="8"/>
      <c r="S42" s="7"/>
      <c r="T42" s="9"/>
      <c r="U42" s="7"/>
      <c r="V42" s="8"/>
      <c r="W42" s="7"/>
      <c r="X42" s="7"/>
      <c r="Y42" s="8"/>
      <c r="Z42" s="7"/>
      <c r="AA42" s="57"/>
      <c r="AB42" s="61" t="s">
        <v>698</v>
      </c>
      <c r="AC42" s="61" t="s">
        <v>1238</v>
      </c>
    </row>
    <row r="43" spans="1:29" ht="14.4" thickBot="1">
      <c r="B43" s="394" t="s">
        <v>2283</v>
      </c>
      <c r="D43" s="51"/>
      <c r="E43" s="51" t="s">
        <v>544</v>
      </c>
      <c r="F43" s="7"/>
      <c r="G43" s="8"/>
      <c r="H43" s="7"/>
      <c r="I43" s="30" t="s">
        <v>198</v>
      </c>
      <c r="J43" s="7"/>
      <c r="K43" s="8"/>
      <c r="L43" s="7"/>
      <c r="M43" s="8"/>
      <c r="N43" s="7"/>
      <c r="O43" s="8"/>
      <c r="P43" s="7"/>
      <c r="Q43" s="7"/>
      <c r="R43" s="8"/>
      <c r="S43" s="7"/>
      <c r="T43" s="9"/>
      <c r="U43" s="7"/>
      <c r="V43" s="8"/>
      <c r="W43" s="7"/>
      <c r="X43" s="7"/>
      <c r="Y43" s="8"/>
      <c r="Z43" s="7"/>
      <c r="AA43" s="57"/>
      <c r="AB43" s="61" t="s">
        <v>698</v>
      </c>
      <c r="AC43" s="61" t="s">
        <v>1240</v>
      </c>
    </row>
    <row r="44" spans="1:29" ht="14.4" thickBot="1">
      <c r="B44" s="394" t="s">
        <v>2645</v>
      </c>
      <c r="D44" s="51"/>
      <c r="E44" s="51" t="s">
        <v>651</v>
      </c>
      <c r="F44" s="7"/>
      <c r="G44" s="8"/>
      <c r="H44" s="7"/>
      <c r="I44" s="30" t="s">
        <v>712</v>
      </c>
      <c r="J44" s="7"/>
      <c r="K44" s="8"/>
      <c r="L44" s="7"/>
      <c r="M44" s="8"/>
      <c r="N44" s="7"/>
      <c r="O44" s="8"/>
      <c r="P44" s="7"/>
      <c r="Q44" s="7"/>
      <c r="R44" s="8"/>
      <c r="S44" s="7"/>
      <c r="T44" s="9"/>
      <c r="U44" s="7"/>
      <c r="V44" s="8"/>
      <c r="W44" s="7"/>
      <c r="X44" s="7"/>
      <c r="Y44" s="8"/>
      <c r="Z44" s="7"/>
      <c r="AA44" s="57"/>
      <c r="AB44" s="61" t="s">
        <v>698</v>
      </c>
      <c r="AC44" s="61" t="s">
        <v>1241</v>
      </c>
    </row>
    <row r="45" spans="1:29" ht="14.4" thickBot="1">
      <c r="B45" s="394" t="s">
        <v>2512</v>
      </c>
      <c r="D45" s="51"/>
      <c r="E45" s="51" t="s">
        <v>545</v>
      </c>
      <c r="F45" s="7"/>
      <c r="G45" s="8"/>
      <c r="H45" s="7"/>
      <c r="I45" s="30" t="s">
        <v>187</v>
      </c>
      <c r="J45" s="7"/>
      <c r="K45" s="8"/>
      <c r="L45" s="7"/>
      <c r="M45" s="8"/>
      <c r="N45" s="7"/>
      <c r="O45" s="8"/>
      <c r="P45" s="7"/>
      <c r="Q45" s="7"/>
      <c r="R45" s="8"/>
      <c r="S45" s="7"/>
      <c r="T45" s="9"/>
      <c r="U45" s="7"/>
      <c r="V45" s="8"/>
      <c r="W45" s="7"/>
      <c r="X45" s="7"/>
      <c r="Y45" s="8"/>
      <c r="Z45" s="7"/>
      <c r="AA45" s="57"/>
      <c r="AB45" s="61" t="s">
        <v>698</v>
      </c>
      <c r="AC45" s="61" t="s">
        <v>717</v>
      </c>
    </row>
    <row r="46" spans="1:29" ht="14.4" thickBot="1">
      <c r="B46" s="10" t="s">
        <v>1239</v>
      </c>
      <c r="D46" s="51"/>
      <c r="E46" s="51" t="s">
        <v>941</v>
      </c>
      <c r="F46" s="7"/>
      <c r="G46" s="8"/>
      <c r="H46" s="7"/>
      <c r="I46" s="30" t="s">
        <v>202</v>
      </c>
      <c r="J46" s="7"/>
      <c r="K46" s="8"/>
      <c r="L46" s="7"/>
      <c r="M46" s="8"/>
      <c r="N46" s="7"/>
      <c r="O46" s="8"/>
      <c r="P46" s="7"/>
      <c r="Q46" s="7"/>
      <c r="R46" s="8"/>
      <c r="S46" s="7"/>
      <c r="T46" s="9"/>
      <c r="U46" s="7"/>
      <c r="V46" s="8"/>
      <c r="W46" s="7"/>
      <c r="X46" s="7"/>
      <c r="Y46" s="8"/>
      <c r="Z46" s="7"/>
      <c r="AA46" s="57"/>
      <c r="AB46" s="61" t="s">
        <v>698</v>
      </c>
      <c r="AC46" s="61" t="s">
        <v>739</v>
      </c>
    </row>
    <row r="47" spans="1:29" ht="14.4" thickBot="1">
      <c r="B47" s="10" t="s">
        <v>398</v>
      </c>
      <c r="D47" s="51"/>
      <c r="E47" s="51" t="s">
        <v>644</v>
      </c>
      <c r="F47" s="7"/>
      <c r="G47" s="8"/>
      <c r="H47" s="7"/>
      <c r="I47" s="30" t="s">
        <v>192</v>
      </c>
      <c r="J47" s="7"/>
      <c r="K47" s="8"/>
      <c r="L47" s="7"/>
      <c r="M47" s="8"/>
      <c r="N47" s="7"/>
      <c r="O47" s="8"/>
      <c r="P47" s="7"/>
      <c r="Q47" s="7"/>
      <c r="R47" s="8"/>
      <c r="S47" s="7"/>
      <c r="T47" s="9"/>
      <c r="U47" s="7"/>
      <c r="V47" s="8"/>
      <c r="W47" s="7"/>
      <c r="X47" s="7"/>
      <c r="Y47" s="8"/>
      <c r="Z47" s="7"/>
      <c r="AA47" s="57"/>
      <c r="AB47" s="61" t="s">
        <v>698</v>
      </c>
      <c r="AC47" s="61" t="s">
        <v>1244</v>
      </c>
    </row>
    <row r="48" spans="1:29" ht="14.4" thickBot="1">
      <c r="B48" s="10" t="s">
        <v>287</v>
      </c>
      <c r="D48" s="51"/>
      <c r="E48" s="51" t="s">
        <v>918</v>
      </c>
      <c r="F48" s="7"/>
      <c r="G48" s="8"/>
      <c r="H48" s="7"/>
      <c r="I48" s="30" t="s">
        <v>716</v>
      </c>
      <c r="J48" s="7"/>
      <c r="K48" s="8"/>
      <c r="L48" s="7"/>
      <c r="M48" s="8"/>
      <c r="N48" s="7"/>
      <c r="O48" s="8"/>
      <c r="P48" s="7"/>
      <c r="Q48" s="7"/>
      <c r="R48" s="8"/>
      <c r="S48" s="7"/>
      <c r="T48" s="9"/>
      <c r="U48" s="7"/>
      <c r="V48" s="8"/>
      <c r="W48" s="7"/>
      <c r="X48" s="7"/>
      <c r="Y48" s="8"/>
      <c r="Z48" s="7"/>
      <c r="AA48" s="57"/>
      <c r="AB48" s="61" t="s">
        <v>698</v>
      </c>
      <c r="AC48" s="61" t="s">
        <v>1246</v>
      </c>
    </row>
    <row r="49" spans="2:29" ht="14.4" thickBot="1">
      <c r="B49" s="10" t="s">
        <v>1242</v>
      </c>
      <c r="D49" s="51"/>
      <c r="E49" s="51" t="s">
        <v>584</v>
      </c>
      <c r="F49" s="7"/>
      <c r="G49" s="8"/>
      <c r="H49" s="7"/>
      <c r="I49" s="30" t="s">
        <v>735</v>
      </c>
      <c r="J49" s="7"/>
      <c r="K49" s="8"/>
      <c r="L49" s="7"/>
      <c r="M49" s="8"/>
      <c r="N49" s="7"/>
      <c r="O49" s="8"/>
      <c r="P49" s="7"/>
      <c r="Q49" s="7"/>
      <c r="R49" s="8"/>
      <c r="S49" s="7"/>
      <c r="T49" s="9"/>
      <c r="U49" s="7"/>
      <c r="V49" s="8"/>
      <c r="W49" s="7"/>
      <c r="X49" s="7"/>
      <c r="Y49" s="8"/>
      <c r="Z49" s="7"/>
      <c r="AA49" s="57"/>
      <c r="AB49" s="61" t="s">
        <v>698</v>
      </c>
      <c r="AC49" s="61" t="s">
        <v>1247</v>
      </c>
    </row>
    <row r="50" spans="2:29" ht="14.4" thickBot="1">
      <c r="B50" s="10" t="s">
        <v>1243</v>
      </c>
      <c r="D50" s="51"/>
      <c r="E50" s="51" t="s">
        <v>572</v>
      </c>
      <c r="F50" s="7"/>
      <c r="G50" s="8"/>
      <c r="H50" s="7"/>
      <c r="I50" s="30" t="s">
        <v>715</v>
      </c>
      <c r="J50" s="7"/>
      <c r="K50" s="8"/>
      <c r="L50" s="7"/>
      <c r="M50" s="8"/>
      <c r="N50" s="7"/>
      <c r="O50" s="8"/>
      <c r="P50" s="7"/>
      <c r="Q50" s="7"/>
      <c r="R50" s="8"/>
      <c r="S50" s="7"/>
      <c r="T50" s="9"/>
      <c r="U50" s="7"/>
      <c r="V50" s="8"/>
      <c r="W50" s="7"/>
      <c r="X50" s="7"/>
      <c r="Y50" s="8"/>
      <c r="Z50" s="7"/>
      <c r="AA50" s="57"/>
      <c r="AB50" s="61" t="s">
        <v>698</v>
      </c>
      <c r="AC50" s="61" t="s">
        <v>1248</v>
      </c>
    </row>
    <row r="51" spans="2:29" ht="14.4" thickBot="1">
      <c r="B51" s="10" t="s">
        <v>1245</v>
      </c>
      <c r="D51" s="51"/>
      <c r="E51" s="51" t="s">
        <v>533</v>
      </c>
      <c r="F51" s="7"/>
      <c r="G51" s="8"/>
      <c r="H51" s="7"/>
      <c r="I51" s="30" t="s">
        <v>208</v>
      </c>
      <c r="J51" s="7"/>
      <c r="K51" s="8"/>
      <c r="L51" s="7"/>
      <c r="M51" s="8"/>
      <c r="N51" s="7"/>
      <c r="O51" s="8"/>
      <c r="P51" s="7"/>
      <c r="Q51" s="7"/>
      <c r="R51" s="8"/>
      <c r="S51" s="7"/>
      <c r="T51" s="9"/>
      <c r="U51" s="7"/>
      <c r="V51" s="8"/>
      <c r="W51" s="7"/>
      <c r="X51" s="7"/>
      <c r="Y51" s="8"/>
      <c r="Z51" s="7"/>
      <c r="AA51" s="57"/>
      <c r="AB51" s="61" t="s">
        <v>698</v>
      </c>
      <c r="AC51" s="61" t="s">
        <v>1250</v>
      </c>
    </row>
    <row r="52" spans="2:29" ht="14.4" thickBot="1">
      <c r="B52" s="10" t="s">
        <v>232</v>
      </c>
      <c r="C52" s="64"/>
      <c r="D52" s="51"/>
      <c r="E52" s="51" t="s">
        <v>586</v>
      </c>
      <c r="F52" s="7"/>
      <c r="G52" s="8"/>
      <c r="H52" s="7"/>
      <c r="I52" s="30" t="s">
        <v>321</v>
      </c>
      <c r="J52" s="7"/>
      <c r="K52" s="8"/>
      <c r="L52" s="7"/>
      <c r="M52" s="8"/>
      <c r="N52" s="7"/>
      <c r="O52" s="8"/>
      <c r="P52" s="7"/>
      <c r="Q52" s="7"/>
      <c r="R52" s="8"/>
      <c r="S52" s="7"/>
      <c r="T52" s="9"/>
      <c r="U52" s="7"/>
      <c r="V52" s="8"/>
      <c r="W52" s="7"/>
      <c r="X52" s="7"/>
      <c r="Y52" s="8"/>
      <c r="Z52" s="7"/>
      <c r="AA52" s="57"/>
      <c r="AB52" s="61" t="s">
        <v>698</v>
      </c>
      <c r="AC52" s="61" t="s">
        <v>702</v>
      </c>
    </row>
    <row r="53" spans="2:29" ht="15" thickTop="1" thickBot="1">
      <c r="B53" s="10" t="s">
        <v>266</v>
      </c>
      <c r="D53" s="51"/>
      <c r="E53" s="51" t="s">
        <v>655</v>
      </c>
      <c r="F53" s="7"/>
      <c r="G53" s="8"/>
      <c r="H53" s="7"/>
      <c r="I53" s="6"/>
      <c r="J53" s="7"/>
      <c r="K53" s="8"/>
      <c r="L53" s="7"/>
      <c r="M53" s="8"/>
      <c r="N53" s="7"/>
      <c r="O53" s="8"/>
      <c r="P53" s="7"/>
      <c r="Q53" s="7"/>
      <c r="R53" s="8"/>
      <c r="S53" s="7"/>
      <c r="T53" s="9"/>
      <c r="U53" s="7"/>
      <c r="V53" s="8"/>
      <c r="W53" s="7"/>
      <c r="X53" s="7"/>
      <c r="Y53" s="8"/>
      <c r="Z53" s="7"/>
      <c r="AA53" s="57"/>
      <c r="AB53" s="61" t="s">
        <v>698</v>
      </c>
      <c r="AC53" s="61" t="s">
        <v>1252</v>
      </c>
    </row>
    <row r="54" spans="2:29" ht="15" thickTop="1" thickBot="1">
      <c r="B54" s="10" t="s">
        <v>1249</v>
      </c>
      <c r="D54" s="51"/>
      <c r="E54" s="51" t="s">
        <v>522</v>
      </c>
      <c r="F54" s="7"/>
      <c r="G54" s="8"/>
      <c r="H54" s="7"/>
      <c r="I54" s="6"/>
      <c r="J54" s="7"/>
      <c r="K54" s="8"/>
      <c r="L54" s="7"/>
      <c r="M54" s="8"/>
      <c r="N54" s="7"/>
      <c r="O54" s="8"/>
      <c r="P54" s="7"/>
      <c r="Q54" s="7"/>
      <c r="R54" s="8"/>
      <c r="S54" s="7"/>
      <c r="T54" s="9"/>
      <c r="U54" s="7"/>
      <c r="V54" s="8"/>
      <c r="W54" s="7"/>
      <c r="X54" s="7"/>
      <c r="Y54" s="8"/>
      <c r="Z54" s="7"/>
      <c r="AA54" s="57"/>
      <c r="AB54" s="61" t="s">
        <v>698</v>
      </c>
      <c r="AC54" s="61" t="s">
        <v>1253</v>
      </c>
    </row>
    <row r="55" spans="2:29" ht="15" thickTop="1" thickBot="1">
      <c r="B55" s="10" t="s">
        <v>1251</v>
      </c>
      <c r="D55" s="51"/>
      <c r="E55" s="51" t="s">
        <v>524</v>
      </c>
      <c r="F55" s="7"/>
      <c r="G55" s="8"/>
      <c r="H55" s="7"/>
      <c r="I55" s="6"/>
      <c r="J55" s="7"/>
      <c r="K55" s="8"/>
      <c r="L55" s="7"/>
      <c r="M55" s="8"/>
      <c r="N55" s="7"/>
      <c r="O55" s="8"/>
      <c r="P55" s="7"/>
      <c r="Q55" s="7"/>
      <c r="R55" s="8"/>
      <c r="S55" s="7"/>
      <c r="T55" s="9"/>
      <c r="U55" s="7"/>
      <c r="V55" s="8"/>
      <c r="W55" s="7"/>
      <c r="X55" s="7"/>
      <c r="Y55" s="8"/>
      <c r="Z55" s="7"/>
      <c r="AA55" s="57"/>
      <c r="AB55" s="61" t="s">
        <v>698</v>
      </c>
      <c r="AC55" s="61" t="s">
        <v>1254</v>
      </c>
    </row>
    <row r="56" spans="2:29" ht="15" thickTop="1" thickBot="1">
      <c r="B56" s="10" t="s">
        <v>231</v>
      </c>
      <c r="D56" s="51"/>
      <c r="E56" s="51" t="s">
        <v>598</v>
      </c>
      <c r="F56" s="7"/>
      <c r="G56" s="8"/>
      <c r="H56" s="7"/>
      <c r="I56" s="6"/>
      <c r="J56" s="7"/>
      <c r="K56" s="8"/>
      <c r="L56" s="7"/>
      <c r="M56" s="8"/>
      <c r="N56" s="7"/>
      <c r="O56" s="8"/>
      <c r="P56" s="7"/>
      <c r="Q56" s="7"/>
      <c r="R56" s="8"/>
      <c r="S56" s="7"/>
      <c r="T56" s="9"/>
      <c r="U56" s="7"/>
      <c r="V56" s="8"/>
      <c r="W56" s="7"/>
      <c r="X56" s="7"/>
      <c r="Y56" s="8"/>
      <c r="Z56" s="7"/>
      <c r="AA56" s="57"/>
      <c r="AB56" s="61" t="s">
        <v>698</v>
      </c>
      <c r="AC56" s="61" t="s">
        <v>1255</v>
      </c>
    </row>
    <row r="57" spans="2:29" ht="15" thickTop="1" thickBot="1">
      <c r="B57" s="471" t="s">
        <v>2812</v>
      </c>
      <c r="D57" s="51"/>
      <c r="E57" s="51" t="s">
        <v>600</v>
      </c>
      <c r="F57" s="7"/>
      <c r="G57" s="8"/>
      <c r="H57" s="7"/>
      <c r="I57" s="6"/>
      <c r="J57" s="7"/>
      <c r="K57" s="8"/>
      <c r="L57" s="7"/>
      <c r="M57" s="8"/>
      <c r="N57" s="7"/>
      <c r="O57" s="8"/>
      <c r="P57" s="7"/>
      <c r="Q57" s="7"/>
      <c r="R57" s="8"/>
      <c r="S57" s="7"/>
      <c r="T57" s="9"/>
      <c r="U57" s="7"/>
      <c r="V57" s="8"/>
      <c r="W57" s="7"/>
      <c r="X57" s="7"/>
      <c r="Y57" s="8"/>
      <c r="Z57" s="7"/>
      <c r="AA57" s="57"/>
      <c r="AB57" s="61" t="s">
        <v>698</v>
      </c>
      <c r="AC57" s="61" t="s">
        <v>1256</v>
      </c>
    </row>
    <row r="58" spans="2:29" ht="15" thickTop="1" thickBot="1">
      <c r="B58" s="10" t="s">
        <v>281</v>
      </c>
      <c r="D58" s="51"/>
      <c r="E58" s="51" t="s">
        <v>553</v>
      </c>
      <c r="F58" s="7"/>
      <c r="G58" s="8"/>
      <c r="H58" s="7"/>
      <c r="I58" s="6"/>
      <c r="J58" s="7"/>
      <c r="K58" s="8"/>
      <c r="L58" s="7"/>
      <c r="M58" s="8"/>
      <c r="N58" s="7"/>
      <c r="O58" s="8"/>
      <c r="P58" s="7"/>
      <c r="Q58" s="7"/>
      <c r="R58" s="8"/>
      <c r="S58" s="7"/>
      <c r="T58" s="9"/>
      <c r="U58" s="7"/>
      <c r="V58" s="8"/>
      <c r="W58" s="7"/>
      <c r="X58" s="7"/>
      <c r="Y58" s="8"/>
      <c r="Z58" s="7"/>
      <c r="AA58" s="57"/>
      <c r="AB58" s="61" t="s">
        <v>698</v>
      </c>
      <c r="AC58" s="61" t="s">
        <v>1257</v>
      </c>
    </row>
    <row r="59" spans="2:29" ht="15" thickTop="1" thickBot="1">
      <c r="B59" s="450" t="s">
        <v>2686</v>
      </c>
      <c r="D59" s="51"/>
      <c r="E59" s="51" t="s">
        <v>583</v>
      </c>
      <c r="F59" s="7"/>
      <c r="G59" s="8"/>
      <c r="H59" s="7"/>
      <c r="I59" s="6"/>
      <c r="J59" s="7"/>
      <c r="K59" s="8"/>
      <c r="L59" s="7"/>
      <c r="M59" s="8"/>
      <c r="N59" s="7"/>
      <c r="O59" s="8"/>
      <c r="P59" s="7"/>
      <c r="Q59" s="7"/>
      <c r="R59" s="8"/>
      <c r="S59" s="7"/>
      <c r="T59" s="9"/>
      <c r="U59" s="7"/>
      <c r="V59" s="8"/>
      <c r="W59" s="7"/>
      <c r="X59" s="7"/>
      <c r="Y59" s="8"/>
      <c r="Z59" s="7"/>
      <c r="AA59" s="57"/>
      <c r="AB59" s="61" t="s">
        <v>698</v>
      </c>
      <c r="AC59" s="61" t="s">
        <v>1258</v>
      </c>
    </row>
    <row r="60" spans="2:29" ht="15" thickTop="1" thickBot="1">
      <c r="B60" s="18" t="s">
        <v>1891</v>
      </c>
      <c r="D60" s="51"/>
      <c r="E60" s="51" t="s">
        <v>542</v>
      </c>
      <c r="F60" s="7"/>
      <c r="G60" s="8"/>
      <c r="H60" s="7"/>
      <c r="I60" s="6"/>
      <c r="J60" s="7"/>
      <c r="K60" s="8"/>
      <c r="L60" s="7"/>
      <c r="M60" s="8"/>
      <c r="N60" s="7"/>
      <c r="O60" s="8"/>
      <c r="P60" s="7"/>
      <c r="Q60" s="7"/>
      <c r="R60" s="8"/>
      <c r="S60" s="7"/>
      <c r="T60" s="9"/>
      <c r="U60" s="7"/>
      <c r="V60" s="8"/>
      <c r="W60" s="7"/>
      <c r="X60" s="7"/>
      <c r="Y60" s="8"/>
      <c r="Z60" s="7"/>
      <c r="AA60" s="57"/>
      <c r="AB60" s="61" t="s">
        <v>698</v>
      </c>
      <c r="AC60" s="61" t="s">
        <v>1259</v>
      </c>
    </row>
    <row r="61" spans="2:29" ht="15" thickTop="1" thickBot="1">
      <c r="B61" s="10"/>
      <c r="D61" s="51"/>
      <c r="E61" s="51" t="s">
        <v>943</v>
      </c>
      <c r="F61" s="7"/>
      <c r="G61" s="8"/>
      <c r="H61" s="7"/>
      <c r="I61" s="6"/>
      <c r="J61" s="7"/>
      <c r="K61" s="8"/>
      <c r="L61" s="7"/>
      <c r="M61" s="8"/>
      <c r="N61" s="7"/>
      <c r="O61" s="8"/>
      <c r="P61" s="7"/>
      <c r="Q61" s="7"/>
      <c r="R61" s="8"/>
      <c r="S61" s="7"/>
      <c r="T61" s="9"/>
      <c r="U61" s="7"/>
      <c r="V61" s="8"/>
      <c r="W61" s="7"/>
      <c r="X61" s="7"/>
      <c r="Y61" s="8"/>
      <c r="Z61" s="7"/>
      <c r="AA61" s="57"/>
      <c r="AB61" s="61" t="s">
        <v>698</v>
      </c>
      <c r="AC61" s="61" t="s">
        <v>1260</v>
      </c>
    </row>
    <row r="62" spans="2:29" ht="15" thickTop="1" thickBot="1">
      <c r="B62" s="10"/>
      <c r="D62" s="51"/>
      <c r="E62" s="51" t="s">
        <v>577</v>
      </c>
      <c r="F62" s="7"/>
      <c r="G62" s="8"/>
      <c r="H62" s="7"/>
      <c r="I62" s="6"/>
      <c r="J62" s="7"/>
      <c r="K62" s="8"/>
      <c r="L62" s="7"/>
      <c r="M62" s="8"/>
      <c r="N62" s="7"/>
      <c r="O62" s="8"/>
      <c r="P62" s="7"/>
      <c r="Q62" s="7"/>
      <c r="R62" s="8"/>
      <c r="S62" s="7"/>
      <c r="T62" s="9"/>
      <c r="U62" s="7"/>
      <c r="V62" s="8"/>
      <c r="W62" s="7"/>
      <c r="X62" s="7"/>
      <c r="Y62" s="8"/>
      <c r="Z62" s="7"/>
      <c r="AA62" s="57"/>
      <c r="AB62" s="61" t="s">
        <v>698</v>
      </c>
      <c r="AC62" s="61" t="s">
        <v>705</v>
      </c>
    </row>
    <row r="63" spans="2:29" ht="15" thickTop="1" thickBot="1">
      <c r="B63" s="10"/>
      <c r="D63" s="51"/>
      <c r="E63" s="51" t="s">
        <v>576</v>
      </c>
      <c r="F63" s="7"/>
      <c r="G63" s="8"/>
      <c r="H63" s="7"/>
      <c r="I63" s="6"/>
      <c r="J63" s="7"/>
      <c r="K63" s="8"/>
      <c r="L63" s="7"/>
      <c r="M63" s="8"/>
      <c r="N63" s="7"/>
      <c r="O63" s="8"/>
      <c r="P63" s="7"/>
      <c r="Q63" s="7"/>
      <c r="R63" s="8"/>
      <c r="S63" s="7"/>
      <c r="T63" s="9"/>
      <c r="U63" s="7"/>
      <c r="V63" s="8"/>
      <c r="W63" s="7"/>
      <c r="X63" s="7"/>
      <c r="Y63" s="8"/>
      <c r="Z63" s="7"/>
      <c r="AA63" s="57"/>
      <c r="AB63" s="61" t="s">
        <v>698</v>
      </c>
      <c r="AC63" s="61" t="s">
        <v>1261</v>
      </c>
    </row>
    <row r="64" spans="2:29" ht="15" thickTop="1" thickBot="1">
      <c r="B64" s="10"/>
      <c r="D64" s="51"/>
      <c r="E64" s="51" t="s">
        <v>525</v>
      </c>
      <c r="F64" s="7"/>
      <c r="G64" s="8"/>
      <c r="H64" s="7"/>
      <c r="I64" s="6"/>
      <c r="J64" s="7"/>
      <c r="K64" s="8"/>
      <c r="L64" s="7"/>
      <c r="M64" s="8"/>
      <c r="N64" s="7"/>
      <c r="O64" s="8"/>
      <c r="P64" s="7"/>
      <c r="Q64" s="7"/>
      <c r="R64" s="8"/>
      <c r="S64" s="7"/>
      <c r="T64" s="9"/>
      <c r="U64" s="7"/>
      <c r="V64" s="8"/>
      <c r="W64" s="7"/>
      <c r="X64" s="7"/>
      <c r="Y64" s="8"/>
      <c r="Z64" s="7"/>
      <c r="AA64" s="57"/>
      <c r="AB64" s="61" t="s">
        <v>698</v>
      </c>
      <c r="AC64" s="61" t="s">
        <v>1262</v>
      </c>
    </row>
    <row r="65" spans="2:29" ht="15" thickTop="1" thickBot="1">
      <c r="B65" s="10"/>
      <c r="D65" s="51"/>
      <c r="E65" s="51" t="s">
        <v>530</v>
      </c>
      <c r="F65" s="7"/>
      <c r="G65" s="8"/>
      <c r="H65" s="7"/>
      <c r="I65" s="6"/>
      <c r="J65" s="7"/>
      <c r="K65" s="8"/>
      <c r="L65" s="7"/>
      <c r="M65" s="8"/>
      <c r="N65" s="7"/>
      <c r="O65" s="8"/>
      <c r="P65" s="7"/>
      <c r="Q65" s="7"/>
      <c r="R65" s="8"/>
      <c r="S65" s="7"/>
      <c r="T65" s="9"/>
      <c r="U65" s="7"/>
      <c r="V65" s="8"/>
      <c r="W65" s="7"/>
      <c r="X65" s="7"/>
      <c r="Y65" s="8"/>
      <c r="Z65" s="7"/>
      <c r="AA65" s="57"/>
      <c r="AB65" s="61" t="s">
        <v>698</v>
      </c>
      <c r="AC65" s="61" t="s">
        <v>1263</v>
      </c>
    </row>
    <row r="66" spans="2:29" ht="15" thickTop="1" thickBot="1">
      <c r="B66" s="10"/>
      <c r="D66" s="51"/>
      <c r="E66" s="51" t="s">
        <v>588</v>
      </c>
      <c r="F66" s="7"/>
      <c r="G66" s="8"/>
      <c r="H66" s="7"/>
      <c r="I66" s="6"/>
      <c r="J66" s="7"/>
      <c r="K66" s="8"/>
      <c r="L66" s="7"/>
      <c r="M66" s="8"/>
      <c r="N66" s="7"/>
      <c r="O66" s="8"/>
      <c r="P66" s="7"/>
      <c r="Q66" s="7"/>
      <c r="R66" s="8"/>
      <c r="S66" s="7"/>
      <c r="T66" s="9"/>
      <c r="U66" s="7"/>
      <c r="V66" s="8"/>
      <c r="W66" s="7"/>
      <c r="X66" s="7"/>
      <c r="Y66" s="8"/>
      <c r="Z66" s="7"/>
      <c r="AA66" s="57"/>
      <c r="AB66" s="61" t="s">
        <v>698</v>
      </c>
      <c r="AC66" s="61" t="s">
        <v>1264</v>
      </c>
    </row>
    <row r="67" spans="2:29" ht="15" thickTop="1" thickBot="1">
      <c r="B67" s="10"/>
      <c r="D67" s="51"/>
      <c r="E67" s="51" t="s">
        <v>350</v>
      </c>
      <c r="F67" s="7"/>
      <c r="G67" s="8"/>
      <c r="H67" s="7"/>
      <c r="I67" s="6"/>
      <c r="J67" s="7"/>
      <c r="K67" s="8"/>
      <c r="L67" s="7"/>
      <c r="M67" s="8"/>
      <c r="N67" s="7"/>
      <c r="O67" s="8"/>
      <c r="P67" s="7"/>
      <c r="Q67" s="7"/>
      <c r="R67" s="8"/>
      <c r="S67" s="7"/>
      <c r="T67" s="9"/>
      <c r="U67" s="7"/>
      <c r="V67" s="8"/>
      <c r="W67" s="7"/>
      <c r="X67" s="7"/>
      <c r="Y67" s="8"/>
      <c r="Z67" s="7"/>
      <c r="AA67" s="57"/>
      <c r="AB67" s="61" t="s">
        <v>698</v>
      </c>
      <c r="AC67" s="61" t="s">
        <v>708</v>
      </c>
    </row>
    <row r="68" spans="2:29" ht="15" thickTop="1" thickBot="1">
      <c r="B68" s="10"/>
      <c r="D68" s="51"/>
      <c r="E68" s="51" t="s">
        <v>570</v>
      </c>
      <c r="F68" s="7"/>
      <c r="G68" s="8"/>
      <c r="H68" s="7"/>
      <c r="I68" s="6"/>
      <c r="J68" s="7"/>
      <c r="K68" s="8"/>
      <c r="L68" s="7"/>
      <c r="M68" s="8"/>
      <c r="N68" s="7"/>
      <c r="O68" s="8"/>
      <c r="P68" s="7"/>
      <c r="Q68" s="7"/>
      <c r="R68" s="8"/>
      <c r="S68" s="7"/>
      <c r="T68" s="9"/>
      <c r="U68" s="7"/>
      <c r="V68" s="8"/>
      <c r="W68" s="7"/>
      <c r="X68" s="7"/>
      <c r="Y68" s="8"/>
      <c r="Z68" s="7"/>
      <c r="AA68" s="57"/>
      <c r="AB68" s="61" t="s">
        <v>698</v>
      </c>
      <c r="AC68" s="61" t="s">
        <v>1265</v>
      </c>
    </row>
    <row r="69" spans="2:29" ht="15" thickTop="1" thickBot="1">
      <c r="B69" s="10"/>
      <c r="D69" s="65"/>
      <c r="E69" s="51" t="s">
        <v>639</v>
      </c>
      <c r="F69" s="7"/>
      <c r="G69" s="8"/>
      <c r="H69" s="7"/>
      <c r="I69" s="6"/>
      <c r="J69" s="7"/>
      <c r="K69" s="8"/>
      <c r="L69" s="7"/>
      <c r="M69" s="8"/>
      <c r="N69" s="7"/>
      <c r="O69" s="8"/>
      <c r="P69" s="7"/>
      <c r="Q69" s="7"/>
      <c r="R69" s="8"/>
      <c r="S69" s="7"/>
      <c r="T69" s="9"/>
      <c r="U69" s="7"/>
      <c r="V69" s="8"/>
      <c r="W69" s="7"/>
      <c r="X69" s="7"/>
      <c r="Y69" s="8"/>
      <c r="Z69" s="7"/>
      <c r="AA69" s="57"/>
      <c r="AB69" s="61" t="s">
        <v>698</v>
      </c>
      <c r="AC69" s="61" t="s">
        <v>699</v>
      </c>
    </row>
    <row r="70" spans="2:29" ht="15" thickTop="1" thickBot="1">
      <c r="B70" s="10"/>
      <c r="D70" s="65"/>
      <c r="E70" s="51" t="s">
        <v>917</v>
      </c>
      <c r="F70" s="7"/>
      <c r="G70" s="8"/>
      <c r="H70" s="7"/>
      <c r="I70" s="6"/>
      <c r="J70" s="7"/>
      <c r="K70" s="8"/>
      <c r="L70" s="7"/>
      <c r="M70" s="8"/>
      <c r="N70" s="7"/>
      <c r="O70" s="8"/>
      <c r="P70" s="7"/>
      <c r="Q70" s="7"/>
      <c r="R70" s="8"/>
      <c r="S70" s="7"/>
      <c r="T70" s="9"/>
      <c r="U70" s="7"/>
      <c r="V70" s="8"/>
      <c r="W70" s="7"/>
      <c r="X70" s="7"/>
      <c r="Y70" s="8"/>
      <c r="Z70" s="7"/>
      <c r="AA70" s="57"/>
      <c r="AB70" s="61" t="s">
        <v>698</v>
      </c>
      <c r="AC70" s="61" t="s">
        <v>1266</v>
      </c>
    </row>
    <row r="71" spans="2:29" ht="15" thickTop="1" thickBot="1">
      <c r="B71" s="10"/>
      <c r="D71" s="65"/>
      <c r="E71" s="51" t="s">
        <v>667</v>
      </c>
      <c r="F71" s="7"/>
      <c r="G71" s="8"/>
      <c r="H71" s="7"/>
      <c r="I71" s="6"/>
      <c r="J71" s="7"/>
      <c r="K71" s="8"/>
      <c r="L71" s="7"/>
      <c r="M71" s="8"/>
      <c r="N71" s="7"/>
      <c r="O71" s="8"/>
      <c r="P71" s="7"/>
      <c r="Q71" s="7"/>
      <c r="R71" s="8"/>
      <c r="S71" s="7"/>
      <c r="T71" s="9"/>
      <c r="U71" s="7"/>
      <c r="V71" s="8"/>
      <c r="W71" s="7"/>
      <c r="X71" s="7"/>
      <c r="Y71" s="8"/>
      <c r="Z71" s="7"/>
      <c r="AA71" s="57"/>
      <c r="AB71" s="61" t="s">
        <v>698</v>
      </c>
      <c r="AC71" s="61" t="s">
        <v>719</v>
      </c>
    </row>
    <row r="72" spans="2:29" ht="15" thickTop="1" thickBot="1">
      <c r="B72" s="10"/>
      <c r="D72" s="65"/>
      <c r="E72" s="51" t="s">
        <v>575</v>
      </c>
      <c r="F72" s="7"/>
      <c r="G72" s="8"/>
      <c r="H72" s="7"/>
      <c r="I72" s="6"/>
      <c r="J72" s="7"/>
      <c r="K72" s="8"/>
      <c r="L72" s="7"/>
      <c r="M72" s="8"/>
      <c r="N72" s="7"/>
      <c r="O72" s="8"/>
      <c r="P72" s="7"/>
      <c r="Q72" s="7"/>
      <c r="R72" s="8"/>
      <c r="S72" s="7"/>
      <c r="T72" s="9"/>
      <c r="U72" s="7"/>
      <c r="V72" s="8"/>
      <c r="W72" s="7"/>
      <c r="X72" s="7"/>
      <c r="Y72" s="8"/>
      <c r="Z72" s="7"/>
      <c r="AA72" s="57"/>
      <c r="AB72" s="61" t="s">
        <v>698</v>
      </c>
      <c r="AC72" s="61" t="s">
        <v>1267</v>
      </c>
    </row>
    <row r="73" spans="2:29" ht="15" thickTop="1" thickBot="1">
      <c r="B73" s="10"/>
      <c r="D73" s="65"/>
      <c r="E73" s="51" t="s">
        <v>360</v>
      </c>
      <c r="F73" s="7"/>
      <c r="G73" s="8"/>
      <c r="H73" s="7"/>
      <c r="I73" s="6"/>
      <c r="J73" s="7"/>
      <c r="K73" s="8"/>
      <c r="L73" s="7"/>
      <c r="M73" s="8"/>
      <c r="N73" s="7"/>
      <c r="O73" s="8"/>
      <c r="P73" s="7"/>
      <c r="Q73" s="7"/>
      <c r="R73" s="8"/>
      <c r="S73" s="7"/>
      <c r="T73" s="9"/>
      <c r="U73" s="7"/>
      <c r="V73" s="8"/>
      <c r="W73" s="7"/>
      <c r="X73" s="7"/>
      <c r="Y73" s="8"/>
      <c r="Z73" s="7"/>
      <c r="AA73" s="57"/>
      <c r="AB73" s="61" t="s">
        <v>698</v>
      </c>
      <c r="AC73" s="61" t="s">
        <v>1268</v>
      </c>
    </row>
    <row r="74" spans="2:29" ht="15" thickTop="1" thickBot="1">
      <c r="B74" s="10"/>
      <c r="D74" s="65"/>
      <c r="E74" s="51" t="s">
        <v>362</v>
      </c>
      <c r="F74" s="7"/>
      <c r="G74" s="8"/>
      <c r="H74" s="7"/>
      <c r="I74" s="6"/>
      <c r="J74" s="7"/>
      <c r="K74" s="8"/>
      <c r="L74" s="7"/>
      <c r="M74" s="8"/>
      <c r="N74" s="7"/>
      <c r="O74" s="8"/>
      <c r="P74" s="7"/>
      <c r="Q74" s="7"/>
      <c r="R74" s="8"/>
      <c r="S74" s="7"/>
      <c r="T74" s="9"/>
      <c r="U74" s="7"/>
      <c r="V74" s="8"/>
      <c r="W74" s="7"/>
      <c r="X74" s="7"/>
      <c r="Y74" s="8"/>
      <c r="Z74" s="7"/>
      <c r="AA74" s="57"/>
      <c r="AB74" s="61" t="s">
        <v>698</v>
      </c>
      <c r="AC74" s="61" t="s">
        <v>1269</v>
      </c>
    </row>
    <row r="75" spans="2:29" ht="15" thickTop="1" thickBot="1">
      <c r="B75" s="10"/>
      <c r="D75" s="65"/>
      <c r="E75" s="51" t="s">
        <v>367</v>
      </c>
      <c r="F75" s="7"/>
      <c r="G75" s="8"/>
      <c r="H75" s="7"/>
      <c r="I75" s="6"/>
      <c r="J75" s="7"/>
      <c r="K75" s="8"/>
      <c r="L75" s="7"/>
      <c r="M75" s="8"/>
      <c r="N75" s="7"/>
      <c r="O75" s="8"/>
      <c r="P75" s="7"/>
      <c r="Q75" s="7"/>
      <c r="R75" s="8"/>
      <c r="S75" s="7"/>
      <c r="T75" s="9"/>
      <c r="U75" s="7"/>
      <c r="V75" s="8"/>
      <c r="W75" s="7"/>
      <c r="X75" s="7"/>
      <c r="Y75" s="8"/>
      <c r="Z75" s="7"/>
      <c r="AA75" s="57"/>
      <c r="AB75" s="61" t="s">
        <v>698</v>
      </c>
      <c r="AC75" s="61" t="s">
        <v>1270</v>
      </c>
    </row>
    <row r="76" spans="2:29" ht="15" thickTop="1" thickBot="1">
      <c r="B76" s="10"/>
      <c r="D76" s="65"/>
      <c r="E76" s="51" t="s">
        <v>359</v>
      </c>
      <c r="F76" s="7"/>
      <c r="G76" s="8"/>
      <c r="H76" s="7"/>
      <c r="I76" s="6"/>
      <c r="J76" s="7"/>
      <c r="K76" s="8"/>
      <c r="L76" s="7"/>
      <c r="M76" s="8"/>
      <c r="N76" s="7"/>
      <c r="O76" s="8"/>
      <c r="P76" s="7"/>
      <c r="Q76" s="7"/>
      <c r="R76" s="8"/>
      <c r="S76" s="7"/>
      <c r="T76" s="9"/>
      <c r="U76" s="7"/>
      <c r="V76" s="8"/>
      <c r="W76" s="7"/>
      <c r="X76" s="7"/>
      <c r="Y76" s="8"/>
      <c r="Z76" s="7"/>
      <c r="AA76" s="57"/>
      <c r="AB76" s="61" t="s">
        <v>698</v>
      </c>
      <c r="AC76" s="61" t="s">
        <v>1271</v>
      </c>
    </row>
    <row r="77" spans="2:29" ht="15" thickTop="1" thickBot="1">
      <c r="B77" s="10"/>
      <c r="D77" s="65"/>
      <c r="E77" s="51" t="s">
        <v>797</v>
      </c>
      <c r="F77" s="7"/>
      <c r="G77" s="8"/>
      <c r="H77" s="7"/>
      <c r="I77" s="6"/>
      <c r="J77" s="7"/>
      <c r="K77" s="8"/>
      <c r="L77" s="7"/>
      <c r="M77" s="8"/>
      <c r="N77" s="7"/>
      <c r="O77" s="8"/>
      <c r="P77" s="7"/>
      <c r="Q77" s="7"/>
      <c r="R77" s="8"/>
      <c r="S77" s="7"/>
      <c r="T77" s="9"/>
      <c r="U77" s="7"/>
      <c r="V77" s="8"/>
      <c r="W77" s="7"/>
      <c r="X77" s="7"/>
      <c r="Y77" s="8"/>
      <c r="Z77" s="7"/>
      <c r="AA77" s="57"/>
      <c r="AB77" s="61" t="s">
        <v>698</v>
      </c>
      <c r="AC77" s="61" t="s">
        <v>1272</v>
      </c>
    </row>
    <row r="78" spans="2:29" ht="15" thickTop="1" thickBot="1">
      <c r="B78" s="10"/>
      <c r="D78" s="65"/>
      <c r="E78" s="51" t="s">
        <v>796</v>
      </c>
      <c r="F78" s="7"/>
      <c r="G78" s="8"/>
      <c r="H78" s="7"/>
      <c r="I78" s="6"/>
      <c r="J78" s="7"/>
      <c r="K78" s="8"/>
      <c r="L78" s="7"/>
      <c r="M78" s="8"/>
      <c r="N78" s="7"/>
      <c r="O78" s="8"/>
      <c r="P78" s="7"/>
      <c r="Q78" s="7"/>
      <c r="R78" s="8"/>
      <c r="S78" s="7"/>
      <c r="T78" s="9"/>
      <c r="U78" s="7"/>
      <c r="V78" s="8"/>
      <c r="W78" s="7"/>
      <c r="X78" s="7"/>
      <c r="Y78" s="8"/>
      <c r="Z78" s="7"/>
      <c r="AA78" s="57"/>
      <c r="AB78" s="61" t="s">
        <v>698</v>
      </c>
      <c r="AC78" s="61" t="s">
        <v>1273</v>
      </c>
    </row>
    <row r="79" spans="2:29" ht="15" thickTop="1" thickBot="1">
      <c r="B79" s="10"/>
      <c r="D79" s="65"/>
      <c r="E79" s="51" t="s">
        <v>364</v>
      </c>
      <c r="F79" s="7"/>
      <c r="G79" s="8"/>
      <c r="H79" s="7"/>
      <c r="I79" s="6"/>
      <c r="J79" s="7"/>
      <c r="K79" s="8"/>
      <c r="L79" s="7"/>
      <c r="M79" s="8"/>
      <c r="N79" s="7"/>
      <c r="O79" s="8"/>
      <c r="P79" s="7"/>
      <c r="Q79" s="7"/>
      <c r="R79" s="8"/>
      <c r="S79" s="7"/>
      <c r="T79" s="9"/>
      <c r="U79" s="7"/>
      <c r="V79" s="8"/>
      <c r="W79" s="7"/>
      <c r="X79" s="7"/>
      <c r="Y79" s="8"/>
      <c r="Z79" s="7"/>
      <c r="AA79" s="57"/>
      <c r="AB79" s="61" t="s">
        <v>698</v>
      </c>
      <c r="AC79" s="61" t="s">
        <v>1274</v>
      </c>
    </row>
    <row r="80" spans="2:29" ht="15" thickTop="1" thickBot="1">
      <c r="B80" s="10"/>
      <c r="D80" s="65"/>
      <c r="E80" s="51" t="s">
        <v>361</v>
      </c>
      <c r="F80" s="7"/>
      <c r="G80" s="8"/>
      <c r="H80" s="7"/>
      <c r="I80" s="6"/>
      <c r="J80" s="7"/>
      <c r="K80" s="8"/>
      <c r="L80" s="7"/>
      <c r="M80" s="8"/>
      <c r="N80" s="7"/>
      <c r="O80" s="8"/>
      <c r="P80" s="7"/>
      <c r="Q80" s="7"/>
      <c r="R80" s="8"/>
      <c r="S80" s="7"/>
      <c r="T80" s="9"/>
      <c r="U80" s="7"/>
      <c r="V80" s="8"/>
      <c r="W80" s="7"/>
      <c r="X80" s="7"/>
      <c r="Y80" s="8"/>
      <c r="Z80" s="7"/>
      <c r="AA80" s="57"/>
      <c r="AB80" s="61" t="s">
        <v>698</v>
      </c>
      <c r="AC80" s="61" t="s">
        <v>1275</v>
      </c>
    </row>
    <row r="81" spans="2:29" ht="15" thickTop="1" thickBot="1">
      <c r="B81" s="10"/>
      <c r="D81" s="65"/>
      <c r="E81" s="51" t="s">
        <v>363</v>
      </c>
      <c r="F81" s="7"/>
      <c r="G81" s="8"/>
      <c r="H81" s="7"/>
      <c r="I81" s="6"/>
      <c r="J81" s="7"/>
      <c r="K81" s="8"/>
      <c r="L81" s="7"/>
      <c r="M81" s="8"/>
      <c r="N81" s="7"/>
      <c r="O81" s="8"/>
      <c r="P81" s="7"/>
      <c r="Q81" s="7"/>
      <c r="R81" s="8"/>
      <c r="S81" s="7"/>
      <c r="T81" s="9"/>
      <c r="U81" s="7"/>
      <c r="V81" s="8"/>
      <c r="W81" s="7"/>
      <c r="X81" s="7"/>
      <c r="Y81" s="8"/>
      <c r="Z81" s="7"/>
      <c r="AA81" s="57"/>
      <c r="AB81" s="61" t="s">
        <v>698</v>
      </c>
      <c r="AC81" s="61" t="s">
        <v>1276</v>
      </c>
    </row>
    <row r="82" spans="2:29" ht="15" thickTop="1" thickBot="1">
      <c r="B82" s="10"/>
      <c r="D82" s="65"/>
      <c r="E82" s="51" t="s">
        <v>365</v>
      </c>
      <c r="F82" s="7"/>
      <c r="G82" s="8"/>
      <c r="H82" s="7"/>
      <c r="I82" s="6"/>
      <c r="J82" s="7"/>
      <c r="K82" s="8"/>
      <c r="L82" s="7"/>
      <c r="M82" s="8"/>
      <c r="N82" s="7"/>
      <c r="O82" s="8"/>
      <c r="P82" s="7"/>
      <c r="Q82" s="7"/>
      <c r="R82" s="8"/>
      <c r="S82" s="7"/>
      <c r="T82" s="9"/>
      <c r="U82" s="7"/>
      <c r="V82" s="8"/>
      <c r="W82" s="7"/>
      <c r="X82" s="7"/>
      <c r="Y82" s="8"/>
      <c r="Z82" s="7"/>
      <c r="AA82" s="57"/>
      <c r="AB82" s="61" t="s">
        <v>698</v>
      </c>
      <c r="AC82" s="61" t="s">
        <v>1277</v>
      </c>
    </row>
    <row r="83" spans="2:29" ht="15" thickTop="1" thickBot="1">
      <c r="B83" s="10"/>
      <c r="D83" s="65"/>
      <c r="E83" s="51" t="s">
        <v>358</v>
      </c>
      <c r="F83" s="7"/>
      <c r="G83" s="8"/>
      <c r="H83" s="7"/>
      <c r="I83" s="6"/>
      <c r="J83" s="7"/>
      <c r="K83" s="8"/>
      <c r="L83" s="7"/>
      <c r="M83" s="8"/>
      <c r="N83" s="7"/>
      <c r="O83" s="8"/>
      <c r="P83" s="7"/>
      <c r="Q83" s="7"/>
      <c r="R83" s="8"/>
      <c r="S83" s="7"/>
      <c r="T83" s="9"/>
      <c r="U83" s="7"/>
      <c r="V83" s="8"/>
      <c r="W83" s="7"/>
      <c r="X83" s="7"/>
      <c r="Y83" s="8"/>
      <c r="Z83" s="7"/>
      <c r="AA83" s="57"/>
      <c r="AB83" s="63" t="s">
        <v>698</v>
      </c>
      <c r="AC83" s="63" t="s">
        <v>1278</v>
      </c>
    </row>
    <row r="84" spans="2:29" ht="15" thickTop="1" thickBot="1">
      <c r="B84" s="10"/>
      <c r="D84" s="65"/>
      <c r="E84" s="51" t="s">
        <v>945</v>
      </c>
      <c r="F84" s="7"/>
      <c r="G84" s="8"/>
      <c r="H84" s="7"/>
      <c r="I84" s="6"/>
      <c r="J84" s="7"/>
      <c r="K84" s="8"/>
      <c r="L84" s="7"/>
      <c r="M84" s="8"/>
      <c r="N84" s="7"/>
      <c r="O84" s="8"/>
      <c r="P84" s="7"/>
      <c r="Q84" s="7"/>
      <c r="R84" s="8"/>
      <c r="S84" s="7"/>
      <c r="T84" s="9"/>
      <c r="U84" s="7"/>
      <c r="V84" s="8"/>
      <c r="W84" s="7"/>
      <c r="X84" s="7"/>
      <c r="Y84" s="8"/>
      <c r="Z84" s="7"/>
      <c r="AA84" s="8"/>
      <c r="AB84" s="795" t="s">
        <v>3274</v>
      </c>
      <c r="AC84" s="795" t="s">
        <v>3275</v>
      </c>
    </row>
    <row r="85" spans="2:29" ht="15" thickTop="1" thickBot="1">
      <c r="B85" s="10"/>
      <c r="D85" s="65"/>
      <c r="E85" s="51" t="s">
        <v>944</v>
      </c>
      <c r="F85" s="7"/>
      <c r="G85" s="8"/>
      <c r="H85" s="7"/>
      <c r="I85" s="6"/>
      <c r="J85" s="7"/>
      <c r="K85" s="8"/>
      <c r="L85" s="7"/>
      <c r="M85" s="8"/>
      <c r="N85" s="7"/>
      <c r="O85" s="8"/>
      <c r="P85" s="7"/>
      <c r="Q85" s="7"/>
      <c r="R85" s="8"/>
      <c r="S85" s="7"/>
      <c r="T85" s="9"/>
      <c r="U85" s="7"/>
      <c r="V85" s="8"/>
      <c r="W85" s="7"/>
      <c r="X85" s="7"/>
      <c r="Y85" s="8"/>
      <c r="Z85" s="7"/>
      <c r="AA85" s="8"/>
    </row>
    <row r="86" spans="2:29" ht="15" thickTop="1" thickBot="1">
      <c r="B86" s="10"/>
      <c r="D86" s="65"/>
      <c r="E86" s="51" t="s">
        <v>566</v>
      </c>
      <c r="F86" s="7"/>
      <c r="G86" s="8"/>
      <c r="H86" s="7"/>
      <c r="I86" s="6"/>
      <c r="J86" s="7"/>
      <c r="K86" s="8"/>
      <c r="L86" s="7"/>
      <c r="M86" s="8"/>
      <c r="N86" s="7"/>
      <c r="O86" s="8"/>
      <c r="P86" s="7"/>
      <c r="Q86" s="7"/>
      <c r="R86" s="8"/>
      <c r="S86" s="7"/>
      <c r="T86" s="9"/>
      <c r="U86" s="7"/>
      <c r="V86" s="8"/>
      <c r="W86" s="7"/>
      <c r="X86" s="7"/>
      <c r="Y86" s="8"/>
      <c r="Z86" s="7"/>
      <c r="AA86" s="8"/>
    </row>
    <row r="87" spans="2:29" ht="15" thickTop="1" thickBot="1">
      <c r="B87" s="10"/>
      <c r="D87" s="65"/>
      <c r="E87" s="51" t="s">
        <v>552</v>
      </c>
      <c r="F87" s="7"/>
      <c r="G87" s="8"/>
      <c r="H87" s="7"/>
      <c r="I87" s="6"/>
      <c r="J87" s="7"/>
      <c r="K87" s="8"/>
      <c r="L87" s="7"/>
      <c r="M87" s="8"/>
      <c r="N87" s="7"/>
      <c r="O87" s="8"/>
      <c r="P87" s="7"/>
      <c r="Q87" s="7"/>
      <c r="R87" s="8"/>
      <c r="S87" s="7"/>
      <c r="T87" s="9"/>
      <c r="U87" s="7"/>
      <c r="V87" s="8"/>
      <c r="W87" s="7"/>
      <c r="X87" s="7"/>
      <c r="Y87" s="8"/>
      <c r="Z87" s="7"/>
      <c r="AA87" s="8"/>
    </row>
    <row r="88" spans="2:29" ht="15" thickTop="1" thickBot="1">
      <c r="B88" s="10"/>
      <c r="D88" s="65"/>
      <c r="E88" s="51" t="s">
        <v>556</v>
      </c>
      <c r="F88" s="7"/>
      <c r="G88" s="8"/>
      <c r="H88" s="7"/>
      <c r="I88" s="6"/>
      <c r="J88" s="7"/>
      <c r="K88" s="8"/>
      <c r="L88" s="7"/>
      <c r="M88" s="8"/>
      <c r="N88" s="7"/>
      <c r="O88" s="8"/>
      <c r="P88" s="7"/>
      <c r="Q88" s="7"/>
      <c r="R88" s="8"/>
      <c r="S88" s="7"/>
      <c r="T88" s="9"/>
      <c r="U88" s="7"/>
      <c r="V88" s="8"/>
      <c r="W88" s="7"/>
      <c r="X88" s="7"/>
      <c r="Y88" s="8"/>
      <c r="Z88" s="7"/>
      <c r="AA88" s="8"/>
    </row>
    <row r="89" spans="2:29" ht="15" thickTop="1" thickBot="1">
      <c r="B89" s="10"/>
      <c r="D89" s="65"/>
      <c r="E89" s="51" t="s">
        <v>607</v>
      </c>
      <c r="F89" s="7"/>
      <c r="G89" s="8"/>
      <c r="H89" s="7"/>
      <c r="I89" s="6"/>
      <c r="J89" s="7"/>
      <c r="K89" s="8"/>
      <c r="L89" s="7"/>
      <c r="M89" s="8"/>
      <c r="N89" s="7"/>
      <c r="O89" s="8"/>
      <c r="P89" s="7"/>
      <c r="Q89" s="7"/>
      <c r="R89" s="8"/>
      <c r="S89" s="7"/>
      <c r="T89" s="9"/>
      <c r="U89" s="7"/>
      <c r="V89" s="8"/>
      <c r="W89" s="7"/>
      <c r="X89" s="7"/>
      <c r="Y89" s="8"/>
      <c r="Z89" s="7"/>
      <c r="AA89" s="8"/>
    </row>
    <row r="90" spans="2:29" ht="15" thickTop="1" thickBot="1">
      <c r="B90" s="10"/>
      <c r="D90" s="65"/>
      <c r="E90" s="51" t="s">
        <v>924</v>
      </c>
      <c r="F90" s="7"/>
      <c r="G90" s="8"/>
      <c r="H90" s="7"/>
      <c r="I90" s="6"/>
      <c r="J90" s="7"/>
      <c r="K90" s="8"/>
      <c r="L90" s="7"/>
      <c r="M90" s="8"/>
      <c r="N90" s="7"/>
      <c r="O90" s="8"/>
      <c r="P90" s="7"/>
      <c r="Q90" s="7"/>
      <c r="R90" s="8"/>
      <c r="S90" s="7"/>
      <c r="T90" s="9"/>
      <c r="U90" s="7"/>
      <c r="V90" s="8"/>
      <c r="W90" s="7"/>
      <c r="X90" s="7"/>
      <c r="Y90" s="8"/>
      <c r="Z90" s="7"/>
      <c r="AA90" s="8"/>
    </row>
    <row r="91" spans="2:29" ht="15" thickTop="1" thickBot="1">
      <c r="B91" s="10"/>
      <c r="D91" s="65"/>
      <c r="E91" s="51" t="s">
        <v>645</v>
      </c>
      <c r="F91" s="7"/>
      <c r="G91" s="8"/>
      <c r="H91" s="7"/>
      <c r="I91" s="6"/>
      <c r="J91" s="7"/>
      <c r="K91" s="8"/>
      <c r="L91" s="7"/>
      <c r="M91" s="8"/>
      <c r="N91" s="7"/>
      <c r="O91" s="8"/>
      <c r="P91" s="7"/>
      <c r="Q91" s="7"/>
      <c r="R91" s="8"/>
      <c r="S91" s="7"/>
      <c r="T91" s="9"/>
      <c r="U91" s="7"/>
      <c r="V91" s="8"/>
      <c r="W91" s="7"/>
      <c r="X91" s="7"/>
      <c r="Y91" s="8"/>
      <c r="Z91" s="7"/>
      <c r="AA91" s="8"/>
    </row>
    <row r="92" spans="2:29" ht="15" thickTop="1" thickBot="1">
      <c r="B92" s="10"/>
      <c r="D92" s="65"/>
      <c r="E92" s="51" t="s">
        <v>916</v>
      </c>
      <c r="F92" s="7"/>
      <c r="G92" s="8"/>
      <c r="H92" s="7"/>
      <c r="I92" s="6"/>
      <c r="J92" s="7"/>
      <c r="K92" s="8"/>
      <c r="L92" s="7"/>
      <c r="M92" s="8"/>
      <c r="N92" s="7"/>
      <c r="O92" s="8"/>
      <c r="P92" s="7"/>
      <c r="Q92" s="7"/>
      <c r="R92" s="8"/>
      <c r="S92" s="7"/>
      <c r="T92" s="9"/>
      <c r="U92" s="7"/>
      <c r="V92" s="8"/>
      <c r="W92" s="7"/>
      <c r="X92" s="7"/>
      <c r="Y92" s="8"/>
      <c r="Z92" s="7"/>
      <c r="AA92" s="8"/>
    </row>
    <row r="93" spans="2:29" ht="15" thickTop="1" thickBot="1">
      <c r="B93" s="10"/>
      <c r="D93" s="65"/>
      <c r="E93" s="51" t="s">
        <v>610</v>
      </c>
      <c r="F93" s="7"/>
      <c r="G93" s="8"/>
      <c r="H93" s="7"/>
      <c r="I93" s="6"/>
      <c r="J93" s="7"/>
      <c r="K93" s="8"/>
      <c r="L93" s="7"/>
      <c r="M93" s="8"/>
      <c r="N93" s="7"/>
      <c r="O93" s="8"/>
      <c r="P93" s="7"/>
      <c r="Q93" s="7"/>
      <c r="R93" s="8"/>
      <c r="S93" s="7"/>
      <c r="T93" s="9"/>
      <c r="U93" s="7"/>
      <c r="V93" s="8"/>
      <c r="W93" s="7"/>
      <c r="X93" s="7"/>
      <c r="Y93" s="8"/>
      <c r="Z93" s="7"/>
      <c r="AA93" s="8"/>
    </row>
    <row r="94" spans="2:29" ht="15" thickTop="1" thickBot="1">
      <c r="B94" s="10"/>
      <c r="D94" s="65"/>
      <c r="E94" s="51" t="s">
        <v>940</v>
      </c>
      <c r="F94" s="7"/>
      <c r="G94" s="8"/>
      <c r="H94" s="7"/>
      <c r="I94" s="6"/>
      <c r="J94" s="7"/>
      <c r="K94" s="8"/>
      <c r="L94" s="7"/>
      <c r="M94" s="8"/>
      <c r="N94" s="7"/>
      <c r="O94" s="8"/>
      <c r="P94" s="7"/>
      <c r="Q94" s="7"/>
      <c r="R94" s="8"/>
      <c r="S94" s="7"/>
      <c r="T94" s="9"/>
      <c r="U94" s="7"/>
      <c r="V94" s="8"/>
      <c r="W94" s="7"/>
      <c r="X94" s="7"/>
      <c r="Y94" s="8"/>
      <c r="Z94" s="7"/>
      <c r="AA94" s="8"/>
    </row>
    <row r="95" spans="2:29" ht="15" thickTop="1" thickBot="1">
      <c r="B95" s="10"/>
      <c r="D95" s="65"/>
      <c r="E95" s="51" t="s">
        <v>1130</v>
      </c>
      <c r="F95" s="7"/>
      <c r="G95" s="8"/>
      <c r="H95" s="7"/>
      <c r="I95" s="6"/>
      <c r="J95" s="7"/>
      <c r="K95" s="8"/>
      <c r="L95" s="7"/>
      <c r="M95" s="8"/>
      <c r="N95" s="7"/>
      <c r="O95" s="8"/>
      <c r="P95" s="7"/>
      <c r="Q95" s="7"/>
      <c r="R95" s="8"/>
      <c r="S95" s="7"/>
      <c r="T95" s="9"/>
      <c r="U95" s="7"/>
      <c r="V95" s="8"/>
      <c r="W95" s="7"/>
      <c r="X95" s="7"/>
      <c r="Y95" s="8"/>
      <c r="Z95" s="7"/>
      <c r="AA95" s="8"/>
    </row>
    <row r="96" spans="2:29" ht="15" thickTop="1" thickBot="1">
      <c r="B96" s="10"/>
      <c r="D96" s="65"/>
      <c r="E96" s="51" t="s">
        <v>593</v>
      </c>
      <c r="F96" s="7"/>
      <c r="G96" s="8"/>
      <c r="H96" s="7"/>
      <c r="I96" s="6"/>
      <c r="J96" s="7"/>
      <c r="K96" s="8"/>
      <c r="L96" s="7"/>
      <c r="M96" s="8"/>
      <c r="N96" s="7"/>
      <c r="O96" s="8"/>
      <c r="P96" s="7"/>
      <c r="Q96" s="7"/>
      <c r="R96" s="8"/>
      <c r="S96" s="7"/>
      <c r="T96" s="9"/>
      <c r="U96" s="7"/>
      <c r="V96" s="8"/>
      <c r="W96" s="7"/>
      <c r="X96" s="7"/>
      <c r="Y96" s="8"/>
      <c r="Z96" s="7"/>
      <c r="AA96" s="8"/>
    </row>
    <row r="97" spans="2:27" ht="15" thickTop="1" thickBot="1">
      <c r="B97" s="10"/>
      <c r="D97" s="65"/>
      <c r="E97" s="51" t="s">
        <v>595</v>
      </c>
      <c r="F97" s="7"/>
      <c r="G97" s="8"/>
      <c r="H97" s="7"/>
      <c r="I97" s="6"/>
      <c r="J97" s="7"/>
      <c r="K97" s="8"/>
      <c r="L97" s="7"/>
      <c r="M97" s="8"/>
      <c r="N97" s="7"/>
      <c r="O97" s="8"/>
      <c r="P97" s="7"/>
      <c r="Q97" s="7"/>
      <c r="R97" s="8"/>
      <c r="S97" s="7"/>
      <c r="T97" s="9"/>
      <c r="U97" s="7"/>
      <c r="V97" s="8"/>
      <c r="W97" s="7"/>
      <c r="X97" s="7"/>
      <c r="Y97" s="8"/>
      <c r="Z97" s="7"/>
      <c r="AA97" s="8"/>
    </row>
    <row r="98" spans="2:27" ht="15" thickTop="1" thickBot="1">
      <c r="B98" s="10"/>
      <c r="D98" s="65"/>
      <c r="E98" s="51" t="s">
        <v>946</v>
      </c>
      <c r="F98" s="7"/>
      <c r="G98" s="8"/>
      <c r="H98" s="7"/>
      <c r="I98" s="6"/>
      <c r="J98" s="7"/>
      <c r="K98" s="8"/>
      <c r="L98" s="7"/>
      <c r="M98" s="8"/>
      <c r="N98" s="7"/>
      <c r="O98" s="8"/>
      <c r="P98" s="7"/>
      <c r="Q98" s="7"/>
      <c r="R98" s="8"/>
      <c r="S98" s="7"/>
      <c r="T98" s="9"/>
      <c r="U98" s="7"/>
      <c r="V98" s="8"/>
      <c r="W98" s="7"/>
      <c r="X98" s="7"/>
      <c r="Y98" s="8"/>
      <c r="Z98" s="7"/>
      <c r="AA98" s="8"/>
    </row>
    <row r="99" spans="2:27" ht="15" thickTop="1" thickBot="1">
      <c r="B99" s="10"/>
      <c r="D99" s="65"/>
      <c r="E99" s="51" t="s">
        <v>614</v>
      </c>
      <c r="F99" s="7"/>
      <c r="G99" s="8"/>
      <c r="H99" s="7"/>
      <c r="I99" s="6"/>
      <c r="J99" s="7"/>
      <c r="K99" s="8"/>
      <c r="L99" s="7"/>
      <c r="M99" s="8"/>
      <c r="N99" s="7"/>
      <c r="O99" s="8"/>
      <c r="P99" s="7"/>
      <c r="Q99" s="7"/>
      <c r="R99" s="8"/>
      <c r="S99" s="7"/>
      <c r="T99" s="9"/>
      <c r="U99" s="7"/>
      <c r="V99" s="8"/>
      <c r="W99" s="7"/>
      <c r="X99" s="7"/>
      <c r="Y99" s="8"/>
      <c r="Z99" s="7"/>
      <c r="AA99" s="8"/>
    </row>
    <row r="100" spans="2:27" ht="15" thickTop="1" thickBot="1">
      <c r="B100" s="10"/>
      <c r="D100" s="65"/>
      <c r="E100" s="51" t="s">
        <v>950</v>
      </c>
      <c r="F100" s="7"/>
      <c r="G100" s="8"/>
      <c r="H100" s="7"/>
      <c r="I100" s="6"/>
      <c r="J100" s="7"/>
      <c r="K100" s="8"/>
      <c r="L100" s="7"/>
      <c r="M100" s="8"/>
      <c r="N100" s="7"/>
      <c r="O100" s="8"/>
      <c r="P100" s="7"/>
      <c r="Q100" s="7"/>
      <c r="R100" s="8"/>
      <c r="S100" s="7"/>
      <c r="T100" s="9"/>
      <c r="U100" s="7"/>
      <c r="V100" s="8"/>
      <c r="W100" s="7"/>
      <c r="X100" s="7"/>
      <c r="Y100" s="8"/>
      <c r="Z100" s="7"/>
      <c r="AA100" s="8"/>
    </row>
    <row r="101" spans="2:27" ht="15" thickTop="1" thickBot="1">
      <c r="B101" s="10"/>
      <c r="D101" s="65"/>
      <c r="E101" s="51" t="s">
        <v>928</v>
      </c>
      <c r="F101" s="7"/>
      <c r="G101" s="8"/>
      <c r="H101" s="7"/>
      <c r="I101" s="6"/>
      <c r="J101" s="7"/>
      <c r="K101" s="8"/>
      <c r="L101" s="7"/>
      <c r="M101" s="8"/>
      <c r="N101" s="7"/>
      <c r="O101" s="8"/>
      <c r="P101" s="7"/>
      <c r="Q101" s="7"/>
      <c r="R101" s="8"/>
      <c r="S101" s="7"/>
      <c r="T101" s="9"/>
      <c r="U101" s="7"/>
      <c r="V101" s="8"/>
      <c r="W101" s="7"/>
      <c r="X101" s="7"/>
      <c r="Y101" s="8"/>
      <c r="Z101" s="7"/>
      <c r="AA101" s="8"/>
    </row>
    <row r="102" spans="2:27" ht="15" thickTop="1" thickBot="1">
      <c r="B102" s="10"/>
      <c r="D102" s="65"/>
      <c r="E102" s="51" t="s">
        <v>792</v>
      </c>
      <c r="F102" s="7"/>
      <c r="G102" s="8"/>
      <c r="H102" s="7"/>
      <c r="I102" s="6"/>
      <c r="J102" s="7"/>
      <c r="K102" s="8"/>
      <c r="L102" s="7"/>
      <c r="M102" s="8"/>
      <c r="N102" s="7"/>
      <c r="O102" s="8"/>
      <c r="P102" s="7"/>
      <c r="Q102" s="7"/>
      <c r="R102" s="8"/>
      <c r="S102" s="7"/>
      <c r="T102" s="9"/>
      <c r="U102" s="7"/>
      <c r="V102" s="8"/>
      <c r="W102" s="7"/>
      <c r="X102" s="7"/>
      <c r="Y102" s="8"/>
      <c r="Z102" s="7"/>
      <c r="AA102" s="8"/>
    </row>
    <row r="103" spans="2:27" ht="15" thickTop="1" thickBot="1">
      <c r="B103" s="10"/>
      <c r="D103" s="65"/>
      <c r="E103" s="51" t="s">
        <v>573</v>
      </c>
      <c r="F103" s="7"/>
      <c r="G103" s="8"/>
      <c r="H103" s="7"/>
      <c r="I103" s="6"/>
      <c r="J103" s="7"/>
      <c r="K103" s="8"/>
      <c r="L103" s="7"/>
      <c r="M103" s="8"/>
      <c r="N103" s="7"/>
      <c r="O103" s="8"/>
      <c r="P103" s="7"/>
      <c r="Q103" s="7"/>
      <c r="R103" s="8"/>
      <c r="S103" s="7"/>
      <c r="T103" s="9"/>
      <c r="U103" s="7"/>
      <c r="V103" s="8"/>
      <c r="W103" s="7"/>
      <c r="X103" s="7"/>
      <c r="Y103" s="8"/>
      <c r="Z103" s="7"/>
      <c r="AA103" s="8"/>
    </row>
    <row r="104" spans="2:27" ht="15" thickTop="1" thickBot="1">
      <c r="B104" s="10"/>
      <c r="D104" s="65"/>
      <c r="E104" s="51" t="s">
        <v>569</v>
      </c>
      <c r="F104" s="7"/>
      <c r="G104" s="8"/>
      <c r="H104" s="7"/>
      <c r="I104" s="6"/>
      <c r="J104" s="7"/>
      <c r="K104" s="8"/>
      <c r="L104" s="7"/>
      <c r="M104" s="8"/>
      <c r="N104" s="7"/>
      <c r="O104" s="8"/>
      <c r="P104" s="7"/>
      <c r="Q104" s="7"/>
      <c r="R104" s="8"/>
      <c r="S104" s="7"/>
      <c r="T104" s="9"/>
      <c r="U104" s="7"/>
      <c r="V104" s="8"/>
      <c r="W104" s="7"/>
      <c r="X104" s="7"/>
      <c r="Y104" s="8"/>
      <c r="Z104" s="7"/>
      <c r="AA104" s="8"/>
    </row>
    <row r="105" spans="2:27" ht="15" thickTop="1" thickBot="1">
      <c r="B105" s="10"/>
      <c r="D105" s="65"/>
      <c r="E105" s="51" t="s">
        <v>932</v>
      </c>
      <c r="F105" s="7"/>
      <c r="G105" s="8"/>
      <c r="H105" s="7"/>
      <c r="I105" s="6"/>
      <c r="J105" s="7"/>
      <c r="K105" s="8"/>
      <c r="L105" s="7"/>
      <c r="M105" s="8"/>
      <c r="N105" s="7"/>
      <c r="O105" s="8"/>
      <c r="P105" s="7"/>
      <c r="Q105" s="7"/>
      <c r="R105" s="8"/>
      <c r="S105" s="7"/>
      <c r="T105" s="9"/>
      <c r="U105" s="7"/>
      <c r="V105" s="8"/>
      <c r="W105" s="7"/>
      <c r="X105" s="7"/>
      <c r="Y105" s="8"/>
      <c r="Z105" s="7"/>
      <c r="AA105" s="8"/>
    </row>
    <row r="106" spans="2:27" ht="15" thickTop="1" thickBot="1">
      <c r="B106" s="10"/>
      <c r="D106" s="65"/>
      <c r="E106" s="51" t="s">
        <v>306</v>
      </c>
      <c r="F106" s="7"/>
      <c r="G106" s="8"/>
      <c r="H106" s="7"/>
      <c r="I106" s="6"/>
      <c r="J106" s="7"/>
      <c r="K106" s="8"/>
      <c r="L106" s="7"/>
      <c r="M106" s="8"/>
      <c r="N106" s="7"/>
      <c r="O106" s="8"/>
      <c r="P106" s="7"/>
      <c r="Q106" s="7"/>
      <c r="R106" s="8"/>
      <c r="S106" s="7"/>
      <c r="T106" s="9"/>
      <c r="U106" s="7"/>
      <c r="V106" s="8"/>
      <c r="W106" s="7"/>
      <c r="X106" s="7"/>
      <c r="Y106" s="8"/>
      <c r="Z106" s="7"/>
      <c r="AA106" s="8"/>
    </row>
    <row r="107" spans="2:27" ht="15" thickTop="1" thickBot="1">
      <c r="B107" s="10"/>
      <c r="D107" s="65"/>
      <c r="E107" s="51" t="s">
        <v>1279</v>
      </c>
      <c r="F107" s="7"/>
      <c r="G107" s="8"/>
      <c r="H107" s="7"/>
      <c r="I107" s="6"/>
      <c r="J107" s="7"/>
      <c r="K107" s="8"/>
      <c r="L107" s="7"/>
      <c r="M107" s="8"/>
      <c r="N107" s="7"/>
      <c r="O107" s="8"/>
      <c r="P107" s="7"/>
      <c r="Q107" s="7"/>
      <c r="R107" s="8"/>
      <c r="S107" s="7"/>
      <c r="T107" s="9"/>
      <c r="U107" s="7"/>
      <c r="V107" s="8"/>
      <c r="W107" s="7"/>
      <c r="X107" s="7"/>
      <c r="Y107" s="8"/>
      <c r="Z107" s="7"/>
      <c r="AA107" s="8"/>
    </row>
    <row r="108" spans="2:27" ht="15" thickTop="1" thickBot="1">
      <c r="B108" s="10"/>
      <c r="D108" s="65"/>
      <c r="E108" s="51" t="s">
        <v>931</v>
      </c>
      <c r="F108" s="7"/>
      <c r="G108" s="8"/>
      <c r="H108" s="7"/>
      <c r="I108" s="6"/>
      <c r="J108" s="7"/>
      <c r="K108" s="8"/>
      <c r="L108" s="7"/>
      <c r="M108" s="8"/>
      <c r="N108" s="7"/>
      <c r="O108" s="8"/>
      <c r="P108" s="7"/>
      <c r="Q108" s="7"/>
      <c r="R108" s="8"/>
      <c r="S108" s="7"/>
      <c r="T108" s="9"/>
      <c r="U108" s="7"/>
      <c r="V108" s="8"/>
      <c r="W108" s="7"/>
      <c r="X108" s="7"/>
      <c r="Y108" s="8"/>
      <c r="Z108" s="7"/>
      <c r="AA108" s="8"/>
    </row>
    <row r="109" spans="2:27" ht="15" thickTop="1" thickBot="1">
      <c r="B109" s="10"/>
      <c r="D109" s="65"/>
      <c r="E109" s="51" t="s">
        <v>309</v>
      </c>
      <c r="F109" s="7"/>
      <c r="G109" s="8"/>
      <c r="H109" s="7"/>
      <c r="I109" s="6"/>
      <c r="J109" s="7"/>
      <c r="K109" s="8"/>
      <c r="L109" s="7"/>
      <c r="M109" s="8"/>
      <c r="N109" s="7"/>
      <c r="O109" s="8"/>
      <c r="P109" s="7"/>
      <c r="Q109" s="7"/>
      <c r="R109" s="8"/>
      <c r="S109" s="7"/>
      <c r="T109" s="9"/>
      <c r="U109" s="7"/>
      <c r="V109" s="8"/>
      <c r="W109" s="7"/>
      <c r="X109" s="7"/>
      <c r="Y109" s="8"/>
      <c r="Z109" s="7"/>
      <c r="AA109" s="8"/>
    </row>
    <row r="110" spans="2:27" ht="15" thickTop="1" thickBot="1">
      <c r="B110" s="10"/>
      <c r="D110" s="65"/>
      <c r="E110" s="51" t="s">
        <v>1087</v>
      </c>
      <c r="F110" s="7"/>
      <c r="G110" s="8"/>
      <c r="H110" s="7"/>
      <c r="I110" s="6"/>
      <c r="J110" s="7"/>
      <c r="K110" s="8"/>
      <c r="L110" s="7"/>
      <c r="M110" s="8"/>
      <c r="N110" s="7"/>
      <c r="O110" s="8"/>
      <c r="P110" s="7"/>
      <c r="Q110" s="7"/>
      <c r="R110" s="8"/>
      <c r="S110" s="7"/>
      <c r="T110" s="9"/>
      <c r="U110" s="7"/>
      <c r="V110" s="8"/>
      <c r="W110" s="7"/>
      <c r="X110" s="7"/>
      <c r="Y110" s="8"/>
      <c r="Z110" s="7"/>
      <c r="AA110" s="8"/>
    </row>
    <row r="111" spans="2:27" ht="15" thickTop="1" thickBot="1">
      <c r="B111" s="10"/>
      <c r="D111" s="65"/>
      <c r="E111" s="51" t="s">
        <v>952</v>
      </c>
      <c r="F111" s="7"/>
      <c r="G111" s="8"/>
      <c r="H111" s="7"/>
      <c r="I111" s="6"/>
      <c r="J111" s="7"/>
      <c r="K111" s="8"/>
      <c r="L111" s="7"/>
      <c r="M111" s="8"/>
      <c r="N111" s="7"/>
      <c r="O111" s="8"/>
      <c r="P111" s="7"/>
      <c r="Q111" s="7"/>
      <c r="R111" s="8"/>
      <c r="S111" s="7"/>
      <c r="T111" s="9"/>
      <c r="U111" s="7"/>
      <c r="V111" s="8"/>
      <c r="W111" s="7"/>
      <c r="X111" s="7"/>
      <c r="Y111" s="8"/>
      <c r="Z111" s="7"/>
      <c r="AA111" s="8"/>
    </row>
    <row r="112" spans="2:27" ht="15" thickTop="1" thickBot="1">
      <c r="B112" s="10"/>
      <c r="D112" s="65"/>
      <c r="E112" s="51" t="s">
        <v>668</v>
      </c>
      <c r="F112" s="7"/>
      <c r="G112" s="8"/>
      <c r="H112" s="7"/>
      <c r="I112" s="6"/>
      <c r="J112" s="7"/>
      <c r="K112" s="8"/>
      <c r="L112" s="7"/>
      <c r="M112" s="8"/>
      <c r="N112" s="7"/>
      <c r="O112" s="8"/>
      <c r="P112" s="7"/>
      <c r="Q112" s="7"/>
      <c r="R112" s="8"/>
      <c r="S112" s="7"/>
      <c r="T112" s="9"/>
      <c r="U112" s="7"/>
      <c r="V112" s="8"/>
      <c r="W112" s="7"/>
      <c r="X112" s="7"/>
      <c r="Y112" s="8"/>
      <c r="Z112" s="7"/>
      <c r="AA112" s="8"/>
    </row>
    <row r="113" spans="2:27" ht="15" thickTop="1" thickBot="1">
      <c r="B113" s="10"/>
      <c r="D113" s="65"/>
      <c r="E113" s="51" t="s">
        <v>565</v>
      </c>
      <c r="F113" s="7"/>
      <c r="G113" s="8"/>
      <c r="H113" s="7"/>
      <c r="I113" s="6"/>
      <c r="J113" s="7"/>
      <c r="K113" s="8"/>
      <c r="L113" s="7"/>
      <c r="M113" s="8"/>
      <c r="N113" s="7"/>
      <c r="O113" s="8"/>
      <c r="P113" s="7"/>
      <c r="Q113" s="7"/>
      <c r="R113" s="8"/>
      <c r="S113" s="7"/>
      <c r="T113" s="9"/>
      <c r="U113" s="7"/>
      <c r="V113" s="8"/>
      <c r="W113" s="7"/>
      <c r="X113" s="7"/>
      <c r="Y113" s="8"/>
      <c r="Z113" s="7"/>
      <c r="AA113" s="8"/>
    </row>
    <row r="114" spans="2:27" ht="15" thickTop="1" thickBot="1">
      <c r="B114" s="10"/>
      <c r="D114" s="65"/>
      <c r="E114" s="51" t="s">
        <v>315</v>
      </c>
      <c r="F114" s="7"/>
      <c r="G114" s="8"/>
      <c r="H114" s="7"/>
      <c r="I114" s="6"/>
      <c r="J114" s="7"/>
      <c r="K114" s="8"/>
      <c r="L114" s="7"/>
      <c r="M114" s="8"/>
      <c r="N114" s="7"/>
      <c r="O114" s="8"/>
      <c r="P114" s="7"/>
      <c r="Q114" s="7"/>
      <c r="R114" s="8"/>
      <c r="S114" s="7"/>
      <c r="T114" s="9"/>
      <c r="U114" s="7"/>
      <c r="V114" s="8"/>
      <c r="W114" s="7"/>
      <c r="X114" s="7"/>
      <c r="Y114" s="8"/>
      <c r="Z114" s="7"/>
      <c r="AA114" s="8"/>
    </row>
    <row r="115" spans="2:27" ht="15" thickTop="1" thickBot="1">
      <c r="B115" s="10"/>
      <c r="D115" s="65"/>
      <c r="E115" s="51" t="s">
        <v>317</v>
      </c>
      <c r="F115" s="7"/>
      <c r="G115" s="8"/>
      <c r="H115" s="7"/>
      <c r="I115" s="6"/>
      <c r="J115" s="7"/>
      <c r="K115" s="8"/>
      <c r="L115" s="7"/>
      <c r="M115" s="8"/>
      <c r="N115" s="7"/>
      <c r="O115" s="8"/>
      <c r="P115" s="7"/>
      <c r="Q115" s="7"/>
      <c r="R115" s="8"/>
      <c r="S115" s="7"/>
      <c r="T115" s="9"/>
      <c r="U115" s="7"/>
      <c r="V115" s="8"/>
      <c r="W115" s="7"/>
      <c r="X115" s="7"/>
      <c r="Y115" s="8"/>
      <c r="Z115" s="7"/>
      <c r="AA115" s="8"/>
    </row>
    <row r="116" spans="2:27" ht="15" thickTop="1" thickBot="1">
      <c r="B116" s="10"/>
      <c r="D116" s="65"/>
      <c r="E116" s="51" t="s">
        <v>558</v>
      </c>
      <c r="F116" s="7"/>
      <c r="G116" s="8"/>
      <c r="H116" s="7"/>
      <c r="I116" s="6"/>
      <c r="J116" s="7"/>
      <c r="K116" s="8"/>
      <c r="L116" s="7"/>
      <c r="M116" s="8"/>
      <c r="N116" s="7"/>
      <c r="O116" s="8"/>
      <c r="P116" s="7"/>
      <c r="Q116" s="7"/>
      <c r="R116" s="8"/>
      <c r="S116" s="7"/>
      <c r="T116" s="9"/>
      <c r="U116" s="7"/>
      <c r="V116" s="8"/>
      <c r="W116" s="7"/>
      <c r="X116" s="7"/>
      <c r="Y116" s="8"/>
      <c r="Z116" s="7"/>
      <c r="AA116" s="8"/>
    </row>
    <row r="117" spans="2:27" ht="15" thickTop="1" thickBot="1">
      <c r="B117" s="10"/>
      <c r="D117" s="65"/>
      <c r="E117" s="51" t="s">
        <v>679</v>
      </c>
      <c r="F117" s="7"/>
      <c r="G117" s="8"/>
      <c r="H117" s="7"/>
      <c r="I117" s="6"/>
      <c r="J117" s="7"/>
      <c r="K117" s="8"/>
      <c r="L117" s="7"/>
      <c r="M117" s="8"/>
      <c r="N117" s="7"/>
      <c r="O117" s="8"/>
      <c r="P117" s="7"/>
      <c r="Q117" s="7"/>
      <c r="R117" s="8"/>
      <c r="S117" s="7"/>
      <c r="T117" s="9"/>
      <c r="U117" s="7"/>
      <c r="V117" s="8"/>
      <c r="W117" s="7"/>
      <c r="X117" s="7"/>
      <c r="Y117" s="8"/>
      <c r="Z117" s="7"/>
      <c r="AA117" s="8"/>
    </row>
    <row r="118" spans="2:27" ht="15" thickTop="1" thickBot="1">
      <c r="B118" s="10"/>
      <c r="D118" s="65"/>
      <c r="E118" s="51" t="s">
        <v>926</v>
      </c>
      <c r="F118" s="7"/>
      <c r="G118" s="8"/>
      <c r="H118" s="7"/>
      <c r="I118" s="6"/>
      <c r="J118" s="7"/>
      <c r="K118" s="8"/>
      <c r="L118" s="7"/>
      <c r="M118" s="8"/>
      <c r="N118" s="7"/>
      <c r="O118" s="8"/>
      <c r="P118" s="7"/>
      <c r="Q118" s="7"/>
      <c r="R118" s="8"/>
      <c r="S118" s="7"/>
      <c r="T118" s="9"/>
      <c r="U118" s="7"/>
      <c r="V118" s="8"/>
      <c r="W118" s="7"/>
      <c r="X118" s="7"/>
      <c r="Y118" s="8"/>
      <c r="Z118" s="7"/>
      <c r="AA118" s="8"/>
    </row>
    <row r="119" spans="2:27" ht="15" thickTop="1" thickBot="1">
      <c r="B119" s="10"/>
      <c r="D119" s="65"/>
      <c r="E119" s="51" t="s">
        <v>629</v>
      </c>
      <c r="F119" s="7"/>
      <c r="G119" s="8"/>
      <c r="H119" s="7"/>
      <c r="I119" s="6"/>
      <c r="J119" s="7"/>
      <c r="K119" s="8"/>
      <c r="L119" s="7"/>
      <c r="M119" s="8"/>
      <c r="N119" s="7"/>
      <c r="O119" s="8"/>
      <c r="P119" s="7"/>
      <c r="Q119" s="7"/>
      <c r="R119" s="8"/>
      <c r="S119" s="7"/>
      <c r="T119" s="9"/>
      <c r="U119" s="7"/>
      <c r="V119" s="8"/>
      <c r="W119" s="7"/>
      <c r="X119" s="7"/>
      <c r="Y119" s="8"/>
      <c r="Z119" s="7"/>
      <c r="AA119" s="8"/>
    </row>
    <row r="120" spans="2:27" ht="15" thickTop="1" thickBot="1">
      <c r="B120" s="10"/>
      <c r="D120" s="65"/>
      <c r="E120" s="51" t="s">
        <v>625</v>
      </c>
      <c r="F120" s="7"/>
      <c r="G120" s="8"/>
      <c r="H120" s="7"/>
      <c r="I120" s="6"/>
      <c r="J120" s="7"/>
      <c r="K120" s="8"/>
      <c r="L120" s="7"/>
      <c r="M120" s="8"/>
      <c r="N120" s="7"/>
      <c r="O120" s="8"/>
      <c r="P120" s="7"/>
      <c r="Q120" s="7"/>
      <c r="R120" s="8"/>
      <c r="S120" s="7"/>
      <c r="T120" s="9"/>
      <c r="U120" s="7"/>
      <c r="V120" s="8"/>
      <c r="W120" s="7"/>
      <c r="X120" s="7"/>
      <c r="Y120" s="8"/>
      <c r="Z120" s="7"/>
      <c r="AA120" s="8"/>
    </row>
    <row r="121" spans="2:27" ht="15" thickTop="1" thickBot="1">
      <c r="B121" s="10"/>
      <c r="D121" s="65"/>
      <c r="E121" s="51" t="s">
        <v>621</v>
      </c>
      <c r="F121" s="7"/>
      <c r="G121" s="8"/>
      <c r="H121" s="7"/>
      <c r="I121" s="6"/>
      <c r="J121" s="7"/>
      <c r="K121" s="8"/>
      <c r="L121" s="7"/>
      <c r="M121" s="8"/>
      <c r="N121" s="7"/>
      <c r="O121" s="8"/>
      <c r="P121" s="7"/>
      <c r="Q121" s="7"/>
      <c r="R121" s="8"/>
      <c r="S121" s="7"/>
      <c r="T121" s="9"/>
      <c r="U121" s="7"/>
      <c r="V121" s="8"/>
      <c r="W121" s="7"/>
      <c r="X121" s="7"/>
      <c r="Y121" s="8"/>
      <c r="Z121" s="7"/>
      <c r="AA121" s="8"/>
    </row>
    <row r="122" spans="2:27" ht="15" thickTop="1" thickBot="1">
      <c r="B122" s="10"/>
      <c r="D122" s="65"/>
      <c r="E122" s="51" t="s">
        <v>603</v>
      </c>
      <c r="F122" s="7"/>
      <c r="G122" s="8"/>
      <c r="H122" s="7"/>
      <c r="I122" s="6"/>
      <c r="J122" s="7"/>
      <c r="K122" s="8"/>
      <c r="L122" s="7"/>
      <c r="M122" s="8"/>
      <c r="N122" s="7"/>
      <c r="O122" s="8"/>
      <c r="P122" s="7"/>
      <c r="Q122" s="7"/>
      <c r="R122" s="8"/>
      <c r="S122" s="7"/>
      <c r="T122" s="9"/>
      <c r="U122" s="7"/>
      <c r="V122" s="8"/>
      <c r="W122" s="7"/>
      <c r="X122" s="7"/>
      <c r="Y122" s="8"/>
      <c r="Z122" s="7"/>
      <c r="AA122" s="8"/>
    </row>
    <row r="123" spans="2:27" ht="15" thickTop="1" thickBot="1">
      <c r="B123" s="10"/>
      <c r="D123" s="65"/>
      <c r="E123" s="51" t="s">
        <v>930</v>
      </c>
      <c r="F123" s="7"/>
      <c r="G123" s="8"/>
      <c r="H123" s="7"/>
      <c r="I123" s="6"/>
      <c r="J123" s="7"/>
      <c r="K123" s="8"/>
      <c r="L123" s="7"/>
      <c r="M123" s="8"/>
      <c r="N123" s="7"/>
      <c r="O123" s="8"/>
      <c r="P123" s="7"/>
      <c r="Q123" s="7"/>
      <c r="R123" s="8"/>
      <c r="S123" s="7"/>
      <c r="T123" s="9"/>
      <c r="U123" s="7"/>
      <c r="V123" s="8"/>
      <c r="W123" s="7"/>
      <c r="X123" s="7"/>
      <c r="Y123" s="8"/>
      <c r="Z123" s="7"/>
      <c r="AA123" s="8"/>
    </row>
    <row r="124" spans="2:27" ht="15" thickTop="1" thickBot="1">
      <c r="B124" s="10"/>
      <c r="D124" s="65"/>
      <c r="E124" s="51" t="s">
        <v>674</v>
      </c>
      <c r="F124" s="7"/>
      <c r="G124" s="8"/>
      <c r="H124" s="7"/>
      <c r="I124" s="6"/>
      <c r="J124" s="7"/>
      <c r="K124" s="8"/>
      <c r="L124" s="7"/>
      <c r="M124" s="8"/>
      <c r="N124" s="7"/>
      <c r="O124" s="8"/>
      <c r="P124" s="7"/>
      <c r="Q124" s="7"/>
      <c r="R124" s="8"/>
      <c r="S124" s="7"/>
      <c r="T124" s="9"/>
      <c r="U124" s="7"/>
      <c r="V124" s="8"/>
      <c r="W124" s="7"/>
      <c r="X124" s="7"/>
      <c r="Y124" s="8"/>
      <c r="Z124" s="7"/>
      <c r="AA124" s="8"/>
    </row>
    <row r="125" spans="2:27" ht="15" thickTop="1" thickBot="1">
      <c r="B125" s="10"/>
      <c r="D125" s="65"/>
      <c r="E125" s="51" t="s">
        <v>680</v>
      </c>
      <c r="F125" s="7"/>
      <c r="G125" s="8"/>
      <c r="H125" s="7"/>
      <c r="I125" s="6"/>
      <c r="J125" s="7"/>
      <c r="K125" s="8"/>
      <c r="L125" s="7"/>
      <c r="M125" s="8"/>
      <c r="N125" s="7"/>
      <c r="O125" s="8"/>
      <c r="P125" s="7"/>
      <c r="Q125" s="7"/>
      <c r="R125" s="8"/>
      <c r="S125" s="7"/>
      <c r="T125" s="9"/>
      <c r="U125" s="7"/>
      <c r="V125" s="8"/>
      <c r="W125" s="7"/>
      <c r="X125" s="7"/>
      <c r="Y125" s="8"/>
      <c r="Z125" s="7"/>
      <c r="AA125" s="8"/>
    </row>
    <row r="126" spans="2:27" ht="15" thickTop="1" thickBot="1">
      <c r="B126" s="10"/>
      <c r="D126" s="65"/>
      <c r="E126" s="51" t="s">
        <v>492</v>
      </c>
      <c r="F126" s="7"/>
      <c r="G126" s="8"/>
      <c r="H126" s="7"/>
      <c r="I126" s="6"/>
      <c r="J126" s="7"/>
      <c r="K126" s="8"/>
      <c r="L126" s="7"/>
      <c r="M126" s="8"/>
      <c r="N126" s="7"/>
      <c r="O126" s="8"/>
      <c r="P126" s="7"/>
      <c r="Q126" s="7"/>
      <c r="R126" s="8"/>
      <c r="S126" s="7"/>
      <c r="T126" s="9"/>
      <c r="U126" s="7"/>
      <c r="V126" s="8"/>
      <c r="W126" s="7"/>
      <c r="X126" s="7"/>
      <c r="Y126" s="8"/>
      <c r="Z126" s="7"/>
      <c r="AA126" s="8"/>
    </row>
    <row r="127" spans="2:27" ht="15" thickTop="1" thickBot="1">
      <c r="B127" s="10"/>
      <c r="D127" s="65"/>
      <c r="E127" s="51" t="s">
        <v>516</v>
      </c>
      <c r="F127" s="7"/>
      <c r="G127" s="8"/>
      <c r="H127" s="7"/>
      <c r="I127" s="6"/>
      <c r="J127" s="7"/>
      <c r="K127" s="8"/>
      <c r="L127" s="7"/>
      <c r="M127" s="8"/>
      <c r="N127" s="7"/>
      <c r="O127" s="8"/>
      <c r="P127" s="7"/>
      <c r="Q127" s="7"/>
      <c r="R127" s="8"/>
      <c r="S127" s="7"/>
      <c r="T127" s="9"/>
      <c r="U127" s="7"/>
      <c r="V127" s="8"/>
      <c r="W127" s="7"/>
      <c r="X127" s="7"/>
      <c r="Y127" s="8"/>
      <c r="Z127" s="7"/>
      <c r="AA127" s="8"/>
    </row>
    <row r="128" spans="2:27" ht="15" thickTop="1" thickBot="1">
      <c r="B128" s="10"/>
      <c r="D128" s="65"/>
      <c r="E128" s="51" t="s">
        <v>676</v>
      </c>
      <c r="F128" s="7"/>
      <c r="G128" s="8"/>
      <c r="H128" s="7"/>
      <c r="I128" s="6"/>
      <c r="J128" s="7"/>
      <c r="K128" s="8"/>
      <c r="L128" s="7"/>
      <c r="M128" s="8"/>
      <c r="N128" s="7"/>
      <c r="O128" s="8"/>
      <c r="P128" s="7"/>
      <c r="Q128" s="7"/>
      <c r="R128" s="8"/>
      <c r="S128" s="7"/>
      <c r="T128" s="9"/>
      <c r="U128" s="7"/>
      <c r="V128" s="8"/>
      <c r="W128" s="7"/>
      <c r="X128" s="7"/>
      <c r="Y128" s="8"/>
      <c r="Z128" s="7"/>
      <c r="AA128" s="8"/>
    </row>
    <row r="129" spans="2:27" ht="15" thickTop="1" thickBot="1">
      <c r="B129" s="10"/>
      <c r="D129" s="65"/>
      <c r="E129" s="51" t="s">
        <v>564</v>
      </c>
      <c r="F129" s="7"/>
      <c r="G129" s="8"/>
      <c r="H129" s="7"/>
      <c r="I129" s="6"/>
      <c r="J129" s="7"/>
      <c r="K129" s="8"/>
      <c r="L129" s="7"/>
      <c r="M129" s="8"/>
      <c r="N129" s="7"/>
      <c r="O129" s="8"/>
      <c r="P129" s="7"/>
      <c r="Q129" s="7"/>
      <c r="R129" s="8"/>
      <c r="S129" s="7"/>
      <c r="T129" s="9"/>
      <c r="U129" s="7"/>
      <c r="V129" s="8"/>
      <c r="W129" s="7"/>
      <c r="X129" s="7"/>
      <c r="Y129" s="8"/>
      <c r="Z129" s="7"/>
      <c r="AA129" s="8"/>
    </row>
    <row r="130" spans="2:27" ht="15" thickTop="1" thickBot="1">
      <c r="B130" s="10"/>
      <c r="D130" s="65"/>
      <c r="E130" s="51" t="s">
        <v>675</v>
      </c>
      <c r="F130" s="7"/>
      <c r="G130" s="8"/>
      <c r="H130" s="7"/>
      <c r="I130" s="6"/>
      <c r="J130" s="7"/>
      <c r="K130" s="8"/>
      <c r="L130" s="7"/>
      <c r="M130" s="8"/>
      <c r="N130" s="7"/>
      <c r="O130" s="8"/>
      <c r="P130" s="7"/>
      <c r="Q130" s="7"/>
      <c r="R130" s="8"/>
      <c r="S130" s="7"/>
      <c r="T130" s="9"/>
      <c r="U130" s="7"/>
      <c r="V130" s="8"/>
      <c r="W130" s="7"/>
      <c r="X130" s="7"/>
      <c r="Y130" s="8"/>
      <c r="Z130" s="7"/>
      <c r="AA130" s="8"/>
    </row>
    <row r="131" spans="2:27" ht="15" thickTop="1" thickBot="1">
      <c r="B131" s="10"/>
      <c r="D131" s="65"/>
      <c r="E131" s="51" t="s">
        <v>323</v>
      </c>
      <c r="F131" s="7"/>
      <c r="G131" s="8"/>
      <c r="H131" s="7"/>
      <c r="I131" s="6"/>
      <c r="J131" s="7"/>
      <c r="K131" s="8"/>
      <c r="L131" s="7"/>
      <c r="M131" s="8"/>
      <c r="N131" s="7"/>
      <c r="O131" s="8"/>
      <c r="P131" s="7"/>
      <c r="Q131" s="7"/>
      <c r="R131" s="8"/>
      <c r="S131" s="7"/>
      <c r="T131" s="9"/>
      <c r="U131" s="7"/>
      <c r="V131" s="8"/>
      <c r="W131" s="7"/>
      <c r="X131" s="7"/>
      <c r="Y131" s="8"/>
      <c r="Z131" s="7"/>
      <c r="AA131" s="8"/>
    </row>
    <row r="132" spans="2:27" ht="15" thickTop="1" thickBot="1">
      <c r="B132" s="10"/>
      <c r="D132" s="65"/>
      <c r="E132" s="51" t="s">
        <v>597</v>
      </c>
      <c r="F132" s="7"/>
      <c r="G132" s="8"/>
      <c r="H132" s="7"/>
      <c r="I132" s="6"/>
      <c r="J132" s="7"/>
      <c r="K132" s="8"/>
      <c r="L132" s="7"/>
      <c r="M132" s="8"/>
      <c r="N132" s="7"/>
      <c r="O132" s="8"/>
      <c r="P132" s="7"/>
      <c r="Q132" s="7"/>
      <c r="R132" s="8"/>
      <c r="S132" s="7"/>
      <c r="T132" s="9"/>
      <c r="U132" s="7"/>
      <c r="V132" s="8"/>
      <c r="W132" s="7"/>
      <c r="X132" s="7"/>
      <c r="Y132" s="8"/>
      <c r="Z132" s="7"/>
      <c r="AA132" s="8"/>
    </row>
    <row r="133" spans="2:27" ht="15" thickTop="1" thickBot="1">
      <c r="B133" s="10"/>
      <c r="D133" s="65"/>
      <c r="E133" s="51" t="s">
        <v>934</v>
      </c>
      <c r="F133" s="7"/>
      <c r="G133" s="8"/>
      <c r="H133" s="7"/>
      <c r="I133" s="6"/>
      <c r="J133" s="7"/>
      <c r="K133" s="8"/>
      <c r="L133" s="7"/>
      <c r="M133" s="8"/>
      <c r="N133" s="7"/>
      <c r="O133" s="8"/>
      <c r="P133" s="7"/>
      <c r="Q133" s="7"/>
      <c r="R133" s="8"/>
      <c r="S133" s="7"/>
      <c r="T133" s="9"/>
      <c r="U133" s="7"/>
      <c r="V133" s="8"/>
      <c r="W133" s="7"/>
      <c r="X133" s="7"/>
      <c r="Y133" s="8"/>
      <c r="Z133" s="7"/>
      <c r="AA133" s="8"/>
    </row>
    <row r="134" spans="2:27" ht="15" thickTop="1" thickBot="1">
      <c r="B134" s="10"/>
      <c r="D134" s="65"/>
      <c r="E134" s="51" t="s">
        <v>1113</v>
      </c>
      <c r="F134" s="7"/>
      <c r="G134" s="8"/>
      <c r="H134" s="7"/>
      <c r="I134" s="6"/>
      <c r="J134" s="7"/>
      <c r="K134" s="8"/>
      <c r="L134" s="7"/>
      <c r="M134" s="8"/>
      <c r="N134" s="7"/>
      <c r="O134" s="8"/>
      <c r="P134" s="7"/>
      <c r="Q134" s="7"/>
      <c r="R134" s="8"/>
      <c r="S134" s="7"/>
      <c r="T134" s="9"/>
      <c r="U134" s="7"/>
      <c r="V134" s="8"/>
      <c r="W134" s="7"/>
      <c r="X134" s="7"/>
      <c r="Y134" s="8"/>
      <c r="Z134" s="7"/>
      <c r="AA134" s="8"/>
    </row>
    <row r="135" spans="2:27" ht="15" thickTop="1" thickBot="1">
      <c r="B135" s="10"/>
      <c r="D135" s="65"/>
      <c r="E135" s="51" t="s">
        <v>1115</v>
      </c>
      <c r="F135" s="7"/>
      <c r="G135" s="8"/>
      <c r="H135" s="7"/>
      <c r="I135" s="6"/>
      <c r="J135" s="7"/>
      <c r="K135" s="8"/>
      <c r="L135" s="7"/>
      <c r="M135" s="8"/>
      <c r="N135" s="7"/>
      <c r="O135" s="8"/>
      <c r="P135" s="7"/>
      <c r="Q135" s="7"/>
      <c r="R135" s="8"/>
      <c r="S135" s="7"/>
      <c r="T135" s="9"/>
      <c r="U135" s="7"/>
      <c r="V135" s="8"/>
      <c r="W135" s="7"/>
      <c r="X135" s="7"/>
      <c r="Y135" s="8"/>
      <c r="Z135" s="7"/>
      <c r="AA135" s="8"/>
    </row>
    <row r="136" spans="2:27" ht="15" thickTop="1" thickBot="1">
      <c r="B136" s="10"/>
      <c r="D136" s="65"/>
      <c r="E136" s="51" t="s">
        <v>1114</v>
      </c>
      <c r="F136" s="7"/>
      <c r="G136" s="8"/>
      <c r="H136" s="7"/>
      <c r="I136" s="6"/>
      <c r="J136" s="7"/>
      <c r="K136" s="8"/>
      <c r="L136" s="7"/>
      <c r="M136" s="8"/>
      <c r="N136" s="7"/>
      <c r="O136" s="8"/>
      <c r="P136" s="7"/>
      <c r="Q136" s="7"/>
      <c r="R136" s="8"/>
      <c r="S136" s="7"/>
      <c r="T136" s="9"/>
      <c r="U136" s="7"/>
      <c r="V136" s="8"/>
      <c r="W136" s="7"/>
      <c r="X136" s="7"/>
      <c r="Y136" s="8"/>
      <c r="Z136" s="7"/>
      <c r="AA136" s="8"/>
    </row>
    <row r="137" spans="2:27" ht="15" thickTop="1" thickBot="1">
      <c r="B137" s="10"/>
      <c r="D137" s="65"/>
      <c r="E137" s="51" t="s">
        <v>1280</v>
      </c>
      <c r="F137" s="7"/>
      <c r="G137" s="8"/>
      <c r="H137" s="7"/>
      <c r="I137" s="6"/>
      <c r="J137" s="7"/>
      <c r="K137" s="8"/>
      <c r="L137" s="7"/>
      <c r="M137" s="8"/>
      <c r="N137" s="7"/>
      <c r="O137" s="8"/>
      <c r="P137" s="7"/>
      <c r="Q137" s="7"/>
      <c r="R137" s="8"/>
      <c r="S137" s="7"/>
      <c r="T137" s="9"/>
      <c r="U137" s="7"/>
      <c r="V137" s="8"/>
      <c r="W137" s="7"/>
      <c r="X137" s="7"/>
      <c r="Y137" s="8"/>
      <c r="Z137" s="7"/>
      <c r="AA137" s="8"/>
    </row>
    <row r="138" spans="2:27" ht="15" thickTop="1" thickBot="1">
      <c r="B138" s="10"/>
      <c r="D138" s="65"/>
      <c r="E138" s="51" t="s">
        <v>331</v>
      </c>
      <c r="F138" s="7"/>
      <c r="G138" s="8"/>
      <c r="H138" s="7"/>
      <c r="I138" s="6"/>
      <c r="J138" s="7"/>
      <c r="K138" s="8"/>
      <c r="L138" s="7"/>
      <c r="M138" s="8"/>
      <c r="N138" s="7"/>
      <c r="O138" s="8"/>
      <c r="P138" s="7"/>
      <c r="Q138" s="7"/>
      <c r="R138" s="8"/>
      <c r="S138" s="7"/>
      <c r="T138" s="9"/>
      <c r="U138" s="7"/>
      <c r="V138" s="8"/>
      <c r="W138" s="7"/>
      <c r="X138" s="7"/>
      <c r="Y138" s="8"/>
      <c r="Z138" s="7"/>
      <c r="AA138" s="8"/>
    </row>
    <row r="139" spans="2:27" ht="15" thickTop="1" thickBot="1">
      <c r="B139" s="10"/>
      <c r="D139" s="65"/>
      <c r="E139" s="51" t="s">
        <v>332</v>
      </c>
      <c r="F139" s="7"/>
      <c r="G139" s="8"/>
      <c r="H139" s="7"/>
      <c r="I139" s="6"/>
      <c r="J139" s="7"/>
      <c r="K139" s="8"/>
      <c r="L139" s="7"/>
      <c r="M139" s="8"/>
      <c r="N139" s="7"/>
      <c r="O139" s="8"/>
      <c r="P139" s="7"/>
      <c r="Q139" s="7"/>
      <c r="R139" s="8"/>
      <c r="S139" s="7"/>
      <c r="T139" s="9"/>
      <c r="U139" s="7"/>
      <c r="V139" s="8"/>
      <c r="W139" s="7"/>
      <c r="X139" s="7"/>
      <c r="Y139" s="8"/>
      <c r="Z139" s="7"/>
      <c r="AA139" s="8"/>
    </row>
    <row r="140" spans="2:27" ht="15" thickTop="1" thickBot="1">
      <c r="B140" s="10"/>
      <c r="D140" s="65"/>
      <c r="E140" s="51" t="s">
        <v>517</v>
      </c>
      <c r="F140" s="7"/>
      <c r="G140" s="8"/>
      <c r="H140" s="7"/>
      <c r="I140" s="6"/>
      <c r="J140" s="7"/>
      <c r="K140" s="8"/>
      <c r="L140" s="7"/>
      <c r="M140" s="8"/>
      <c r="N140" s="7"/>
      <c r="O140" s="8"/>
      <c r="P140" s="7"/>
      <c r="Q140" s="7"/>
      <c r="R140" s="8"/>
      <c r="S140" s="7"/>
      <c r="T140" s="9"/>
      <c r="U140" s="7"/>
      <c r="V140" s="8"/>
      <c r="W140" s="7"/>
      <c r="X140" s="7"/>
      <c r="Y140" s="8"/>
      <c r="Z140" s="7"/>
      <c r="AA140" s="8"/>
    </row>
    <row r="141" spans="2:27" ht="15" thickTop="1" thickBot="1">
      <c r="B141" s="10"/>
      <c r="D141" s="65"/>
      <c r="E141" s="51" t="s">
        <v>594</v>
      </c>
      <c r="F141" s="7"/>
      <c r="G141" s="8"/>
      <c r="H141" s="7"/>
      <c r="I141" s="6"/>
      <c r="J141" s="7"/>
      <c r="K141" s="8"/>
      <c r="L141" s="7"/>
      <c r="M141" s="8"/>
      <c r="N141" s="7"/>
      <c r="O141" s="8"/>
      <c r="P141" s="7"/>
      <c r="Q141" s="7"/>
      <c r="R141" s="8"/>
      <c r="S141" s="7"/>
      <c r="T141" s="9"/>
      <c r="U141" s="7"/>
      <c r="V141" s="8"/>
      <c r="W141" s="7"/>
      <c r="X141" s="7"/>
      <c r="Y141" s="8"/>
      <c r="Z141" s="7"/>
      <c r="AA141" s="8"/>
    </row>
    <row r="142" spans="2:27" ht="15" thickTop="1" thickBot="1">
      <c r="B142" s="10"/>
      <c r="D142" s="65"/>
      <c r="E142" s="51" t="s">
        <v>335</v>
      </c>
      <c r="F142" s="7"/>
      <c r="G142" s="8"/>
      <c r="H142" s="7"/>
      <c r="I142" s="6"/>
      <c r="J142" s="7"/>
      <c r="K142" s="8"/>
      <c r="L142" s="7"/>
      <c r="M142" s="8"/>
      <c r="N142" s="7"/>
      <c r="O142" s="8"/>
      <c r="P142" s="7"/>
      <c r="Q142" s="7"/>
      <c r="R142" s="8"/>
      <c r="S142" s="7"/>
      <c r="T142" s="9"/>
      <c r="U142" s="7"/>
      <c r="V142" s="8"/>
      <c r="W142" s="7"/>
      <c r="X142" s="7"/>
      <c r="Y142" s="8"/>
      <c r="Z142" s="7"/>
      <c r="AA142" s="8"/>
    </row>
    <row r="143" spans="2:27" ht="15" thickTop="1" thickBot="1">
      <c r="B143" s="10"/>
      <c r="D143" s="65"/>
      <c r="E143" s="51" t="s">
        <v>599</v>
      </c>
      <c r="F143" s="7"/>
      <c r="G143" s="8"/>
      <c r="H143" s="7"/>
      <c r="I143" s="6"/>
      <c r="J143" s="7"/>
      <c r="K143" s="8"/>
      <c r="L143" s="7"/>
      <c r="M143" s="8"/>
      <c r="N143" s="7"/>
      <c r="O143" s="8"/>
      <c r="P143" s="7"/>
      <c r="Q143" s="7"/>
      <c r="R143" s="8"/>
      <c r="S143" s="7"/>
      <c r="T143" s="9"/>
      <c r="U143" s="7"/>
      <c r="V143" s="8"/>
      <c r="W143" s="7"/>
      <c r="X143" s="7"/>
      <c r="Y143" s="8"/>
      <c r="Z143" s="7"/>
      <c r="AA143" s="8"/>
    </row>
    <row r="144" spans="2:27" ht="15" thickTop="1" thickBot="1">
      <c r="B144" s="10"/>
      <c r="D144" s="65"/>
      <c r="E144" s="51" t="s">
        <v>294</v>
      </c>
      <c r="F144" s="7"/>
      <c r="G144" s="8"/>
      <c r="H144" s="7"/>
      <c r="I144" s="6"/>
      <c r="J144" s="7"/>
      <c r="K144" s="8"/>
      <c r="L144" s="7"/>
      <c r="M144" s="8"/>
      <c r="N144" s="7"/>
      <c r="O144" s="8"/>
      <c r="P144" s="7"/>
      <c r="Q144" s="7"/>
      <c r="R144" s="8"/>
      <c r="S144" s="7"/>
      <c r="T144" s="9"/>
      <c r="U144" s="7"/>
      <c r="V144" s="8"/>
      <c r="W144" s="7"/>
      <c r="X144" s="7"/>
      <c r="Y144" s="8"/>
      <c r="Z144" s="7"/>
      <c r="AA144" s="8"/>
    </row>
    <row r="145" spans="2:27" ht="15" thickTop="1" thickBot="1">
      <c r="B145" s="10"/>
      <c r="D145" s="65"/>
      <c r="E145" s="51" t="s">
        <v>340</v>
      </c>
      <c r="F145" s="7"/>
      <c r="G145" s="8"/>
      <c r="H145" s="7"/>
      <c r="I145" s="6"/>
      <c r="J145" s="7"/>
      <c r="K145" s="8"/>
      <c r="L145" s="7"/>
      <c r="M145" s="8"/>
      <c r="N145" s="7"/>
      <c r="O145" s="8"/>
      <c r="P145" s="7"/>
      <c r="Q145" s="7"/>
      <c r="R145" s="8"/>
      <c r="S145" s="7"/>
      <c r="T145" s="9"/>
      <c r="U145" s="7"/>
      <c r="V145" s="8"/>
      <c r="W145" s="7"/>
      <c r="X145" s="7"/>
      <c r="Y145" s="8"/>
      <c r="Z145" s="7"/>
      <c r="AA145" s="8"/>
    </row>
    <row r="146" spans="2:27" ht="15" thickTop="1" thickBot="1">
      <c r="B146" s="10"/>
      <c r="D146" s="65"/>
      <c r="E146" s="51" t="s">
        <v>342</v>
      </c>
      <c r="F146" s="7"/>
      <c r="G146" s="8"/>
      <c r="H146" s="7"/>
      <c r="I146" s="6"/>
      <c r="J146" s="7"/>
      <c r="K146" s="8"/>
      <c r="L146" s="7"/>
      <c r="M146" s="8"/>
      <c r="N146" s="7"/>
      <c r="O146" s="8"/>
      <c r="P146" s="7"/>
      <c r="Q146" s="7"/>
      <c r="R146" s="8"/>
      <c r="S146" s="7"/>
      <c r="T146" s="9"/>
      <c r="U146" s="7"/>
      <c r="V146" s="8"/>
      <c r="W146" s="7"/>
      <c r="X146" s="7"/>
      <c r="Y146" s="8"/>
      <c r="Z146" s="7"/>
      <c r="AA146" s="8"/>
    </row>
    <row r="147" spans="2:27" ht="15" thickTop="1" thickBot="1">
      <c r="B147" s="10"/>
      <c r="D147" s="65"/>
      <c r="E147" s="51" t="s">
        <v>671</v>
      </c>
      <c r="F147" s="7"/>
      <c r="G147" s="8"/>
      <c r="H147" s="7"/>
      <c r="I147" s="6"/>
      <c r="J147" s="7"/>
      <c r="K147" s="8"/>
      <c r="L147" s="7"/>
      <c r="M147" s="8"/>
      <c r="N147" s="7"/>
      <c r="O147" s="8"/>
      <c r="P147" s="7"/>
      <c r="Q147" s="7"/>
      <c r="R147" s="8"/>
      <c r="S147" s="7"/>
      <c r="T147" s="9"/>
      <c r="U147" s="7"/>
      <c r="V147" s="8"/>
      <c r="W147" s="7"/>
      <c r="X147" s="7"/>
      <c r="Y147" s="8"/>
      <c r="Z147" s="7"/>
      <c r="AA147" s="8"/>
    </row>
    <row r="148" spans="2:27" ht="15" thickTop="1" thickBot="1">
      <c r="B148" s="10"/>
      <c r="D148" s="65"/>
      <c r="E148" s="51" t="s">
        <v>562</v>
      </c>
      <c r="F148" s="7"/>
      <c r="G148" s="8"/>
      <c r="H148" s="7"/>
      <c r="I148" s="6"/>
      <c r="J148" s="7"/>
      <c r="K148" s="8"/>
      <c r="L148" s="7"/>
      <c r="M148" s="8"/>
      <c r="N148" s="7"/>
      <c r="O148" s="8"/>
      <c r="P148" s="7"/>
      <c r="Q148" s="7"/>
      <c r="R148" s="8"/>
      <c r="S148" s="7"/>
      <c r="T148" s="9"/>
      <c r="U148" s="7"/>
      <c r="V148" s="8"/>
      <c r="W148" s="7"/>
      <c r="X148" s="7"/>
      <c r="Y148" s="8"/>
      <c r="Z148" s="7"/>
      <c r="AA148" s="8"/>
    </row>
    <row r="149" spans="2:27" ht="15" thickTop="1" thickBot="1">
      <c r="B149" s="10"/>
      <c r="D149" s="65"/>
      <c r="E149" s="51" t="s">
        <v>344</v>
      </c>
      <c r="F149" s="7"/>
      <c r="G149" s="8"/>
      <c r="H149" s="7"/>
      <c r="I149" s="6"/>
      <c r="J149" s="7"/>
      <c r="K149" s="8"/>
      <c r="L149" s="7"/>
      <c r="M149" s="8"/>
      <c r="N149" s="7"/>
      <c r="O149" s="8"/>
      <c r="P149" s="7"/>
      <c r="Q149" s="7"/>
      <c r="R149" s="8"/>
      <c r="S149" s="7"/>
      <c r="T149" s="9"/>
      <c r="U149" s="7"/>
      <c r="V149" s="8"/>
      <c r="W149" s="7"/>
      <c r="X149" s="7"/>
      <c r="Y149" s="8"/>
      <c r="Z149" s="7"/>
      <c r="AA149" s="8"/>
    </row>
    <row r="150" spans="2:27" ht="15" thickTop="1" thickBot="1">
      <c r="B150" s="10"/>
      <c r="D150" s="65"/>
      <c r="E150" s="51" t="s">
        <v>590</v>
      </c>
      <c r="F150" s="7"/>
      <c r="G150" s="8"/>
      <c r="H150" s="7"/>
      <c r="I150" s="6"/>
      <c r="J150" s="7"/>
      <c r="K150" s="8"/>
      <c r="L150" s="7"/>
      <c r="M150" s="8"/>
      <c r="N150" s="7"/>
      <c r="O150" s="8"/>
      <c r="P150" s="7"/>
      <c r="Q150" s="7"/>
      <c r="R150" s="8"/>
      <c r="S150" s="7"/>
      <c r="T150" s="9"/>
      <c r="U150" s="7"/>
      <c r="V150" s="8"/>
      <c r="W150" s="7"/>
      <c r="X150" s="7"/>
      <c r="Y150" s="8"/>
      <c r="Z150" s="7"/>
      <c r="AA150" s="8"/>
    </row>
    <row r="151" spans="2:27" ht="15" thickTop="1" thickBot="1">
      <c r="B151" s="10"/>
      <c r="D151" s="65"/>
      <c r="E151" s="51" t="s">
        <v>937</v>
      </c>
      <c r="F151" s="7"/>
      <c r="G151" s="8"/>
      <c r="H151" s="7"/>
      <c r="I151" s="6"/>
      <c r="J151" s="7"/>
      <c r="K151" s="8"/>
      <c r="L151" s="7"/>
      <c r="M151" s="8"/>
      <c r="N151" s="7"/>
      <c r="O151" s="8"/>
      <c r="P151" s="7"/>
      <c r="Q151" s="7"/>
      <c r="R151" s="8"/>
      <c r="S151" s="7"/>
      <c r="T151" s="9"/>
      <c r="U151" s="7"/>
      <c r="V151" s="8"/>
      <c r="W151" s="7"/>
      <c r="X151" s="7"/>
      <c r="Y151" s="8"/>
      <c r="Z151" s="7"/>
      <c r="AA151" s="8"/>
    </row>
    <row r="152" spans="2:27" ht="15" thickTop="1" thickBot="1">
      <c r="B152" s="10"/>
      <c r="D152" s="65"/>
      <c r="E152" s="51" t="s">
        <v>953</v>
      </c>
      <c r="F152" s="7"/>
      <c r="G152" s="8"/>
      <c r="H152" s="7"/>
      <c r="I152" s="6"/>
      <c r="J152" s="7"/>
      <c r="K152" s="8"/>
      <c r="L152" s="7"/>
      <c r="M152" s="8"/>
      <c r="N152" s="7"/>
      <c r="O152" s="8"/>
      <c r="P152" s="7"/>
      <c r="Q152" s="7"/>
      <c r="R152" s="8"/>
      <c r="S152" s="7"/>
      <c r="T152" s="9"/>
      <c r="U152" s="7"/>
      <c r="V152" s="8"/>
      <c r="W152" s="7"/>
      <c r="X152" s="7"/>
      <c r="Y152" s="8"/>
      <c r="Z152" s="7"/>
      <c r="AA152" s="8"/>
    </row>
    <row r="153" spans="2:27" ht="15" thickTop="1" thickBot="1">
      <c r="B153" s="10"/>
      <c r="D153" s="65"/>
      <c r="E153" s="51" t="s">
        <v>954</v>
      </c>
      <c r="F153" s="7"/>
      <c r="G153" s="8"/>
      <c r="H153" s="7"/>
      <c r="I153" s="6"/>
      <c r="J153" s="7"/>
      <c r="K153" s="8"/>
      <c r="L153" s="7"/>
      <c r="M153" s="8"/>
      <c r="N153" s="7"/>
      <c r="O153" s="8"/>
      <c r="P153" s="7"/>
      <c r="Q153" s="7"/>
      <c r="R153" s="8"/>
      <c r="S153" s="7"/>
      <c r="T153" s="9"/>
      <c r="U153" s="7"/>
      <c r="V153" s="8"/>
      <c r="W153" s="7"/>
      <c r="X153" s="7"/>
      <c r="Y153" s="8"/>
      <c r="Z153" s="7"/>
      <c r="AA153" s="8"/>
    </row>
    <row r="154" spans="2:27" ht="15" thickTop="1" thickBot="1">
      <c r="B154" s="10"/>
      <c r="D154" s="65"/>
      <c r="E154" s="51" t="s">
        <v>955</v>
      </c>
      <c r="F154" s="7"/>
      <c r="G154" s="8"/>
      <c r="H154" s="7"/>
      <c r="I154" s="6"/>
      <c r="J154" s="7"/>
      <c r="K154" s="8"/>
      <c r="L154" s="7"/>
      <c r="M154" s="8"/>
      <c r="N154" s="7"/>
      <c r="O154" s="8"/>
      <c r="P154" s="7"/>
      <c r="Q154" s="7"/>
      <c r="R154" s="8"/>
      <c r="S154" s="7"/>
      <c r="T154" s="9"/>
      <c r="U154" s="7"/>
      <c r="V154" s="8"/>
      <c r="W154" s="7"/>
      <c r="X154" s="7"/>
      <c r="Y154" s="8"/>
      <c r="Z154" s="7"/>
      <c r="AA154" s="8"/>
    </row>
    <row r="155" spans="2:27" ht="15" thickTop="1" thickBot="1">
      <c r="B155" s="10"/>
      <c r="D155" s="65"/>
      <c r="E155" s="51" t="s">
        <v>345</v>
      </c>
      <c r="F155" s="7"/>
      <c r="G155" s="8"/>
      <c r="H155" s="7"/>
      <c r="I155" s="6"/>
      <c r="J155" s="7"/>
      <c r="K155" s="8"/>
      <c r="L155" s="7"/>
      <c r="M155" s="8"/>
      <c r="N155" s="7"/>
      <c r="O155" s="8"/>
      <c r="P155" s="7"/>
      <c r="Q155" s="7"/>
      <c r="R155" s="8"/>
      <c r="S155" s="7"/>
      <c r="T155" s="9"/>
      <c r="U155" s="7"/>
      <c r="V155" s="8"/>
      <c r="W155" s="7"/>
      <c r="X155" s="7"/>
      <c r="Y155" s="8"/>
      <c r="Z155" s="7"/>
      <c r="AA155" s="8"/>
    </row>
    <row r="156" spans="2:27" ht="15" thickTop="1" thickBot="1">
      <c r="B156" s="10"/>
      <c r="D156" s="65"/>
      <c r="E156" s="51" t="s">
        <v>347</v>
      </c>
      <c r="F156" s="7"/>
      <c r="G156" s="8"/>
      <c r="H156" s="7"/>
      <c r="I156" s="6"/>
      <c r="J156" s="7"/>
      <c r="K156" s="8"/>
      <c r="L156" s="7"/>
      <c r="M156" s="8"/>
      <c r="N156" s="7"/>
      <c r="O156" s="8"/>
      <c r="P156" s="7"/>
      <c r="Q156" s="7"/>
      <c r="R156" s="8"/>
      <c r="S156" s="7"/>
      <c r="T156" s="9"/>
      <c r="U156" s="7"/>
      <c r="V156" s="8"/>
      <c r="W156" s="7"/>
      <c r="X156" s="7"/>
      <c r="Y156" s="8"/>
      <c r="Z156" s="7"/>
      <c r="AA156" s="8"/>
    </row>
    <row r="157" spans="2:27" ht="15" thickTop="1" thickBot="1">
      <c r="B157" s="10"/>
      <c r="D157" s="65"/>
      <c r="E157" s="51" t="s">
        <v>351</v>
      </c>
      <c r="F157" s="7"/>
      <c r="G157" s="8"/>
      <c r="H157" s="7"/>
      <c r="I157" s="6"/>
      <c r="J157" s="7"/>
      <c r="K157" s="8"/>
      <c r="L157" s="7"/>
      <c r="M157" s="8"/>
      <c r="N157" s="7"/>
      <c r="O157" s="8"/>
      <c r="P157" s="7"/>
      <c r="Q157" s="7"/>
      <c r="R157" s="8"/>
      <c r="S157" s="7"/>
      <c r="T157" s="9"/>
      <c r="U157" s="7"/>
      <c r="V157" s="8"/>
      <c r="W157" s="7"/>
      <c r="X157" s="7"/>
      <c r="Y157" s="8"/>
      <c r="Z157" s="7"/>
      <c r="AA157" s="8"/>
    </row>
    <row r="158" spans="2:27" ht="15" thickTop="1" thickBot="1">
      <c r="B158" s="10"/>
      <c r="D158" s="65"/>
      <c r="E158" s="51" t="s">
        <v>1146</v>
      </c>
      <c r="F158" s="7"/>
      <c r="G158" s="8"/>
      <c r="H158" s="7"/>
      <c r="I158" s="6"/>
      <c r="J158" s="7"/>
      <c r="K158" s="8"/>
      <c r="L158" s="7"/>
      <c r="M158" s="8"/>
      <c r="N158" s="7"/>
      <c r="O158" s="8"/>
      <c r="P158" s="7"/>
      <c r="Q158" s="7"/>
      <c r="R158" s="8"/>
      <c r="S158" s="7"/>
      <c r="T158" s="9"/>
      <c r="U158" s="7"/>
      <c r="V158" s="8"/>
      <c r="W158" s="7"/>
      <c r="X158" s="7"/>
      <c r="Y158" s="8"/>
      <c r="Z158" s="7"/>
      <c r="AA158" s="8"/>
    </row>
    <row r="159" spans="2:27" ht="15" thickTop="1" thickBot="1">
      <c r="B159" s="10"/>
      <c r="D159" s="65"/>
      <c r="E159" s="51" t="s">
        <v>682</v>
      </c>
      <c r="F159" s="7"/>
      <c r="G159" s="8"/>
      <c r="H159" s="7"/>
      <c r="I159" s="6"/>
      <c r="J159" s="7"/>
      <c r="K159" s="8"/>
      <c r="L159" s="7"/>
      <c r="M159" s="8"/>
      <c r="N159" s="7"/>
      <c r="O159" s="8"/>
      <c r="P159" s="7"/>
      <c r="Q159" s="7"/>
      <c r="R159" s="8"/>
      <c r="S159" s="7"/>
      <c r="T159" s="9"/>
      <c r="U159" s="7"/>
      <c r="V159" s="8"/>
      <c r="W159" s="7"/>
      <c r="X159" s="7"/>
      <c r="Y159" s="8"/>
      <c r="Z159" s="7"/>
      <c r="AA159" s="8"/>
    </row>
    <row r="160" spans="2:27" ht="15" thickTop="1" thickBot="1">
      <c r="B160" s="10"/>
      <c r="D160" s="65"/>
      <c r="E160" s="51" t="s">
        <v>933</v>
      </c>
      <c r="F160" s="7"/>
      <c r="G160" s="8"/>
      <c r="H160" s="7"/>
      <c r="I160" s="6"/>
      <c r="J160" s="7"/>
      <c r="K160" s="8"/>
      <c r="L160" s="7"/>
      <c r="M160" s="8"/>
      <c r="N160" s="7"/>
      <c r="O160" s="8"/>
      <c r="P160" s="7"/>
      <c r="Q160" s="7"/>
      <c r="R160" s="8"/>
      <c r="S160" s="7"/>
      <c r="T160" s="9"/>
      <c r="U160" s="7"/>
      <c r="V160" s="8"/>
      <c r="W160" s="7"/>
      <c r="X160" s="7"/>
      <c r="Y160" s="8"/>
      <c r="Z160" s="7"/>
      <c r="AA160" s="8"/>
    </row>
    <row r="161" spans="2:27" ht="15" thickTop="1" thickBot="1">
      <c r="B161" s="10"/>
      <c r="D161" s="65"/>
      <c r="E161" s="51" t="s">
        <v>938</v>
      </c>
      <c r="F161" s="7"/>
      <c r="G161" s="8"/>
      <c r="H161" s="7"/>
      <c r="I161" s="6"/>
      <c r="J161" s="7"/>
      <c r="K161" s="8"/>
      <c r="L161" s="7"/>
      <c r="M161" s="8"/>
      <c r="N161" s="7"/>
      <c r="O161" s="8"/>
      <c r="P161" s="7"/>
      <c r="Q161" s="7"/>
      <c r="R161" s="8"/>
      <c r="S161" s="7"/>
      <c r="T161" s="9"/>
      <c r="U161" s="7"/>
      <c r="V161" s="8"/>
      <c r="W161" s="7"/>
      <c r="X161" s="7"/>
      <c r="Y161" s="8"/>
      <c r="Z161" s="7"/>
      <c r="AA161" s="8"/>
    </row>
    <row r="162" spans="2:27" ht="15" thickTop="1" thickBot="1">
      <c r="D162" s="65"/>
      <c r="E162" s="51" t="s">
        <v>352</v>
      </c>
      <c r="F162" s="7"/>
      <c r="G162" s="8"/>
      <c r="H162" s="7"/>
      <c r="I162" s="6"/>
      <c r="J162" s="7"/>
      <c r="K162" s="8"/>
      <c r="L162" s="7"/>
      <c r="M162" s="8"/>
      <c r="N162" s="7"/>
      <c r="O162" s="8"/>
      <c r="P162" s="7"/>
      <c r="Q162" s="7"/>
      <c r="R162" s="8"/>
      <c r="S162" s="7"/>
      <c r="T162" s="9"/>
      <c r="U162" s="7"/>
      <c r="V162" s="8"/>
      <c r="W162" s="7"/>
      <c r="X162" s="7"/>
      <c r="Y162" s="8"/>
      <c r="Z162" s="7"/>
      <c r="AA162" s="8"/>
    </row>
    <row r="163" spans="2:27" ht="15" thickTop="1" thickBot="1">
      <c r="D163" s="65"/>
      <c r="E163" s="51" t="s">
        <v>353</v>
      </c>
      <c r="F163" s="7"/>
      <c r="G163" s="8"/>
      <c r="H163" s="7"/>
      <c r="I163" s="6"/>
      <c r="J163" s="7"/>
      <c r="K163" s="8"/>
      <c r="L163" s="7"/>
      <c r="M163" s="8"/>
      <c r="N163" s="7"/>
      <c r="O163" s="8"/>
      <c r="P163" s="7"/>
      <c r="Q163" s="7"/>
      <c r="R163" s="8"/>
      <c r="S163" s="7"/>
      <c r="T163" s="9"/>
      <c r="U163" s="7"/>
      <c r="V163" s="8"/>
      <c r="W163" s="7"/>
      <c r="X163" s="7"/>
      <c r="Y163" s="8"/>
      <c r="Z163" s="7"/>
      <c r="AA163" s="8"/>
    </row>
    <row r="164" spans="2:27" ht="15" thickTop="1" thickBot="1">
      <c r="D164" s="65"/>
      <c r="E164" s="51" t="s">
        <v>563</v>
      </c>
      <c r="F164" s="7"/>
      <c r="G164" s="8"/>
      <c r="H164" s="7"/>
      <c r="I164" s="6"/>
      <c r="J164" s="7"/>
      <c r="K164" s="8"/>
      <c r="L164" s="7"/>
      <c r="M164" s="8"/>
      <c r="N164" s="7"/>
      <c r="O164" s="8"/>
      <c r="P164" s="7"/>
      <c r="Q164" s="7"/>
      <c r="R164" s="8"/>
      <c r="S164" s="7"/>
      <c r="T164" s="9"/>
      <c r="U164" s="7"/>
      <c r="V164" s="8"/>
      <c r="W164" s="7"/>
      <c r="X164" s="7"/>
      <c r="Y164" s="8"/>
      <c r="Z164" s="7"/>
      <c r="AA164" s="8"/>
    </row>
    <row r="165" spans="2:27" ht="15" thickTop="1" thickBot="1">
      <c r="D165" s="65"/>
      <c r="E165" s="51" t="s">
        <v>921</v>
      </c>
      <c r="F165" s="7"/>
      <c r="G165" s="8"/>
      <c r="H165" s="7"/>
      <c r="I165" s="6"/>
      <c r="J165" s="7"/>
      <c r="K165" s="8"/>
      <c r="L165" s="7"/>
      <c r="M165" s="8"/>
      <c r="N165" s="7"/>
      <c r="O165" s="8"/>
      <c r="P165" s="7"/>
      <c r="Q165" s="7"/>
      <c r="R165" s="8"/>
      <c r="S165" s="7"/>
      <c r="T165" s="9"/>
      <c r="U165" s="7"/>
      <c r="V165" s="8"/>
      <c r="W165" s="7"/>
      <c r="X165" s="7"/>
      <c r="Y165" s="8"/>
      <c r="Z165" s="7"/>
      <c r="AA165" s="8"/>
    </row>
    <row r="166" spans="2:27" ht="15" thickTop="1" thickBot="1">
      <c r="D166" s="65"/>
      <c r="E166" s="51" t="s">
        <v>908</v>
      </c>
      <c r="F166" s="7"/>
      <c r="G166" s="8"/>
      <c r="H166" s="7"/>
      <c r="I166" s="6"/>
      <c r="J166" s="7"/>
      <c r="K166" s="8"/>
      <c r="L166" s="7"/>
      <c r="M166" s="8"/>
      <c r="N166" s="7"/>
      <c r="O166" s="8"/>
      <c r="P166" s="7"/>
      <c r="Q166" s="7"/>
      <c r="R166" s="8"/>
      <c r="S166" s="7"/>
      <c r="T166" s="9"/>
      <c r="U166" s="7"/>
      <c r="V166" s="8"/>
      <c r="W166" s="7"/>
      <c r="X166" s="7"/>
      <c r="Y166" s="8"/>
      <c r="Z166" s="7"/>
      <c r="AA166" s="8"/>
    </row>
    <row r="167" spans="2:27" ht="15" thickTop="1" thickBot="1">
      <c r="D167" s="65"/>
      <c r="E167" s="51" t="s">
        <v>812</v>
      </c>
      <c r="F167" s="7"/>
      <c r="G167" s="8"/>
      <c r="H167" s="7"/>
      <c r="I167" s="6"/>
      <c r="J167" s="7"/>
      <c r="K167" s="8"/>
      <c r="L167" s="7"/>
      <c r="M167" s="8"/>
      <c r="N167" s="7"/>
      <c r="O167" s="8"/>
      <c r="P167" s="7"/>
      <c r="Q167" s="7"/>
      <c r="R167" s="8"/>
      <c r="S167" s="7"/>
      <c r="T167" s="9"/>
      <c r="U167" s="7"/>
      <c r="V167" s="8"/>
      <c r="W167" s="7"/>
      <c r="X167" s="7"/>
      <c r="Y167" s="8"/>
      <c r="Z167" s="7"/>
      <c r="AA167" s="8"/>
    </row>
    <row r="168" spans="2:27" ht="15" thickTop="1" thickBot="1">
      <c r="D168" s="65"/>
      <c r="E168" s="51" t="s">
        <v>813</v>
      </c>
      <c r="F168" s="7"/>
      <c r="G168" s="8"/>
      <c r="H168" s="7"/>
      <c r="I168" s="6"/>
      <c r="J168" s="7"/>
      <c r="K168" s="8"/>
      <c r="L168" s="7"/>
      <c r="M168" s="8"/>
      <c r="N168" s="7"/>
      <c r="O168" s="8"/>
      <c r="P168" s="7"/>
      <c r="Q168" s="7"/>
      <c r="R168" s="8"/>
      <c r="S168" s="7"/>
      <c r="T168" s="9"/>
      <c r="U168" s="7"/>
      <c r="V168" s="8"/>
      <c r="W168" s="7"/>
      <c r="X168" s="7"/>
      <c r="Y168" s="8"/>
      <c r="Z168" s="7"/>
      <c r="AA168" s="8"/>
    </row>
    <row r="169" spans="2:27" ht="15" thickTop="1" thickBot="1">
      <c r="D169" s="65"/>
      <c r="E169" s="51" t="s">
        <v>815</v>
      </c>
      <c r="F169" s="7"/>
      <c r="G169" s="8"/>
      <c r="H169" s="7"/>
      <c r="I169" s="6"/>
      <c r="J169" s="7"/>
      <c r="K169" s="8"/>
      <c r="L169" s="7"/>
      <c r="M169" s="8"/>
      <c r="N169" s="7"/>
      <c r="O169" s="8"/>
      <c r="P169" s="7"/>
      <c r="Q169" s="7"/>
      <c r="R169" s="8"/>
      <c r="S169" s="7"/>
      <c r="T169" s="9"/>
      <c r="U169" s="7"/>
      <c r="V169" s="8"/>
      <c r="W169" s="7"/>
      <c r="X169" s="7"/>
      <c r="Y169" s="8"/>
      <c r="Z169" s="7"/>
      <c r="AA169" s="8"/>
    </row>
    <row r="170" spans="2:27" ht="15" thickTop="1" thickBot="1">
      <c r="D170" s="65"/>
      <c r="E170" s="51" t="s">
        <v>830</v>
      </c>
      <c r="F170" s="7"/>
      <c r="G170" s="8"/>
      <c r="H170" s="7"/>
      <c r="I170" s="6"/>
      <c r="J170" s="7"/>
      <c r="K170" s="8"/>
      <c r="L170" s="7"/>
      <c r="M170" s="8"/>
      <c r="N170" s="7"/>
      <c r="O170" s="8"/>
      <c r="P170" s="7"/>
      <c r="Q170" s="7"/>
      <c r="R170" s="8"/>
      <c r="S170" s="7"/>
      <c r="T170" s="9"/>
      <c r="U170" s="7"/>
      <c r="V170" s="8"/>
      <c r="W170" s="7"/>
      <c r="X170" s="7"/>
      <c r="Y170" s="8"/>
      <c r="Z170" s="7"/>
      <c r="AA170" s="8"/>
    </row>
    <row r="171" spans="2:27" ht="15" thickTop="1" thickBot="1">
      <c r="D171" s="65"/>
      <c r="E171" s="51" t="s">
        <v>828</v>
      </c>
      <c r="F171" s="7"/>
      <c r="G171" s="8"/>
      <c r="H171" s="7"/>
      <c r="I171" s="6"/>
      <c r="J171" s="7"/>
      <c r="K171" s="8"/>
      <c r="L171" s="7"/>
      <c r="M171" s="8"/>
      <c r="N171" s="7"/>
      <c r="O171" s="8"/>
      <c r="P171" s="7"/>
      <c r="Q171" s="7"/>
      <c r="R171" s="8"/>
      <c r="S171" s="7"/>
      <c r="T171" s="9"/>
      <c r="U171" s="7"/>
      <c r="V171" s="8"/>
      <c r="W171" s="7"/>
      <c r="X171" s="7"/>
      <c r="Y171" s="8"/>
      <c r="Z171" s="7"/>
      <c r="AA171" s="8"/>
    </row>
    <row r="172" spans="2:27" ht="15" thickTop="1" thickBot="1">
      <c r="D172" s="65"/>
      <c r="E172" s="51" t="s">
        <v>401</v>
      </c>
      <c r="F172" s="7"/>
      <c r="G172" s="8"/>
      <c r="H172" s="7"/>
      <c r="I172" s="6"/>
      <c r="J172" s="7"/>
      <c r="K172" s="8"/>
      <c r="L172" s="7"/>
      <c r="M172" s="8"/>
      <c r="N172" s="7"/>
      <c r="O172" s="8"/>
      <c r="P172" s="7"/>
      <c r="Q172" s="7"/>
      <c r="R172" s="8"/>
      <c r="S172" s="7"/>
      <c r="T172" s="9"/>
      <c r="U172" s="7"/>
      <c r="V172" s="8"/>
      <c r="W172" s="7"/>
      <c r="X172" s="7"/>
      <c r="Y172" s="8"/>
      <c r="Z172" s="7"/>
      <c r="AA172" s="8"/>
    </row>
    <row r="173" spans="2:27" ht="15" thickTop="1" thickBot="1">
      <c r="D173" s="65"/>
      <c r="E173" s="51" t="s">
        <v>844</v>
      </c>
      <c r="F173" s="7"/>
      <c r="G173" s="8"/>
      <c r="H173" s="7"/>
      <c r="I173" s="6"/>
      <c r="J173" s="7"/>
      <c r="K173" s="8"/>
      <c r="L173" s="7"/>
      <c r="M173" s="8"/>
      <c r="N173" s="7"/>
      <c r="O173" s="8"/>
      <c r="P173" s="7"/>
      <c r="Q173" s="7"/>
      <c r="R173" s="8"/>
      <c r="S173" s="7"/>
      <c r="T173" s="9"/>
      <c r="U173" s="7"/>
      <c r="V173" s="8"/>
      <c r="W173" s="7"/>
      <c r="X173" s="7"/>
      <c r="Y173" s="8"/>
      <c r="Z173" s="7"/>
      <c r="AA173" s="8"/>
    </row>
    <row r="174" spans="2:27" ht="15" thickTop="1" thickBot="1">
      <c r="D174" s="65"/>
      <c r="E174" s="51" t="s">
        <v>811</v>
      </c>
      <c r="F174" s="7"/>
      <c r="G174" s="8"/>
      <c r="H174" s="7"/>
      <c r="I174" s="6"/>
      <c r="J174" s="7"/>
      <c r="K174" s="8"/>
      <c r="L174" s="7"/>
      <c r="M174" s="8"/>
      <c r="N174" s="7"/>
      <c r="O174" s="8"/>
      <c r="P174" s="7"/>
      <c r="Q174" s="7"/>
      <c r="R174" s="8"/>
      <c r="S174" s="7"/>
      <c r="T174" s="9"/>
      <c r="U174" s="7"/>
      <c r="V174" s="8"/>
      <c r="W174" s="7"/>
      <c r="X174" s="7"/>
      <c r="Y174" s="8"/>
      <c r="Z174" s="7"/>
      <c r="AA174" s="8"/>
    </row>
    <row r="175" spans="2:27" ht="15" thickTop="1" thickBot="1">
      <c r="D175" s="65"/>
      <c r="E175" s="51" t="s">
        <v>814</v>
      </c>
      <c r="F175" s="7"/>
      <c r="G175" s="8"/>
      <c r="H175" s="7"/>
      <c r="I175" s="6"/>
      <c r="J175" s="7"/>
      <c r="K175" s="8"/>
      <c r="L175" s="7"/>
      <c r="M175" s="8"/>
      <c r="N175" s="7"/>
      <c r="O175" s="8"/>
      <c r="P175" s="7"/>
      <c r="Q175" s="7"/>
      <c r="R175" s="8"/>
      <c r="S175" s="7"/>
      <c r="T175" s="9"/>
      <c r="U175" s="7"/>
      <c r="V175" s="8"/>
      <c r="W175" s="7"/>
      <c r="X175" s="7"/>
      <c r="Y175" s="8"/>
      <c r="Z175" s="7"/>
      <c r="AA175" s="8"/>
    </row>
    <row r="176" spans="2:27" ht="15" thickTop="1" thickBot="1">
      <c r="D176" s="65"/>
      <c r="E176" s="51" t="s">
        <v>816</v>
      </c>
      <c r="F176" s="7"/>
      <c r="G176" s="8"/>
      <c r="H176" s="7"/>
      <c r="I176" s="6"/>
      <c r="J176" s="7"/>
      <c r="K176" s="8"/>
      <c r="L176" s="7"/>
      <c r="M176" s="8"/>
      <c r="N176" s="7"/>
      <c r="O176" s="8"/>
      <c r="P176" s="7"/>
      <c r="Q176" s="7"/>
      <c r="R176" s="8"/>
      <c r="S176" s="7"/>
      <c r="T176" s="9"/>
      <c r="U176" s="7"/>
      <c r="V176" s="8"/>
      <c r="W176" s="7"/>
      <c r="X176" s="7"/>
      <c r="Y176" s="8"/>
      <c r="Z176" s="7"/>
      <c r="AA176" s="8"/>
    </row>
    <row r="177" spans="4:27" ht="15" thickTop="1" thickBot="1">
      <c r="D177" s="65"/>
      <c r="E177" s="51" t="s">
        <v>400</v>
      </c>
      <c r="F177" s="7"/>
      <c r="G177" s="8"/>
      <c r="H177" s="7"/>
      <c r="I177" s="6"/>
      <c r="J177" s="7"/>
      <c r="K177" s="8"/>
      <c r="L177" s="7"/>
      <c r="M177" s="8"/>
      <c r="N177" s="7"/>
      <c r="O177" s="8"/>
      <c r="P177" s="7"/>
      <c r="Q177" s="7"/>
      <c r="R177" s="8"/>
      <c r="S177" s="7"/>
      <c r="T177" s="9"/>
      <c r="U177" s="7"/>
      <c r="V177" s="8"/>
      <c r="W177" s="7"/>
      <c r="X177" s="7"/>
      <c r="Y177" s="8"/>
      <c r="Z177" s="7"/>
      <c r="AA177" s="8"/>
    </row>
    <row r="178" spans="4:27" ht="15" thickTop="1" thickBot="1">
      <c r="D178" s="65"/>
      <c r="E178" s="51" t="s">
        <v>821</v>
      </c>
      <c r="F178" s="7"/>
      <c r="G178" s="8"/>
      <c r="H178" s="7"/>
      <c r="I178" s="6"/>
      <c r="J178" s="7"/>
      <c r="K178" s="8"/>
      <c r="L178" s="7"/>
      <c r="M178" s="8"/>
      <c r="N178" s="7"/>
      <c r="O178" s="8"/>
      <c r="P178" s="7"/>
      <c r="Q178" s="7"/>
      <c r="R178" s="8"/>
      <c r="S178" s="7"/>
      <c r="T178" s="9"/>
      <c r="U178" s="7"/>
      <c r="V178" s="8"/>
      <c r="W178" s="7"/>
      <c r="X178" s="7"/>
      <c r="Y178" s="8"/>
      <c r="Z178" s="7"/>
      <c r="AA178" s="8"/>
    </row>
    <row r="179" spans="4:27" ht="15" thickTop="1" thickBot="1">
      <c r="D179" s="65"/>
      <c r="E179" s="51" t="s">
        <v>834</v>
      </c>
      <c r="F179" s="7"/>
      <c r="G179" s="8"/>
      <c r="H179" s="7"/>
      <c r="I179" s="6"/>
      <c r="J179" s="7"/>
      <c r="K179" s="8"/>
      <c r="L179" s="7"/>
      <c r="M179" s="8"/>
      <c r="N179" s="7"/>
      <c r="O179" s="8"/>
      <c r="P179" s="7"/>
      <c r="Q179" s="7"/>
      <c r="R179" s="8"/>
      <c r="S179" s="7"/>
      <c r="T179" s="9"/>
      <c r="U179" s="7"/>
      <c r="V179" s="8"/>
      <c r="W179" s="7"/>
      <c r="X179" s="7"/>
      <c r="Y179" s="8"/>
      <c r="Z179" s="7"/>
      <c r="AA179" s="8"/>
    </row>
    <row r="180" spans="4:27" ht="15" thickTop="1" thickBot="1">
      <c r="D180" s="65"/>
      <c r="E180" s="51" t="s">
        <v>829</v>
      </c>
      <c r="F180" s="7"/>
      <c r="G180" s="8"/>
      <c r="H180" s="7"/>
      <c r="I180" s="6"/>
      <c r="J180" s="7"/>
      <c r="K180" s="8"/>
      <c r="L180" s="7"/>
      <c r="M180" s="8"/>
      <c r="N180" s="7"/>
      <c r="O180" s="8"/>
      <c r="P180" s="7"/>
      <c r="Q180" s="7"/>
      <c r="R180" s="8"/>
      <c r="S180" s="7"/>
      <c r="T180" s="9"/>
      <c r="U180" s="7"/>
      <c r="V180" s="8"/>
      <c r="W180" s="7"/>
      <c r="X180" s="7"/>
      <c r="Y180" s="8"/>
      <c r="Z180" s="7"/>
      <c r="AA180" s="8"/>
    </row>
    <row r="181" spans="4:27" ht="15" thickTop="1" thickBot="1">
      <c r="D181" s="65"/>
      <c r="E181" s="51" t="s">
        <v>833</v>
      </c>
      <c r="F181" s="7"/>
      <c r="G181" s="8"/>
      <c r="H181" s="7"/>
      <c r="I181" s="6"/>
      <c r="J181" s="7"/>
      <c r="K181" s="8"/>
      <c r="L181" s="7"/>
      <c r="M181" s="8"/>
      <c r="N181" s="7"/>
      <c r="O181" s="8"/>
      <c r="P181" s="7"/>
      <c r="Q181" s="7"/>
      <c r="R181" s="8"/>
      <c r="S181" s="7"/>
      <c r="T181" s="9"/>
      <c r="U181" s="7"/>
      <c r="V181" s="8"/>
      <c r="W181" s="7"/>
      <c r="X181" s="7"/>
      <c r="Y181" s="8"/>
      <c r="Z181" s="7"/>
      <c r="AA181" s="8"/>
    </row>
    <row r="182" spans="4:27" ht="15" thickTop="1" thickBot="1">
      <c r="D182" s="65"/>
      <c r="E182" s="51" t="s">
        <v>857</v>
      </c>
      <c r="F182" s="7"/>
      <c r="G182" s="8"/>
      <c r="H182" s="7"/>
      <c r="I182" s="6"/>
      <c r="J182" s="7"/>
      <c r="K182" s="8"/>
      <c r="L182" s="7"/>
      <c r="M182" s="8"/>
      <c r="N182" s="7"/>
      <c r="O182" s="8"/>
      <c r="P182" s="7"/>
      <c r="Q182" s="7"/>
      <c r="R182" s="8"/>
      <c r="S182" s="7"/>
      <c r="T182" s="9"/>
      <c r="U182" s="7"/>
      <c r="V182" s="8"/>
      <c r="W182" s="7"/>
      <c r="X182" s="7"/>
      <c r="Y182" s="8"/>
      <c r="Z182" s="7"/>
      <c r="AA182" s="8"/>
    </row>
    <row r="183" spans="4:27" ht="15" thickTop="1" thickBot="1">
      <c r="D183" s="65"/>
      <c r="E183" s="51" t="s">
        <v>410</v>
      </c>
      <c r="F183" s="7"/>
      <c r="G183" s="8"/>
      <c r="H183" s="7"/>
      <c r="I183" s="6"/>
      <c r="J183" s="7"/>
      <c r="K183" s="8"/>
      <c r="L183" s="7"/>
      <c r="M183" s="8"/>
      <c r="N183" s="7"/>
      <c r="O183" s="8"/>
      <c r="P183" s="7"/>
      <c r="Q183" s="7"/>
      <c r="R183" s="8"/>
      <c r="S183" s="7"/>
      <c r="T183" s="9"/>
      <c r="U183" s="7"/>
      <c r="V183" s="8"/>
      <c r="W183" s="7"/>
      <c r="X183" s="7"/>
      <c r="Y183" s="8"/>
      <c r="Z183" s="7"/>
      <c r="AA183" s="8"/>
    </row>
    <row r="184" spans="4:27" ht="15" thickTop="1" thickBot="1">
      <c r="D184" s="65"/>
      <c r="E184" s="51" t="s">
        <v>406</v>
      </c>
      <c r="F184" s="7"/>
      <c r="G184" s="8"/>
      <c r="H184" s="7"/>
      <c r="I184" s="6"/>
      <c r="J184" s="7"/>
      <c r="K184" s="8"/>
      <c r="L184" s="7"/>
      <c r="M184" s="8"/>
      <c r="N184" s="7"/>
      <c r="O184" s="8"/>
      <c r="P184" s="7"/>
      <c r="Q184" s="7"/>
      <c r="R184" s="8"/>
      <c r="S184" s="7"/>
      <c r="T184" s="9"/>
      <c r="U184" s="7"/>
      <c r="V184" s="8"/>
      <c r="W184" s="7"/>
      <c r="X184" s="7"/>
      <c r="Y184" s="8"/>
      <c r="Z184" s="7"/>
      <c r="AA184" s="8"/>
    </row>
    <row r="185" spans="4:27" ht="15" thickTop="1" thickBot="1">
      <c r="D185" s="65"/>
      <c r="E185" s="51" t="s">
        <v>407</v>
      </c>
      <c r="F185" s="7"/>
      <c r="G185" s="8"/>
      <c r="H185" s="7"/>
      <c r="I185" s="6"/>
      <c r="J185" s="7"/>
      <c r="K185" s="8"/>
      <c r="L185" s="7"/>
      <c r="M185" s="8"/>
      <c r="N185" s="7"/>
      <c r="O185" s="8"/>
      <c r="P185" s="7"/>
      <c r="Q185" s="7"/>
      <c r="R185" s="8"/>
      <c r="S185" s="7"/>
      <c r="T185" s="9"/>
      <c r="U185" s="7"/>
      <c r="V185" s="8"/>
      <c r="W185" s="7"/>
      <c r="X185" s="7"/>
      <c r="Y185" s="8"/>
      <c r="Z185" s="7"/>
      <c r="AA185" s="8"/>
    </row>
    <row r="186" spans="4:27" ht="15" thickTop="1" thickBot="1">
      <c r="D186" s="65"/>
      <c r="E186" s="51" t="s">
        <v>824</v>
      </c>
      <c r="F186" s="7"/>
      <c r="G186" s="8"/>
      <c r="H186" s="7"/>
      <c r="I186" s="6"/>
      <c r="J186" s="7"/>
      <c r="K186" s="8"/>
      <c r="L186" s="7"/>
      <c r="M186" s="8"/>
      <c r="N186" s="7"/>
      <c r="O186" s="8"/>
      <c r="P186" s="7"/>
      <c r="Q186" s="7"/>
      <c r="R186" s="8"/>
      <c r="S186" s="7"/>
      <c r="T186" s="9"/>
      <c r="U186" s="7"/>
      <c r="V186" s="8"/>
      <c r="W186" s="7"/>
      <c r="X186" s="7"/>
      <c r="Y186" s="8"/>
      <c r="Z186" s="7"/>
      <c r="AA186" s="8"/>
    </row>
    <row r="187" spans="4:27" ht="15" thickTop="1" thickBot="1">
      <c r="D187" s="65"/>
      <c r="E187" s="51" t="s">
        <v>408</v>
      </c>
      <c r="F187" s="7"/>
      <c r="G187" s="8"/>
      <c r="H187" s="7"/>
      <c r="I187" s="6"/>
      <c r="J187" s="7"/>
      <c r="K187" s="8"/>
      <c r="L187" s="7"/>
      <c r="M187" s="8"/>
      <c r="N187" s="7"/>
      <c r="O187" s="8"/>
      <c r="P187" s="7"/>
      <c r="Q187" s="7"/>
      <c r="R187" s="8"/>
      <c r="S187" s="7"/>
      <c r="T187" s="9"/>
      <c r="U187" s="7"/>
      <c r="V187" s="8"/>
      <c r="W187" s="7"/>
      <c r="X187" s="7"/>
      <c r="Y187" s="8"/>
      <c r="Z187" s="7"/>
      <c r="AA187" s="8"/>
    </row>
    <row r="188" spans="4:27" ht="15" thickTop="1" thickBot="1">
      <c r="D188" s="65"/>
      <c r="E188" s="51" t="s">
        <v>405</v>
      </c>
      <c r="F188" s="7"/>
      <c r="G188" s="8"/>
      <c r="H188" s="7"/>
      <c r="I188" s="6"/>
      <c r="J188" s="7"/>
      <c r="K188" s="8"/>
      <c r="L188" s="7"/>
      <c r="M188" s="8"/>
      <c r="N188" s="7"/>
      <c r="O188" s="8"/>
      <c r="P188" s="7"/>
      <c r="Q188" s="7"/>
      <c r="R188" s="8"/>
      <c r="S188" s="7"/>
      <c r="T188" s="9"/>
      <c r="U188" s="7"/>
      <c r="V188" s="8"/>
      <c r="W188" s="7"/>
      <c r="X188" s="7"/>
      <c r="Y188" s="8"/>
      <c r="Z188" s="7"/>
      <c r="AA188" s="8"/>
    </row>
    <row r="189" spans="4:27" ht="15" thickTop="1" thickBot="1">
      <c r="D189" s="65"/>
      <c r="E189" s="51" t="s">
        <v>404</v>
      </c>
      <c r="F189" s="7"/>
      <c r="G189" s="8"/>
      <c r="H189" s="7"/>
      <c r="I189" s="6"/>
      <c r="J189" s="7"/>
      <c r="K189" s="8"/>
      <c r="L189" s="7"/>
      <c r="M189" s="8"/>
      <c r="N189" s="7"/>
      <c r="O189" s="8"/>
      <c r="P189" s="7"/>
      <c r="Q189" s="7"/>
      <c r="R189" s="8"/>
      <c r="S189" s="7"/>
      <c r="T189" s="9"/>
      <c r="U189" s="7"/>
      <c r="V189" s="8"/>
      <c r="W189" s="7"/>
      <c r="X189" s="7"/>
      <c r="Y189" s="8"/>
      <c r="Z189" s="7"/>
      <c r="AA189" s="8"/>
    </row>
    <row r="190" spans="4:27" ht="15" thickTop="1" thickBot="1">
      <c r="D190" s="65"/>
      <c r="E190" s="51" t="s">
        <v>403</v>
      </c>
      <c r="F190" s="7"/>
      <c r="G190" s="8"/>
      <c r="H190" s="7"/>
      <c r="I190" s="6"/>
      <c r="J190" s="7"/>
      <c r="K190" s="8"/>
      <c r="L190" s="7"/>
      <c r="M190" s="8"/>
      <c r="N190" s="7"/>
      <c r="O190" s="8"/>
      <c r="P190" s="7"/>
      <c r="Q190" s="7"/>
      <c r="R190" s="8"/>
      <c r="S190" s="7"/>
      <c r="T190" s="9"/>
      <c r="U190" s="7"/>
      <c r="V190" s="8"/>
      <c r="W190" s="7"/>
      <c r="X190" s="7"/>
      <c r="Y190" s="8"/>
      <c r="Z190" s="7"/>
      <c r="AA190" s="8"/>
    </row>
    <row r="191" spans="4:27" ht="15" thickTop="1" thickBot="1">
      <c r="D191" s="65"/>
      <c r="E191" s="51" t="s">
        <v>897</v>
      </c>
      <c r="F191" s="7"/>
      <c r="G191" s="8"/>
      <c r="H191" s="7"/>
      <c r="I191" s="6"/>
      <c r="J191" s="7"/>
      <c r="K191" s="8"/>
      <c r="L191" s="7"/>
      <c r="M191" s="8"/>
      <c r="N191" s="7"/>
      <c r="O191" s="8"/>
      <c r="P191" s="7"/>
      <c r="Q191" s="7"/>
      <c r="R191" s="8"/>
      <c r="S191" s="7"/>
      <c r="T191" s="9"/>
      <c r="U191" s="7"/>
      <c r="V191" s="8"/>
      <c r="W191" s="7"/>
      <c r="X191" s="7"/>
      <c r="Y191" s="8"/>
      <c r="Z191" s="7"/>
      <c r="AA191" s="8"/>
    </row>
    <row r="192" spans="4:27" ht="15" thickTop="1" thickBot="1">
      <c r="D192" s="65"/>
      <c r="E192" s="51" t="s">
        <v>912</v>
      </c>
      <c r="F192" s="7"/>
      <c r="G192" s="8"/>
      <c r="H192" s="7"/>
      <c r="I192" s="6"/>
      <c r="J192" s="7"/>
      <c r="K192" s="8"/>
      <c r="L192" s="7"/>
      <c r="M192" s="8"/>
      <c r="N192" s="7"/>
      <c r="O192" s="8"/>
      <c r="P192" s="7"/>
      <c r="Q192" s="7"/>
      <c r="R192" s="8"/>
      <c r="S192" s="7"/>
      <c r="T192" s="9"/>
      <c r="U192" s="7"/>
      <c r="V192" s="8"/>
      <c r="W192" s="7"/>
      <c r="X192" s="7"/>
      <c r="Y192" s="8"/>
      <c r="Z192" s="7"/>
      <c r="AA192" s="8"/>
    </row>
    <row r="193" spans="4:27" ht="15" thickTop="1" thickBot="1">
      <c r="D193" s="65"/>
      <c r="E193" s="51" t="s">
        <v>881</v>
      </c>
      <c r="F193" s="7"/>
      <c r="G193" s="8"/>
      <c r="H193" s="7"/>
      <c r="I193" s="6"/>
      <c r="J193" s="7"/>
      <c r="K193" s="8"/>
      <c r="L193" s="7"/>
      <c r="M193" s="8"/>
      <c r="N193" s="7"/>
      <c r="O193" s="8"/>
      <c r="P193" s="7"/>
      <c r="Q193" s="7"/>
      <c r="R193" s="8"/>
      <c r="S193" s="7"/>
      <c r="T193" s="9"/>
      <c r="U193" s="7"/>
      <c r="V193" s="8"/>
      <c r="W193" s="7"/>
      <c r="X193" s="7"/>
      <c r="Y193" s="8"/>
      <c r="Z193" s="7"/>
      <c r="AA193" s="8"/>
    </row>
    <row r="194" spans="4:27" ht="15" thickTop="1" thickBot="1">
      <c r="D194" s="65"/>
      <c r="E194" s="51" t="s">
        <v>914</v>
      </c>
      <c r="F194" s="7"/>
      <c r="G194" s="8"/>
      <c r="H194" s="7"/>
      <c r="I194" s="6"/>
      <c r="J194" s="7"/>
      <c r="K194" s="8"/>
      <c r="L194" s="7"/>
      <c r="M194" s="8"/>
      <c r="N194" s="7"/>
      <c r="O194" s="8"/>
      <c r="P194" s="7"/>
      <c r="Q194" s="7"/>
      <c r="R194" s="8"/>
      <c r="S194" s="7"/>
      <c r="T194" s="9"/>
      <c r="U194" s="7"/>
      <c r="V194" s="8"/>
      <c r="W194" s="7"/>
      <c r="X194" s="7"/>
      <c r="Y194" s="8"/>
      <c r="Z194" s="7"/>
      <c r="AA194" s="8"/>
    </row>
    <row r="195" spans="4:27" ht="15" thickTop="1" thickBot="1">
      <c r="D195" s="65"/>
      <c r="E195" s="51" t="s">
        <v>515</v>
      </c>
      <c r="F195" s="7"/>
      <c r="G195" s="8"/>
      <c r="H195" s="7"/>
      <c r="I195" s="6"/>
      <c r="J195" s="7"/>
      <c r="K195" s="8"/>
      <c r="L195" s="7"/>
      <c r="M195" s="8"/>
      <c r="N195" s="7"/>
      <c r="O195" s="8"/>
      <c r="P195" s="7"/>
      <c r="Q195" s="7"/>
      <c r="R195" s="8"/>
      <c r="S195" s="7"/>
      <c r="T195" s="9"/>
      <c r="U195" s="7"/>
      <c r="V195" s="8"/>
      <c r="W195" s="7"/>
      <c r="X195" s="7"/>
      <c r="Y195" s="8"/>
      <c r="Z195" s="7"/>
      <c r="AA195" s="8"/>
    </row>
    <row r="196" spans="4:27" ht="15" thickTop="1" thickBot="1">
      <c r="D196" s="65"/>
      <c r="E196" s="51" t="s">
        <v>878</v>
      </c>
      <c r="F196" s="7"/>
      <c r="G196" s="8"/>
      <c r="H196" s="7"/>
      <c r="I196" s="6"/>
      <c r="J196" s="7"/>
      <c r="K196" s="8"/>
      <c r="L196" s="7"/>
      <c r="M196" s="8"/>
      <c r="N196" s="7"/>
      <c r="O196" s="8"/>
      <c r="P196" s="7"/>
      <c r="Q196" s="7"/>
      <c r="R196" s="8"/>
      <c r="S196" s="7"/>
      <c r="T196" s="9"/>
      <c r="U196" s="7"/>
      <c r="V196" s="8"/>
      <c r="W196" s="7"/>
      <c r="X196" s="7"/>
      <c r="Y196" s="8"/>
      <c r="Z196" s="7"/>
      <c r="AA196" s="8"/>
    </row>
    <row r="197" spans="4:27" ht="15" thickTop="1" thickBot="1">
      <c r="D197" s="65"/>
      <c r="E197" s="51" t="s">
        <v>481</v>
      </c>
      <c r="F197" s="7"/>
      <c r="G197" s="8"/>
      <c r="H197" s="7"/>
      <c r="I197" s="6"/>
      <c r="J197" s="7"/>
      <c r="K197" s="8"/>
      <c r="L197" s="7"/>
      <c r="M197" s="8"/>
      <c r="N197" s="7"/>
      <c r="O197" s="8"/>
      <c r="P197" s="7"/>
      <c r="Q197" s="7"/>
      <c r="R197" s="8"/>
      <c r="S197" s="7"/>
      <c r="T197" s="9"/>
      <c r="U197" s="7"/>
      <c r="V197" s="8"/>
      <c r="W197" s="7"/>
      <c r="X197" s="7"/>
      <c r="Y197" s="8"/>
      <c r="Z197" s="7"/>
      <c r="AA197" s="8"/>
    </row>
    <row r="198" spans="4:27" ht="15" thickTop="1" thickBot="1">
      <c r="D198" s="65"/>
      <c r="E198" s="51" t="s">
        <v>877</v>
      </c>
      <c r="F198" s="7"/>
      <c r="G198" s="8"/>
      <c r="H198" s="7"/>
      <c r="I198" s="6"/>
      <c r="J198" s="7"/>
      <c r="K198" s="8"/>
      <c r="L198" s="7"/>
      <c r="M198" s="8"/>
      <c r="N198" s="7"/>
      <c r="O198" s="8"/>
      <c r="P198" s="7"/>
      <c r="Q198" s="7"/>
      <c r="R198" s="8"/>
      <c r="S198" s="7"/>
      <c r="T198" s="9"/>
      <c r="U198" s="7"/>
      <c r="V198" s="8"/>
      <c r="W198" s="7"/>
      <c r="X198" s="7"/>
      <c r="Y198" s="8"/>
      <c r="Z198" s="7"/>
      <c r="AA198" s="8"/>
    </row>
    <row r="199" spans="4:27" ht="15" thickTop="1" thickBot="1">
      <c r="D199" s="65"/>
      <c r="E199" s="51" t="s">
        <v>915</v>
      </c>
      <c r="F199" s="7"/>
      <c r="G199" s="8"/>
      <c r="H199" s="7"/>
      <c r="I199" s="6"/>
      <c r="J199" s="7"/>
      <c r="K199" s="8"/>
      <c r="L199" s="7"/>
      <c r="M199" s="8"/>
      <c r="N199" s="7"/>
      <c r="O199" s="8"/>
      <c r="P199" s="7"/>
      <c r="Q199" s="7"/>
      <c r="R199" s="8"/>
      <c r="S199" s="7"/>
      <c r="T199" s="9"/>
      <c r="U199" s="7"/>
      <c r="V199" s="8"/>
      <c r="W199" s="7"/>
      <c r="X199" s="7"/>
      <c r="Y199" s="8"/>
      <c r="Z199" s="7"/>
      <c r="AA199" s="8"/>
    </row>
    <row r="200" spans="4:27" ht="15" thickTop="1" thickBot="1">
      <c r="D200" s="65"/>
      <c r="E200" s="51" t="s">
        <v>507</v>
      </c>
      <c r="F200" s="7"/>
      <c r="G200" s="8"/>
      <c r="H200" s="7"/>
      <c r="I200" s="6"/>
      <c r="J200" s="7"/>
      <c r="K200" s="8"/>
      <c r="L200" s="7"/>
      <c r="M200" s="8"/>
      <c r="N200" s="7"/>
      <c r="O200" s="8"/>
      <c r="P200" s="7"/>
      <c r="Q200" s="7"/>
      <c r="R200" s="8"/>
      <c r="S200" s="7"/>
      <c r="T200" s="9"/>
      <c r="U200" s="7"/>
      <c r="V200" s="8"/>
      <c r="W200" s="7"/>
      <c r="X200" s="7"/>
      <c r="Y200" s="8"/>
      <c r="Z200" s="7"/>
      <c r="AA200" s="8"/>
    </row>
    <row r="201" spans="4:27" ht="15" thickTop="1" thickBot="1">
      <c r="D201" s="65"/>
      <c r="E201" s="51" t="s">
        <v>876</v>
      </c>
      <c r="F201" s="7"/>
      <c r="G201" s="8"/>
      <c r="H201" s="7"/>
      <c r="I201" s="6"/>
      <c r="J201" s="7"/>
      <c r="K201" s="8"/>
      <c r="L201" s="7"/>
      <c r="M201" s="8"/>
      <c r="N201" s="7"/>
      <c r="O201" s="8"/>
      <c r="P201" s="7"/>
      <c r="Q201" s="7"/>
      <c r="R201" s="8"/>
      <c r="S201" s="7"/>
      <c r="T201" s="9"/>
      <c r="U201" s="7"/>
      <c r="V201" s="8"/>
      <c r="W201" s="7"/>
      <c r="X201" s="7"/>
      <c r="Y201" s="8"/>
      <c r="Z201" s="7"/>
      <c r="AA201" s="8"/>
    </row>
    <row r="202" spans="4:27" ht="15" thickTop="1" thickBot="1">
      <c r="D202" s="65"/>
      <c r="E202" s="51" t="s">
        <v>453</v>
      </c>
      <c r="F202" s="7"/>
      <c r="G202" s="8"/>
      <c r="H202" s="7"/>
      <c r="I202" s="6"/>
      <c r="J202" s="7"/>
      <c r="K202" s="8"/>
      <c r="L202" s="7"/>
      <c r="M202" s="8"/>
      <c r="N202" s="7"/>
      <c r="O202" s="8"/>
      <c r="P202" s="7"/>
      <c r="Q202" s="7"/>
      <c r="R202" s="8"/>
      <c r="S202" s="7"/>
      <c r="T202" s="9"/>
      <c r="U202" s="7"/>
      <c r="V202" s="8"/>
      <c r="W202" s="7"/>
      <c r="X202" s="7"/>
      <c r="Y202" s="8"/>
      <c r="Z202" s="7"/>
      <c r="AA202" s="8"/>
    </row>
    <row r="203" spans="4:27" ht="15" thickTop="1" thickBot="1">
      <c r="D203" s="65"/>
      <c r="E203" s="51" t="s">
        <v>456</v>
      </c>
      <c r="F203" s="7"/>
      <c r="G203" s="8"/>
      <c r="H203" s="7"/>
      <c r="I203" s="6"/>
      <c r="J203" s="7"/>
      <c r="K203" s="8"/>
      <c r="L203" s="7"/>
      <c r="M203" s="8"/>
      <c r="N203" s="7"/>
      <c r="O203" s="8"/>
      <c r="P203" s="7"/>
      <c r="Q203" s="7"/>
      <c r="R203" s="8"/>
      <c r="S203" s="7"/>
      <c r="T203" s="9"/>
      <c r="U203" s="7"/>
      <c r="V203" s="8"/>
      <c r="W203" s="7"/>
      <c r="X203" s="7"/>
      <c r="Y203" s="8"/>
      <c r="Z203" s="7"/>
      <c r="AA203" s="8"/>
    </row>
    <row r="204" spans="4:27" ht="15" thickTop="1" thickBot="1">
      <c r="D204" s="65"/>
      <c r="E204" s="51" t="s">
        <v>487</v>
      </c>
      <c r="F204" s="7"/>
      <c r="G204" s="8"/>
      <c r="H204" s="7"/>
      <c r="I204" s="6"/>
      <c r="J204" s="7"/>
      <c r="K204" s="8"/>
      <c r="L204" s="7"/>
      <c r="M204" s="8"/>
      <c r="N204" s="7"/>
      <c r="O204" s="8"/>
      <c r="P204" s="7"/>
      <c r="Q204" s="7"/>
      <c r="R204" s="8"/>
      <c r="S204" s="7"/>
      <c r="T204" s="9"/>
      <c r="U204" s="7"/>
      <c r="V204" s="8"/>
      <c r="W204" s="7"/>
      <c r="X204" s="7"/>
      <c r="Y204" s="8"/>
      <c r="Z204" s="7"/>
      <c r="AA204" s="8"/>
    </row>
    <row r="205" spans="4:27" ht="15" thickTop="1" thickBot="1">
      <c r="D205" s="65"/>
      <c r="E205" s="51" t="s">
        <v>459</v>
      </c>
      <c r="F205" s="7"/>
      <c r="G205" s="8"/>
      <c r="H205" s="7"/>
      <c r="I205" s="6"/>
      <c r="J205" s="7"/>
      <c r="K205" s="8"/>
      <c r="L205" s="7"/>
      <c r="M205" s="8"/>
      <c r="N205" s="7"/>
      <c r="O205" s="8"/>
      <c r="P205" s="7"/>
      <c r="Q205" s="7"/>
      <c r="R205" s="8"/>
      <c r="S205" s="7"/>
      <c r="T205" s="9"/>
      <c r="U205" s="7"/>
      <c r="V205" s="8"/>
      <c r="W205" s="7"/>
      <c r="X205" s="7"/>
      <c r="Y205" s="8"/>
      <c r="Z205" s="7"/>
      <c r="AA205" s="8"/>
    </row>
    <row r="206" spans="4:27" ht="15" thickTop="1" thickBot="1">
      <c r="D206" s="65"/>
      <c r="E206" s="51" t="s">
        <v>486</v>
      </c>
      <c r="F206" s="7"/>
      <c r="G206" s="8"/>
      <c r="H206" s="7"/>
      <c r="I206" s="6"/>
      <c r="J206" s="7"/>
      <c r="K206" s="8"/>
      <c r="L206" s="7"/>
      <c r="M206" s="8"/>
      <c r="N206" s="7"/>
      <c r="O206" s="8"/>
      <c r="P206" s="7"/>
      <c r="Q206" s="7"/>
      <c r="R206" s="8"/>
      <c r="S206" s="7"/>
      <c r="T206" s="9"/>
      <c r="U206" s="7"/>
      <c r="V206" s="8"/>
      <c r="W206" s="7"/>
      <c r="X206" s="7"/>
      <c r="Y206" s="8"/>
      <c r="Z206" s="7"/>
      <c r="AA206" s="8"/>
    </row>
    <row r="207" spans="4:27" ht="15" thickTop="1" thickBot="1">
      <c r="D207" s="65"/>
      <c r="E207" s="51" t="s">
        <v>500</v>
      </c>
      <c r="F207" s="7"/>
      <c r="G207" s="8"/>
      <c r="H207" s="7"/>
      <c r="I207" s="6"/>
      <c r="J207" s="7"/>
      <c r="K207" s="8"/>
      <c r="L207" s="7"/>
      <c r="M207" s="8"/>
      <c r="N207" s="7"/>
      <c r="O207" s="8"/>
      <c r="P207" s="7"/>
      <c r="Q207" s="7"/>
      <c r="R207" s="8"/>
      <c r="S207" s="7"/>
      <c r="T207" s="9"/>
      <c r="U207" s="7"/>
      <c r="V207" s="8"/>
      <c r="W207" s="7"/>
      <c r="X207" s="7"/>
      <c r="Y207" s="8"/>
      <c r="Z207" s="7"/>
      <c r="AA207" s="8"/>
    </row>
    <row r="208" spans="4:27" ht="15" thickTop="1" thickBot="1">
      <c r="D208" s="65"/>
      <c r="E208" s="51" t="s">
        <v>468</v>
      </c>
      <c r="F208" s="7"/>
      <c r="G208" s="8"/>
      <c r="H208" s="7"/>
      <c r="I208" s="6"/>
      <c r="J208" s="7"/>
      <c r="K208" s="8"/>
      <c r="L208" s="7"/>
      <c r="M208" s="8"/>
      <c r="N208" s="7"/>
      <c r="O208" s="8"/>
      <c r="P208" s="7"/>
      <c r="Q208" s="7"/>
      <c r="R208" s="8"/>
      <c r="S208" s="7"/>
      <c r="T208" s="9"/>
      <c r="U208" s="7"/>
      <c r="V208" s="8"/>
      <c r="W208" s="7"/>
      <c r="X208" s="7"/>
      <c r="Y208" s="8"/>
      <c r="Z208" s="7"/>
      <c r="AA208" s="8"/>
    </row>
    <row r="209" spans="4:27" ht="15" thickTop="1" thickBot="1">
      <c r="D209" s="65"/>
      <c r="E209" s="51" t="s">
        <v>356</v>
      </c>
      <c r="F209" s="7"/>
      <c r="G209" s="8"/>
      <c r="H209" s="7"/>
      <c r="I209" s="6"/>
      <c r="J209" s="7"/>
      <c r="K209" s="8"/>
      <c r="L209" s="7"/>
      <c r="M209" s="8"/>
      <c r="N209" s="7"/>
      <c r="O209" s="8"/>
      <c r="P209" s="7"/>
      <c r="Q209" s="7"/>
      <c r="R209" s="8"/>
      <c r="S209" s="7"/>
      <c r="T209" s="9"/>
      <c r="U209" s="7"/>
      <c r="V209" s="8"/>
      <c r="W209" s="7"/>
      <c r="X209" s="7"/>
      <c r="Y209" s="8"/>
      <c r="Z209" s="7"/>
      <c r="AA209" s="8"/>
    </row>
    <row r="210" spans="4:27" ht="15" thickTop="1" thickBot="1">
      <c r="D210" s="65"/>
      <c r="E210" s="51" t="s">
        <v>495</v>
      </c>
      <c r="F210" s="7"/>
      <c r="G210" s="8"/>
      <c r="H210" s="7"/>
      <c r="I210" s="6"/>
      <c r="J210" s="7"/>
      <c r="K210" s="8"/>
      <c r="L210" s="7"/>
      <c r="M210" s="8"/>
      <c r="N210" s="7"/>
      <c r="O210" s="8"/>
      <c r="P210" s="7"/>
      <c r="Q210" s="7"/>
      <c r="R210" s="8"/>
      <c r="S210" s="7"/>
      <c r="T210" s="9"/>
      <c r="U210" s="7"/>
      <c r="V210" s="8"/>
      <c r="W210" s="7"/>
      <c r="X210" s="7"/>
      <c r="Y210" s="8"/>
      <c r="Z210" s="7"/>
      <c r="AA210" s="8"/>
    </row>
    <row r="211" spans="4:27" ht="15" thickTop="1" thickBot="1">
      <c r="D211" s="65"/>
      <c r="E211" s="51" t="s">
        <v>501</v>
      </c>
      <c r="F211" s="7"/>
      <c r="G211" s="8"/>
      <c r="H211" s="7"/>
      <c r="I211" s="6"/>
      <c r="J211" s="7"/>
      <c r="K211" s="8"/>
      <c r="L211" s="7"/>
      <c r="M211" s="8"/>
      <c r="N211" s="7"/>
      <c r="O211" s="8"/>
      <c r="P211" s="7"/>
      <c r="Q211" s="7"/>
      <c r="R211" s="8"/>
      <c r="S211" s="7"/>
      <c r="T211" s="9"/>
      <c r="U211" s="7"/>
      <c r="V211" s="8"/>
      <c r="W211" s="7"/>
      <c r="X211" s="7"/>
      <c r="Y211" s="8"/>
      <c r="Z211" s="7"/>
      <c r="AA211" s="8"/>
    </row>
    <row r="212" spans="4:27" ht="15" thickTop="1" thickBot="1">
      <c r="D212" s="65"/>
      <c r="E212" s="51" t="s">
        <v>466</v>
      </c>
      <c r="F212" s="7"/>
      <c r="G212" s="8"/>
      <c r="H212" s="7"/>
      <c r="I212" s="6"/>
      <c r="J212" s="7"/>
      <c r="K212" s="8"/>
      <c r="L212" s="7"/>
      <c r="M212" s="8"/>
      <c r="N212" s="7"/>
      <c r="O212" s="8"/>
      <c r="P212" s="7"/>
      <c r="Q212" s="7"/>
      <c r="R212" s="8"/>
      <c r="S212" s="7"/>
      <c r="T212" s="9"/>
      <c r="U212" s="7"/>
      <c r="V212" s="8"/>
      <c r="W212" s="7"/>
      <c r="X212" s="7"/>
      <c r="Y212" s="8"/>
      <c r="Z212" s="7"/>
      <c r="AA212" s="8"/>
    </row>
    <row r="213" spans="4:27" ht="15" thickTop="1" thickBot="1">
      <c r="D213" s="65"/>
      <c r="E213" s="51" t="s">
        <v>903</v>
      </c>
      <c r="F213" s="7"/>
      <c r="G213" s="8"/>
      <c r="H213" s="7"/>
      <c r="I213" s="6"/>
      <c r="J213" s="7"/>
      <c r="K213" s="8"/>
      <c r="L213" s="7"/>
      <c r="M213" s="8"/>
      <c r="N213" s="7"/>
      <c r="O213" s="8"/>
      <c r="P213" s="7"/>
      <c r="Q213" s="7"/>
      <c r="R213" s="8"/>
      <c r="S213" s="7"/>
      <c r="T213" s="9"/>
      <c r="U213" s="7"/>
      <c r="V213" s="8"/>
      <c r="W213" s="7"/>
      <c r="X213" s="7"/>
      <c r="Y213" s="8"/>
      <c r="Z213" s="7"/>
      <c r="AA213" s="8"/>
    </row>
    <row r="214" spans="4:27" ht="15" thickTop="1" thickBot="1">
      <c r="D214" s="65"/>
      <c r="E214" s="51" t="s">
        <v>1088</v>
      </c>
      <c r="F214" s="7"/>
      <c r="G214" s="8"/>
      <c r="H214" s="7"/>
      <c r="I214" s="6"/>
      <c r="J214" s="7"/>
      <c r="K214" s="8"/>
      <c r="L214" s="7"/>
      <c r="M214" s="8"/>
      <c r="N214" s="7"/>
      <c r="O214" s="8"/>
      <c r="P214" s="7"/>
      <c r="Q214" s="7"/>
      <c r="R214" s="8"/>
      <c r="S214" s="7"/>
      <c r="T214" s="9"/>
      <c r="U214" s="7"/>
      <c r="V214" s="8"/>
      <c r="W214" s="7"/>
      <c r="X214" s="7"/>
      <c r="Y214" s="8"/>
      <c r="Z214" s="7"/>
      <c r="AA214" s="8"/>
    </row>
    <row r="215" spans="4:27" ht="15" thickTop="1" thickBot="1">
      <c r="D215" s="65"/>
      <c r="E215" s="51" t="s">
        <v>494</v>
      </c>
      <c r="F215" s="7"/>
      <c r="G215" s="8"/>
      <c r="H215" s="7"/>
      <c r="I215" s="6"/>
      <c r="J215" s="7"/>
      <c r="K215" s="8"/>
      <c r="L215" s="7"/>
      <c r="M215" s="8"/>
      <c r="N215" s="7"/>
      <c r="O215" s="8"/>
      <c r="P215" s="7"/>
      <c r="Q215" s="7"/>
      <c r="R215" s="8"/>
      <c r="S215" s="7"/>
      <c r="T215" s="9"/>
      <c r="U215" s="7"/>
      <c r="V215" s="8"/>
      <c r="W215" s="7"/>
      <c r="X215" s="7"/>
      <c r="Y215" s="8"/>
      <c r="Z215" s="7"/>
      <c r="AA215" s="8"/>
    </row>
    <row r="216" spans="4:27" ht="15" thickTop="1" thickBot="1">
      <c r="D216" s="65"/>
      <c r="E216" s="51" t="s">
        <v>467</v>
      </c>
      <c r="F216" s="7"/>
      <c r="G216" s="8"/>
      <c r="H216" s="7"/>
      <c r="I216" s="6"/>
      <c r="J216" s="7"/>
      <c r="K216" s="8"/>
      <c r="L216" s="7"/>
      <c r="M216" s="8"/>
      <c r="N216" s="7"/>
      <c r="O216" s="8"/>
      <c r="P216" s="7"/>
      <c r="Q216" s="7"/>
      <c r="R216" s="8"/>
      <c r="S216" s="7"/>
      <c r="T216" s="9"/>
      <c r="U216" s="7"/>
      <c r="V216" s="8"/>
      <c r="W216" s="7"/>
      <c r="X216" s="7"/>
      <c r="Y216" s="8"/>
      <c r="Z216" s="7"/>
      <c r="AA216" s="8"/>
    </row>
    <row r="217" spans="4:27" ht="15" thickTop="1" thickBot="1">
      <c r="D217" s="65"/>
      <c r="E217" s="51" t="s">
        <v>503</v>
      </c>
      <c r="F217" s="7"/>
      <c r="G217" s="8"/>
      <c r="H217" s="7"/>
      <c r="I217" s="6"/>
      <c r="J217" s="7"/>
      <c r="K217" s="8"/>
      <c r="L217" s="7"/>
      <c r="M217" s="8"/>
      <c r="N217" s="7"/>
      <c r="O217" s="8"/>
      <c r="P217" s="7"/>
      <c r="Q217" s="7"/>
      <c r="R217" s="8"/>
      <c r="S217" s="7"/>
      <c r="T217" s="9"/>
      <c r="U217" s="7"/>
      <c r="V217" s="8"/>
      <c r="W217" s="7"/>
      <c r="X217" s="7"/>
      <c r="Y217" s="8"/>
      <c r="Z217" s="7"/>
      <c r="AA217" s="8"/>
    </row>
    <row r="218" spans="4:27" ht="15" thickTop="1" thickBot="1">
      <c r="D218" s="65"/>
      <c r="E218" s="51" t="s">
        <v>502</v>
      </c>
      <c r="F218" s="7"/>
      <c r="G218" s="8"/>
      <c r="H218" s="7"/>
      <c r="I218" s="6"/>
      <c r="J218" s="7"/>
      <c r="K218" s="8"/>
      <c r="L218" s="7"/>
      <c r="M218" s="8"/>
      <c r="N218" s="7"/>
      <c r="O218" s="8"/>
      <c r="P218" s="7"/>
      <c r="Q218" s="7"/>
      <c r="R218" s="8"/>
      <c r="S218" s="7"/>
      <c r="T218" s="9"/>
      <c r="U218" s="7"/>
      <c r="V218" s="8"/>
      <c r="W218" s="7"/>
      <c r="X218" s="7"/>
      <c r="Y218" s="8"/>
      <c r="Z218" s="7"/>
      <c r="AA218" s="8"/>
    </row>
    <row r="219" spans="4:27" ht="15" thickTop="1" thickBot="1">
      <c r="D219" s="65"/>
      <c r="E219" s="51" t="s">
        <v>909</v>
      </c>
      <c r="F219" s="7"/>
      <c r="G219" s="8"/>
      <c r="H219" s="7"/>
      <c r="I219" s="6"/>
      <c r="J219" s="7"/>
      <c r="K219" s="8"/>
      <c r="L219" s="7"/>
      <c r="M219" s="8"/>
      <c r="N219" s="7"/>
      <c r="O219" s="8"/>
      <c r="P219" s="7"/>
      <c r="Q219" s="7"/>
      <c r="R219" s="8"/>
      <c r="S219" s="7"/>
      <c r="T219" s="9"/>
      <c r="U219" s="7"/>
      <c r="V219" s="8"/>
      <c r="W219" s="7"/>
      <c r="X219" s="7"/>
      <c r="Y219" s="8"/>
      <c r="Z219" s="7"/>
      <c r="AA219" s="8"/>
    </row>
    <row r="220" spans="4:27" ht="15" thickTop="1" thickBot="1">
      <c r="D220" s="65"/>
      <c r="E220" s="51" t="s">
        <v>469</v>
      </c>
      <c r="F220" s="7"/>
      <c r="G220" s="8"/>
      <c r="H220" s="7"/>
      <c r="I220" s="6"/>
      <c r="J220" s="7"/>
      <c r="K220" s="8"/>
      <c r="L220" s="7"/>
      <c r="M220" s="8"/>
      <c r="N220" s="7"/>
      <c r="O220" s="8"/>
      <c r="P220" s="7"/>
      <c r="Q220" s="7"/>
      <c r="R220" s="8"/>
      <c r="S220" s="7"/>
      <c r="T220" s="9"/>
      <c r="U220" s="7"/>
      <c r="V220" s="8"/>
      <c r="W220" s="7"/>
      <c r="X220" s="7"/>
      <c r="Y220" s="8"/>
      <c r="Z220" s="7"/>
      <c r="AA220" s="8"/>
    </row>
    <row r="221" spans="4:27" ht="15" thickTop="1" thickBot="1">
      <c r="D221" s="65"/>
      <c r="E221" s="51" t="s">
        <v>902</v>
      </c>
      <c r="F221" s="7"/>
      <c r="G221" s="8"/>
      <c r="H221" s="7"/>
      <c r="I221" s="6"/>
      <c r="J221" s="7"/>
      <c r="K221" s="8"/>
      <c r="L221" s="7"/>
      <c r="M221" s="8"/>
      <c r="N221" s="7"/>
      <c r="O221" s="8"/>
      <c r="P221" s="7"/>
      <c r="Q221" s="7"/>
      <c r="R221" s="8"/>
      <c r="S221" s="7"/>
      <c r="T221" s="9"/>
      <c r="U221" s="7"/>
      <c r="V221" s="8"/>
      <c r="W221" s="7"/>
      <c r="X221" s="7"/>
      <c r="Y221" s="8"/>
      <c r="Z221" s="7"/>
      <c r="AA221" s="8"/>
    </row>
    <row r="222" spans="4:27" ht="15" thickTop="1" thickBot="1">
      <c r="D222" s="65"/>
      <c r="E222" s="51" t="s">
        <v>504</v>
      </c>
      <c r="F222" s="7"/>
      <c r="G222" s="8"/>
      <c r="H222" s="7"/>
      <c r="I222" s="6"/>
      <c r="J222" s="7"/>
      <c r="K222" s="8"/>
      <c r="L222" s="7"/>
      <c r="M222" s="8"/>
      <c r="N222" s="7"/>
      <c r="O222" s="8"/>
      <c r="P222" s="7"/>
      <c r="Q222" s="7"/>
      <c r="R222" s="8"/>
      <c r="S222" s="7"/>
      <c r="T222" s="9"/>
      <c r="U222" s="7"/>
      <c r="V222" s="8"/>
      <c r="W222" s="7"/>
      <c r="X222" s="7"/>
      <c r="Y222" s="8"/>
      <c r="Z222" s="7"/>
      <c r="AA222" s="8"/>
    </row>
    <row r="223" spans="4:27" ht="15" thickTop="1" thickBot="1">
      <c r="D223" s="65"/>
      <c r="E223" s="51" t="s">
        <v>488</v>
      </c>
      <c r="F223" s="7"/>
      <c r="G223" s="8"/>
      <c r="H223" s="7"/>
      <c r="I223" s="6"/>
      <c r="J223" s="7"/>
      <c r="K223" s="8"/>
      <c r="L223" s="7"/>
      <c r="M223" s="8"/>
      <c r="N223" s="7"/>
      <c r="O223" s="8"/>
      <c r="P223" s="7"/>
      <c r="Q223" s="7"/>
      <c r="R223" s="8"/>
      <c r="S223" s="7"/>
      <c r="T223" s="9"/>
      <c r="U223" s="7"/>
      <c r="V223" s="8"/>
      <c r="W223" s="7"/>
      <c r="X223" s="7"/>
      <c r="Y223" s="8"/>
      <c r="Z223" s="7"/>
      <c r="AA223" s="8"/>
    </row>
    <row r="224" spans="4:27" ht="15" thickTop="1" thickBot="1">
      <c r="D224" s="65"/>
      <c r="E224" s="51" t="s">
        <v>497</v>
      </c>
      <c r="F224" s="7"/>
      <c r="G224" s="8"/>
      <c r="H224" s="7"/>
      <c r="I224" s="6"/>
      <c r="J224" s="7"/>
      <c r="K224" s="8"/>
      <c r="L224" s="7"/>
      <c r="M224" s="8"/>
      <c r="N224" s="7"/>
      <c r="O224" s="8"/>
      <c r="P224" s="7"/>
      <c r="Q224" s="7"/>
      <c r="R224" s="8"/>
      <c r="S224" s="7"/>
      <c r="T224" s="9"/>
      <c r="U224" s="7"/>
      <c r="V224" s="8"/>
      <c r="W224" s="7"/>
      <c r="X224" s="7"/>
      <c r="Y224" s="8"/>
      <c r="Z224" s="7"/>
      <c r="AA224" s="8"/>
    </row>
    <row r="225" spans="4:27" ht="15" thickTop="1" thickBot="1">
      <c r="D225" s="65"/>
      <c r="E225" s="51" t="s">
        <v>880</v>
      </c>
      <c r="F225" s="7"/>
      <c r="G225" s="8"/>
      <c r="H225" s="7"/>
      <c r="I225" s="6"/>
      <c r="J225" s="7"/>
      <c r="K225" s="8"/>
      <c r="L225" s="7"/>
      <c r="M225" s="8"/>
      <c r="N225" s="7"/>
      <c r="O225" s="8"/>
      <c r="P225" s="7"/>
      <c r="Q225" s="7"/>
      <c r="R225" s="8"/>
      <c r="S225" s="7"/>
      <c r="T225" s="9"/>
      <c r="U225" s="7"/>
      <c r="V225" s="8"/>
      <c r="W225" s="7"/>
      <c r="X225" s="7"/>
      <c r="Y225" s="8"/>
      <c r="Z225" s="7"/>
      <c r="AA225" s="8"/>
    </row>
    <row r="226" spans="4:27" ht="15" thickTop="1" thickBot="1">
      <c r="D226" s="65"/>
      <c r="E226" s="51" t="s">
        <v>475</v>
      </c>
      <c r="F226" s="7"/>
      <c r="G226" s="8"/>
      <c r="H226" s="7"/>
      <c r="I226" s="6"/>
      <c r="J226" s="7"/>
      <c r="K226" s="8"/>
      <c r="L226" s="7"/>
      <c r="M226" s="8"/>
      <c r="N226" s="7"/>
      <c r="O226" s="8"/>
      <c r="P226" s="7"/>
      <c r="Q226" s="7"/>
      <c r="R226" s="8"/>
      <c r="S226" s="7"/>
      <c r="T226" s="9"/>
      <c r="U226" s="7"/>
      <c r="V226" s="8"/>
      <c r="W226" s="7"/>
      <c r="X226" s="7"/>
      <c r="Y226" s="8"/>
      <c r="Z226" s="7"/>
      <c r="AA226" s="8"/>
    </row>
    <row r="227" spans="4:27" ht="15" thickTop="1" thickBot="1">
      <c r="D227" s="65"/>
      <c r="E227" s="51" t="s">
        <v>907</v>
      </c>
      <c r="F227" s="7"/>
      <c r="G227" s="8"/>
      <c r="H227" s="7"/>
      <c r="I227" s="6"/>
      <c r="J227" s="7"/>
      <c r="K227" s="8"/>
      <c r="L227" s="7"/>
      <c r="M227" s="8"/>
      <c r="N227" s="7"/>
      <c r="O227" s="8"/>
      <c r="P227" s="7"/>
      <c r="Q227" s="7"/>
      <c r="R227" s="8"/>
      <c r="S227" s="7"/>
      <c r="T227" s="9"/>
      <c r="U227" s="7"/>
      <c r="V227" s="8"/>
      <c r="W227" s="7"/>
      <c r="X227" s="7"/>
      <c r="Y227" s="8"/>
      <c r="Z227" s="7"/>
      <c r="AA227" s="8"/>
    </row>
    <row r="228" spans="4:27" ht="15" thickTop="1" thickBot="1">
      <c r="D228" s="65"/>
      <c r="E228" s="51" t="s">
        <v>489</v>
      </c>
      <c r="F228" s="7"/>
      <c r="G228" s="8"/>
      <c r="H228" s="7"/>
      <c r="I228" s="6"/>
      <c r="J228" s="7"/>
      <c r="K228" s="8"/>
      <c r="L228" s="7"/>
      <c r="M228" s="8"/>
      <c r="N228" s="7"/>
      <c r="O228" s="8"/>
      <c r="P228" s="7"/>
      <c r="Q228" s="7"/>
      <c r="R228" s="8"/>
      <c r="S228" s="7"/>
      <c r="T228" s="9"/>
      <c r="U228" s="7"/>
      <c r="V228" s="8"/>
      <c r="W228" s="7"/>
      <c r="X228" s="7"/>
      <c r="Y228" s="8"/>
      <c r="Z228" s="7"/>
      <c r="AA228" s="8"/>
    </row>
    <row r="229" spans="4:27" ht="15" thickTop="1" thickBot="1">
      <c r="D229" s="65"/>
      <c r="E229" s="51" t="s">
        <v>493</v>
      </c>
      <c r="F229" s="7"/>
      <c r="G229" s="8"/>
      <c r="H229" s="7"/>
      <c r="I229" s="6"/>
      <c r="J229" s="7"/>
      <c r="K229" s="8"/>
      <c r="L229" s="7"/>
      <c r="M229" s="8"/>
      <c r="N229" s="7"/>
      <c r="O229" s="8"/>
      <c r="P229" s="7"/>
      <c r="Q229" s="7"/>
      <c r="R229" s="8"/>
      <c r="S229" s="7"/>
      <c r="T229" s="9"/>
      <c r="U229" s="7"/>
      <c r="V229" s="8"/>
      <c r="W229" s="7"/>
      <c r="X229" s="7"/>
      <c r="Y229" s="8"/>
      <c r="Z229" s="7"/>
      <c r="AA229" s="8"/>
    </row>
    <row r="230" spans="4:27" ht="15" thickTop="1" thickBot="1">
      <c r="D230" s="65"/>
      <c r="E230" s="51" t="s">
        <v>521</v>
      </c>
      <c r="F230" s="7"/>
      <c r="G230" s="8"/>
      <c r="H230" s="7"/>
      <c r="I230" s="6"/>
      <c r="J230" s="7"/>
      <c r="K230" s="8"/>
      <c r="L230" s="7"/>
      <c r="M230" s="8"/>
      <c r="N230" s="7"/>
      <c r="O230" s="8"/>
      <c r="P230" s="7"/>
      <c r="Q230" s="7"/>
      <c r="R230" s="8"/>
      <c r="S230" s="7"/>
      <c r="T230" s="9"/>
      <c r="U230" s="7"/>
      <c r="V230" s="8"/>
      <c r="W230" s="7"/>
      <c r="X230" s="7"/>
      <c r="Y230" s="8"/>
      <c r="Z230" s="7"/>
      <c r="AA230" s="8"/>
    </row>
    <row r="231" spans="4:27" ht="15" thickTop="1" thickBot="1">
      <c r="D231" s="65"/>
      <c r="E231" s="51" t="s">
        <v>506</v>
      </c>
      <c r="F231" s="7"/>
      <c r="G231" s="8"/>
      <c r="H231" s="7"/>
      <c r="I231" s="6"/>
      <c r="J231" s="7"/>
      <c r="K231" s="8"/>
      <c r="L231" s="7"/>
      <c r="M231" s="8"/>
      <c r="N231" s="7"/>
      <c r="O231" s="8"/>
      <c r="P231" s="7"/>
      <c r="Q231" s="7"/>
      <c r="R231" s="8"/>
      <c r="S231" s="7"/>
      <c r="T231" s="9"/>
      <c r="U231" s="7"/>
      <c r="V231" s="8"/>
      <c r="W231" s="7"/>
      <c r="X231" s="7"/>
      <c r="Y231" s="8"/>
      <c r="Z231" s="7"/>
      <c r="AA231" s="8"/>
    </row>
    <row r="232" spans="4:27" ht="15" thickTop="1" thickBot="1">
      <c r="D232" s="65"/>
      <c r="E232" s="51" t="s">
        <v>910</v>
      </c>
      <c r="F232" s="7"/>
      <c r="G232" s="8"/>
      <c r="H232" s="7"/>
      <c r="I232" s="6"/>
      <c r="J232" s="7"/>
      <c r="K232" s="8"/>
      <c r="L232" s="7"/>
      <c r="M232" s="8"/>
      <c r="N232" s="7"/>
      <c r="O232" s="8"/>
      <c r="P232" s="7"/>
      <c r="Q232" s="7"/>
      <c r="R232" s="8"/>
      <c r="S232" s="7"/>
      <c r="T232" s="9"/>
      <c r="U232" s="7"/>
      <c r="V232" s="8"/>
      <c r="W232" s="7"/>
      <c r="X232" s="7"/>
      <c r="Y232" s="8"/>
      <c r="Z232" s="7"/>
      <c r="AA232" s="8"/>
    </row>
    <row r="233" spans="4:27" ht="15" thickTop="1" thickBot="1">
      <c r="D233" s="65"/>
      <c r="E233" s="51" t="s">
        <v>883</v>
      </c>
      <c r="F233" s="7"/>
      <c r="G233" s="8"/>
      <c r="H233" s="7"/>
      <c r="I233" s="6"/>
      <c r="J233" s="7"/>
      <c r="K233" s="8"/>
      <c r="L233" s="7"/>
      <c r="M233" s="8"/>
      <c r="N233" s="7"/>
      <c r="O233" s="8"/>
      <c r="P233" s="7"/>
      <c r="Q233" s="7"/>
      <c r="R233" s="8"/>
      <c r="S233" s="7"/>
      <c r="T233" s="9"/>
      <c r="U233" s="7"/>
      <c r="V233" s="8"/>
      <c r="W233" s="7"/>
      <c r="X233" s="7"/>
      <c r="Y233" s="8"/>
      <c r="Z233" s="7"/>
      <c r="AA233" s="8"/>
    </row>
    <row r="234" spans="4:27" ht="15" thickTop="1" thickBot="1">
      <c r="D234" s="65"/>
      <c r="E234" s="51" t="s">
        <v>491</v>
      </c>
      <c r="F234" s="7"/>
      <c r="G234" s="8"/>
      <c r="H234" s="7"/>
      <c r="I234" s="6"/>
      <c r="J234" s="7"/>
      <c r="K234" s="8"/>
      <c r="L234" s="7"/>
      <c r="M234" s="8"/>
      <c r="N234" s="7"/>
      <c r="O234" s="8"/>
      <c r="P234" s="7"/>
      <c r="Q234" s="7"/>
      <c r="R234" s="8"/>
      <c r="S234" s="7"/>
      <c r="T234" s="9"/>
      <c r="U234" s="7"/>
      <c r="V234" s="8"/>
      <c r="W234" s="7"/>
      <c r="X234" s="7"/>
      <c r="Y234" s="8"/>
      <c r="Z234" s="7"/>
      <c r="AA234" s="8"/>
    </row>
    <row r="235" spans="4:27" ht="15" thickTop="1" thickBot="1">
      <c r="D235" s="65"/>
      <c r="E235" s="51" t="s">
        <v>496</v>
      </c>
      <c r="F235" s="7"/>
      <c r="G235" s="8"/>
      <c r="H235" s="7"/>
      <c r="I235" s="6"/>
      <c r="J235" s="7"/>
      <c r="K235" s="8"/>
      <c r="L235" s="7"/>
      <c r="M235" s="8"/>
      <c r="N235" s="7"/>
      <c r="O235" s="8"/>
      <c r="P235" s="7"/>
      <c r="Q235" s="7"/>
      <c r="R235" s="8"/>
      <c r="S235" s="7"/>
      <c r="T235" s="9"/>
      <c r="U235" s="7"/>
      <c r="V235" s="8"/>
      <c r="W235" s="7"/>
      <c r="X235" s="7"/>
      <c r="Y235" s="8"/>
      <c r="Z235" s="7"/>
      <c r="AA235" s="8"/>
    </row>
    <row r="236" spans="4:27" ht="15" thickTop="1" thickBot="1">
      <c r="D236" s="65"/>
      <c r="E236" s="51" t="s">
        <v>448</v>
      </c>
      <c r="F236" s="7"/>
      <c r="G236" s="8"/>
      <c r="H236" s="7"/>
      <c r="I236" s="6"/>
      <c r="J236" s="7"/>
      <c r="K236" s="8"/>
      <c r="L236" s="7"/>
      <c r="M236" s="8"/>
      <c r="N236" s="7"/>
      <c r="O236" s="8"/>
      <c r="P236" s="7"/>
      <c r="Q236" s="7"/>
      <c r="R236" s="8"/>
      <c r="S236" s="7"/>
      <c r="T236" s="9"/>
      <c r="U236" s="7"/>
      <c r="V236" s="8"/>
      <c r="W236" s="7"/>
      <c r="X236" s="7"/>
      <c r="Y236" s="8"/>
      <c r="Z236" s="7"/>
      <c r="AA236" s="8"/>
    </row>
    <row r="237" spans="4:27" ht="15" thickTop="1" thickBot="1">
      <c r="D237" s="65"/>
      <c r="E237" s="51" t="s">
        <v>449</v>
      </c>
      <c r="F237" s="7"/>
      <c r="G237" s="8"/>
      <c r="H237" s="7"/>
      <c r="I237" s="6"/>
      <c r="J237" s="7"/>
      <c r="K237" s="8"/>
      <c r="L237" s="7"/>
      <c r="M237" s="8"/>
      <c r="N237" s="7"/>
      <c r="O237" s="8"/>
      <c r="P237" s="7"/>
      <c r="Q237" s="7"/>
      <c r="R237" s="8"/>
      <c r="S237" s="7"/>
      <c r="T237" s="9"/>
      <c r="U237" s="7"/>
      <c r="V237" s="8"/>
      <c r="W237" s="7"/>
      <c r="X237" s="7"/>
      <c r="Y237" s="8"/>
      <c r="Z237" s="7"/>
      <c r="AA237" s="8"/>
    </row>
    <row r="238" spans="4:27" ht="15" thickTop="1" thickBot="1">
      <c r="D238" s="65"/>
      <c r="E238" s="51" t="s">
        <v>413</v>
      </c>
      <c r="F238" s="7"/>
      <c r="G238" s="8"/>
      <c r="H238" s="7"/>
      <c r="I238" s="6"/>
      <c r="J238" s="7"/>
      <c r="K238" s="8"/>
      <c r="L238" s="7"/>
      <c r="M238" s="8"/>
      <c r="N238" s="7"/>
      <c r="O238" s="8"/>
      <c r="P238" s="7"/>
      <c r="Q238" s="7"/>
      <c r="R238" s="8"/>
      <c r="S238" s="7"/>
      <c r="T238" s="9"/>
      <c r="U238" s="7"/>
      <c r="V238" s="8"/>
      <c r="W238" s="7"/>
      <c r="X238" s="7"/>
      <c r="Y238" s="8"/>
      <c r="Z238" s="7"/>
      <c r="AA238" s="8"/>
    </row>
    <row r="239" spans="4:27" ht="15" thickTop="1" thickBot="1">
      <c r="D239" s="65"/>
      <c r="E239" s="51" t="s">
        <v>836</v>
      </c>
      <c r="F239" s="7"/>
      <c r="G239" s="8"/>
      <c r="H239" s="7"/>
      <c r="I239" s="6"/>
      <c r="J239" s="7"/>
      <c r="K239" s="8"/>
      <c r="L239" s="7"/>
      <c r="M239" s="8"/>
      <c r="N239" s="7"/>
      <c r="O239" s="8"/>
      <c r="P239" s="7"/>
      <c r="Q239" s="7"/>
      <c r="R239" s="8"/>
      <c r="S239" s="7"/>
      <c r="T239" s="9"/>
      <c r="U239" s="7"/>
      <c r="V239" s="8"/>
      <c r="W239" s="7"/>
      <c r="X239" s="7"/>
      <c r="Y239" s="8"/>
      <c r="Z239" s="7"/>
      <c r="AA239" s="8"/>
    </row>
    <row r="240" spans="4:27" ht="15" thickTop="1" thickBot="1">
      <c r="D240" s="65"/>
      <c r="E240" s="51" t="s">
        <v>861</v>
      </c>
      <c r="F240" s="7"/>
      <c r="G240" s="8"/>
      <c r="H240" s="7"/>
      <c r="I240" s="6"/>
      <c r="J240" s="7"/>
      <c r="K240" s="8"/>
      <c r="L240" s="7"/>
      <c r="M240" s="8"/>
      <c r="N240" s="7"/>
      <c r="O240" s="8"/>
      <c r="P240" s="7"/>
      <c r="Q240" s="7"/>
      <c r="R240" s="8"/>
      <c r="S240" s="7"/>
      <c r="T240" s="9"/>
      <c r="U240" s="7"/>
      <c r="V240" s="8"/>
      <c r="W240" s="7"/>
      <c r="X240" s="7"/>
      <c r="Y240" s="8"/>
      <c r="Z240" s="7"/>
      <c r="AA240" s="8"/>
    </row>
    <row r="241" spans="4:27" ht="15" thickTop="1" thickBot="1">
      <c r="D241" s="65"/>
      <c r="E241" s="51" t="s">
        <v>1089</v>
      </c>
      <c r="F241" s="7"/>
      <c r="G241" s="8"/>
      <c r="H241" s="7"/>
      <c r="I241" s="6"/>
      <c r="J241" s="7"/>
      <c r="K241" s="8"/>
      <c r="L241" s="7"/>
      <c r="M241" s="8"/>
      <c r="N241" s="7"/>
      <c r="O241" s="8"/>
      <c r="P241" s="7"/>
      <c r="Q241" s="7"/>
      <c r="R241" s="8"/>
      <c r="S241" s="7"/>
      <c r="T241" s="9"/>
      <c r="U241" s="7"/>
      <c r="V241" s="8"/>
      <c r="W241" s="7"/>
      <c r="X241" s="7"/>
      <c r="Y241" s="8"/>
      <c r="Z241" s="7"/>
      <c r="AA241" s="8"/>
    </row>
    <row r="242" spans="4:27" ht="15" thickTop="1" thickBot="1">
      <c r="D242" s="65"/>
      <c r="E242" s="51" t="s">
        <v>424</v>
      </c>
      <c r="F242" s="7"/>
      <c r="G242" s="8"/>
      <c r="H242" s="7"/>
      <c r="I242" s="6"/>
      <c r="J242" s="7"/>
      <c r="K242" s="8"/>
      <c r="L242" s="7"/>
      <c r="M242" s="8"/>
      <c r="N242" s="7"/>
      <c r="O242" s="8"/>
      <c r="P242" s="7"/>
      <c r="Q242" s="7"/>
      <c r="R242" s="8"/>
      <c r="S242" s="7"/>
      <c r="T242" s="9"/>
      <c r="U242" s="7"/>
      <c r="V242" s="8"/>
      <c r="W242" s="7"/>
      <c r="X242" s="7"/>
      <c r="Y242" s="8"/>
      <c r="Z242" s="7"/>
      <c r="AA242" s="8"/>
    </row>
    <row r="243" spans="4:27" ht="15" thickTop="1" thickBot="1">
      <c r="D243" s="65"/>
      <c r="E243" s="51" t="s">
        <v>298</v>
      </c>
      <c r="F243" s="7"/>
      <c r="G243" s="8"/>
      <c r="H243" s="7"/>
      <c r="I243" s="6"/>
      <c r="J243" s="7"/>
      <c r="K243" s="8"/>
      <c r="L243" s="7"/>
      <c r="M243" s="8"/>
      <c r="N243" s="7"/>
      <c r="O243" s="8"/>
      <c r="P243" s="7"/>
      <c r="Q243" s="7"/>
      <c r="R243" s="8"/>
      <c r="S243" s="7"/>
      <c r="T243" s="9"/>
      <c r="U243" s="7"/>
      <c r="V243" s="8"/>
      <c r="W243" s="7"/>
      <c r="X243" s="7"/>
      <c r="Y243" s="8"/>
      <c r="Z243" s="7"/>
      <c r="AA243" s="8"/>
    </row>
    <row r="244" spans="4:27" ht="15" thickTop="1" thickBot="1">
      <c r="D244" s="65"/>
      <c r="E244" s="51" t="s">
        <v>443</v>
      </c>
      <c r="F244" s="7"/>
      <c r="G244" s="8"/>
      <c r="H244" s="7"/>
      <c r="I244" s="6"/>
      <c r="J244" s="7"/>
      <c r="K244" s="8"/>
      <c r="L244" s="7"/>
      <c r="M244" s="8"/>
      <c r="N244" s="7"/>
      <c r="O244" s="8"/>
      <c r="P244" s="7"/>
      <c r="Q244" s="7"/>
      <c r="R244" s="8"/>
      <c r="S244" s="7"/>
      <c r="T244" s="9"/>
      <c r="U244" s="7"/>
      <c r="V244" s="8"/>
      <c r="W244" s="7"/>
      <c r="X244" s="7"/>
      <c r="Y244" s="8"/>
      <c r="Z244" s="7"/>
      <c r="AA244" s="8"/>
    </row>
    <row r="245" spans="4:27" ht="15" thickTop="1" thickBot="1">
      <c r="D245" s="65"/>
      <c r="E245" s="51" t="s">
        <v>860</v>
      </c>
      <c r="F245" s="7"/>
      <c r="G245" s="8"/>
      <c r="H245" s="7"/>
      <c r="I245" s="6"/>
      <c r="J245" s="7"/>
      <c r="K245" s="8"/>
      <c r="L245" s="7"/>
      <c r="M245" s="8"/>
      <c r="N245" s="7"/>
      <c r="O245" s="8"/>
      <c r="P245" s="7"/>
      <c r="Q245" s="7"/>
      <c r="R245" s="8"/>
      <c r="S245" s="7"/>
      <c r="T245" s="9"/>
      <c r="U245" s="7"/>
      <c r="V245" s="8"/>
      <c r="W245" s="7"/>
      <c r="X245" s="7"/>
      <c r="Y245" s="8"/>
      <c r="Z245" s="7"/>
      <c r="AA245" s="8"/>
    </row>
    <row r="246" spans="4:27" ht="15" thickTop="1" thickBot="1">
      <c r="D246" s="65"/>
      <c r="E246" s="51" t="s">
        <v>862</v>
      </c>
      <c r="F246" s="7"/>
      <c r="G246" s="8"/>
      <c r="H246" s="7"/>
      <c r="I246" s="6"/>
      <c r="J246" s="7"/>
      <c r="K246" s="8"/>
      <c r="L246" s="7"/>
      <c r="M246" s="8"/>
      <c r="N246" s="7"/>
      <c r="O246" s="8"/>
      <c r="P246" s="7"/>
      <c r="Q246" s="7"/>
      <c r="R246" s="8"/>
      <c r="S246" s="7"/>
      <c r="T246" s="9"/>
      <c r="U246" s="7"/>
      <c r="V246" s="8"/>
      <c r="W246" s="7"/>
      <c r="X246" s="7"/>
      <c r="Y246" s="8"/>
      <c r="Z246" s="7"/>
      <c r="AA246" s="8"/>
    </row>
    <row r="247" spans="4:27" ht="15" thickTop="1" thickBot="1">
      <c r="D247" s="65"/>
      <c r="E247" s="51" t="s">
        <v>450</v>
      </c>
      <c r="F247" s="7"/>
      <c r="G247" s="8"/>
      <c r="H247" s="7"/>
      <c r="I247" s="6"/>
      <c r="J247" s="7"/>
      <c r="K247" s="8"/>
      <c r="L247" s="7"/>
      <c r="M247" s="8"/>
      <c r="N247" s="7"/>
      <c r="O247" s="8"/>
      <c r="P247" s="7"/>
      <c r="Q247" s="7"/>
      <c r="R247" s="8"/>
      <c r="S247" s="7"/>
      <c r="T247" s="9"/>
      <c r="U247" s="7"/>
      <c r="V247" s="8"/>
      <c r="W247" s="7"/>
      <c r="X247" s="7"/>
      <c r="Y247" s="8"/>
      <c r="Z247" s="7"/>
      <c r="AA247" s="8"/>
    </row>
    <row r="248" spans="4:27" ht="15" thickTop="1" thickBot="1">
      <c r="D248" s="65"/>
      <c r="E248" s="51" t="s">
        <v>865</v>
      </c>
      <c r="F248" s="7"/>
      <c r="G248" s="8"/>
      <c r="H248" s="7"/>
      <c r="I248" s="6"/>
      <c r="J248" s="7"/>
      <c r="K248" s="8"/>
      <c r="L248" s="7"/>
      <c r="M248" s="8"/>
      <c r="N248" s="7"/>
      <c r="O248" s="8"/>
      <c r="P248" s="7"/>
      <c r="Q248" s="7"/>
      <c r="R248" s="8"/>
      <c r="S248" s="7"/>
      <c r="T248" s="9"/>
      <c r="U248" s="7"/>
      <c r="V248" s="8"/>
      <c r="W248" s="7"/>
      <c r="X248" s="7"/>
      <c r="Y248" s="8"/>
      <c r="Z248" s="7"/>
      <c r="AA248" s="8"/>
    </row>
    <row r="249" spans="4:27" ht="15" thickTop="1" thickBot="1">
      <c r="D249" s="65"/>
      <c r="E249" s="51" t="s">
        <v>447</v>
      </c>
      <c r="F249" s="7"/>
      <c r="G249" s="8"/>
      <c r="H249" s="7"/>
      <c r="I249" s="6"/>
      <c r="J249" s="7"/>
      <c r="K249" s="8"/>
      <c r="L249" s="7"/>
      <c r="M249" s="8"/>
      <c r="N249" s="7"/>
      <c r="O249" s="8"/>
      <c r="P249" s="7"/>
      <c r="Q249" s="7"/>
      <c r="R249" s="8"/>
      <c r="S249" s="7"/>
      <c r="T249" s="9"/>
      <c r="U249" s="7"/>
      <c r="V249" s="8"/>
      <c r="W249" s="7"/>
      <c r="X249" s="7"/>
      <c r="Y249" s="8"/>
      <c r="Z249" s="7"/>
      <c r="AA249" s="8"/>
    </row>
    <row r="250" spans="4:27" ht="15" thickTop="1" thickBot="1">
      <c r="D250" s="65"/>
      <c r="E250" s="51" t="s">
        <v>445</v>
      </c>
      <c r="F250" s="7"/>
      <c r="G250" s="8"/>
      <c r="H250" s="7"/>
      <c r="I250" s="6"/>
      <c r="J250" s="7"/>
      <c r="K250" s="8"/>
      <c r="L250" s="7"/>
      <c r="M250" s="8"/>
      <c r="N250" s="7"/>
      <c r="O250" s="8"/>
      <c r="P250" s="7"/>
      <c r="Q250" s="7"/>
      <c r="R250" s="8"/>
      <c r="S250" s="7"/>
      <c r="T250" s="9"/>
      <c r="U250" s="7"/>
      <c r="V250" s="8"/>
      <c r="W250" s="7"/>
      <c r="X250" s="7"/>
      <c r="Y250" s="8"/>
      <c r="Z250" s="7"/>
      <c r="AA250" s="8"/>
    </row>
    <row r="251" spans="4:27" ht="15" thickTop="1" thickBot="1">
      <c r="D251" s="65"/>
      <c r="E251" s="51" t="s">
        <v>442</v>
      </c>
      <c r="F251" s="7"/>
      <c r="G251" s="8"/>
      <c r="H251" s="7"/>
      <c r="I251" s="6"/>
      <c r="J251" s="7"/>
      <c r="K251" s="8"/>
      <c r="L251" s="7"/>
      <c r="M251" s="8"/>
      <c r="N251" s="7"/>
      <c r="O251" s="8"/>
      <c r="P251" s="7"/>
      <c r="Q251" s="7"/>
      <c r="R251" s="8"/>
      <c r="S251" s="7"/>
      <c r="T251" s="9"/>
      <c r="U251" s="7"/>
      <c r="V251" s="8"/>
      <c r="W251" s="7"/>
      <c r="X251" s="7"/>
      <c r="Y251" s="8"/>
      <c r="Z251" s="7"/>
      <c r="AA251" s="8"/>
    </row>
    <row r="252" spans="4:27" ht="15" thickTop="1" thickBot="1">
      <c r="D252" s="65"/>
      <c r="E252" s="51" t="s">
        <v>441</v>
      </c>
      <c r="F252" s="7"/>
      <c r="G252" s="8"/>
      <c r="H252" s="7"/>
      <c r="I252" s="6"/>
      <c r="J252" s="7"/>
      <c r="K252" s="8"/>
      <c r="L252" s="7"/>
      <c r="M252" s="8"/>
      <c r="N252" s="7"/>
      <c r="O252" s="8"/>
      <c r="P252" s="7"/>
      <c r="Q252" s="7"/>
      <c r="R252" s="8"/>
      <c r="S252" s="7"/>
      <c r="T252" s="9"/>
      <c r="U252" s="7"/>
      <c r="V252" s="8"/>
      <c r="W252" s="7"/>
      <c r="X252" s="7"/>
      <c r="Y252" s="8"/>
      <c r="Z252" s="7"/>
      <c r="AA252" s="8"/>
    </row>
    <row r="253" spans="4:27" ht="15" thickTop="1" thickBot="1">
      <c r="D253" s="65"/>
      <c r="E253" s="51" t="s">
        <v>436</v>
      </c>
      <c r="F253" s="7"/>
      <c r="G253" s="8"/>
      <c r="H253" s="7"/>
      <c r="I253" s="6"/>
      <c r="J253" s="7"/>
      <c r="K253" s="8"/>
      <c r="L253" s="7"/>
      <c r="M253" s="8"/>
      <c r="N253" s="7"/>
      <c r="O253" s="8"/>
      <c r="P253" s="7"/>
      <c r="Q253" s="7"/>
      <c r="R253" s="8"/>
      <c r="S253" s="7"/>
      <c r="T253" s="9"/>
      <c r="U253" s="7"/>
      <c r="V253" s="8"/>
      <c r="W253" s="7"/>
      <c r="X253" s="7"/>
      <c r="Y253" s="8"/>
      <c r="Z253" s="7"/>
      <c r="AA253" s="8"/>
    </row>
    <row r="254" spans="4:27" ht="15" thickTop="1" thickBot="1">
      <c r="D254" s="65"/>
      <c r="E254" s="51" t="s">
        <v>866</v>
      </c>
      <c r="F254" s="7"/>
      <c r="G254" s="8"/>
      <c r="H254" s="7"/>
      <c r="I254" s="6"/>
      <c r="J254" s="7"/>
      <c r="K254" s="8"/>
      <c r="L254" s="7"/>
      <c r="M254" s="8"/>
      <c r="N254" s="7"/>
      <c r="O254" s="8"/>
      <c r="P254" s="7"/>
      <c r="Q254" s="7"/>
      <c r="R254" s="8"/>
      <c r="S254" s="7"/>
      <c r="T254" s="9"/>
      <c r="U254" s="7"/>
      <c r="V254" s="8"/>
      <c r="W254" s="7"/>
      <c r="X254" s="7"/>
      <c r="Y254" s="8"/>
      <c r="Z254" s="7"/>
      <c r="AA254" s="8"/>
    </row>
    <row r="255" spans="4:27" ht="15" thickTop="1" thickBot="1">
      <c r="D255" s="65"/>
      <c r="E255" s="51" t="s">
        <v>864</v>
      </c>
      <c r="F255" s="7"/>
      <c r="G255" s="8"/>
      <c r="H255" s="7"/>
      <c r="I255" s="6"/>
      <c r="J255" s="7"/>
      <c r="K255" s="8"/>
      <c r="L255" s="7"/>
      <c r="M255" s="8"/>
      <c r="N255" s="7"/>
      <c r="O255" s="8"/>
      <c r="P255" s="7"/>
      <c r="Q255" s="7"/>
      <c r="R255" s="8"/>
      <c r="S255" s="7"/>
      <c r="T255" s="9"/>
      <c r="U255" s="7"/>
      <c r="V255" s="8"/>
      <c r="W255" s="7"/>
      <c r="X255" s="7"/>
      <c r="Y255" s="8"/>
      <c r="Z255" s="7"/>
      <c r="AA255" s="8"/>
    </row>
    <row r="256" spans="4:27" ht="15" thickTop="1" thickBot="1">
      <c r="D256" s="65"/>
      <c r="E256" s="51" t="s">
        <v>841</v>
      </c>
      <c r="F256" s="7"/>
      <c r="G256" s="8"/>
      <c r="H256" s="7"/>
      <c r="I256" s="6"/>
      <c r="J256" s="7"/>
      <c r="K256" s="8"/>
      <c r="L256" s="7"/>
      <c r="M256" s="8"/>
      <c r="N256" s="7"/>
      <c r="O256" s="8"/>
      <c r="P256" s="7"/>
      <c r="Q256" s="7"/>
      <c r="R256" s="8"/>
      <c r="S256" s="7"/>
      <c r="T256" s="9"/>
      <c r="U256" s="7"/>
      <c r="V256" s="8"/>
      <c r="W256" s="7"/>
      <c r="X256" s="7"/>
      <c r="Y256" s="8"/>
      <c r="Z256" s="7"/>
      <c r="AA256" s="8"/>
    </row>
    <row r="257" spans="4:27" ht="15" thickTop="1" thickBot="1">
      <c r="D257" s="65"/>
      <c r="E257" s="51" t="s">
        <v>835</v>
      </c>
      <c r="F257" s="7"/>
      <c r="G257" s="8"/>
      <c r="H257" s="7"/>
      <c r="I257" s="6"/>
      <c r="J257" s="7"/>
      <c r="K257" s="8"/>
      <c r="L257" s="7"/>
      <c r="M257" s="8"/>
      <c r="N257" s="7"/>
      <c r="O257" s="8"/>
      <c r="P257" s="7"/>
      <c r="Q257" s="7"/>
      <c r="R257" s="8"/>
      <c r="S257" s="7"/>
      <c r="T257" s="9"/>
      <c r="U257" s="7"/>
      <c r="V257" s="8"/>
      <c r="W257" s="7"/>
      <c r="X257" s="7"/>
      <c r="Y257" s="8"/>
      <c r="Z257" s="7"/>
      <c r="AA257" s="8"/>
    </row>
    <row r="258" spans="4:27" ht="15" thickTop="1" thickBot="1">
      <c r="D258" s="65"/>
      <c r="E258" s="51" t="s">
        <v>837</v>
      </c>
      <c r="F258" s="7"/>
      <c r="G258" s="8"/>
      <c r="H258" s="7"/>
      <c r="I258" s="6"/>
      <c r="J258" s="7"/>
      <c r="K258" s="8"/>
      <c r="L258" s="7"/>
      <c r="M258" s="8"/>
      <c r="N258" s="7"/>
      <c r="O258" s="8"/>
      <c r="P258" s="7"/>
      <c r="Q258" s="7"/>
      <c r="R258" s="8"/>
      <c r="S258" s="7"/>
      <c r="T258" s="9"/>
      <c r="U258" s="7"/>
      <c r="V258" s="8"/>
      <c r="W258" s="7"/>
      <c r="X258" s="7"/>
      <c r="Y258" s="8"/>
      <c r="Z258" s="7"/>
      <c r="AA258" s="8"/>
    </row>
    <row r="259" spans="4:27" ht="15" thickTop="1" thickBot="1">
      <c r="D259" s="65"/>
      <c r="E259" s="51" t="s">
        <v>838</v>
      </c>
      <c r="F259" s="7"/>
      <c r="G259" s="8"/>
      <c r="H259" s="7"/>
      <c r="I259" s="6"/>
      <c r="J259" s="7"/>
      <c r="K259" s="8"/>
      <c r="L259" s="7"/>
      <c r="M259" s="8"/>
      <c r="N259" s="7"/>
      <c r="O259" s="8"/>
      <c r="P259" s="7"/>
      <c r="Q259" s="7"/>
      <c r="R259" s="8"/>
      <c r="S259" s="7"/>
      <c r="T259" s="9"/>
      <c r="U259" s="7"/>
      <c r="V259" s="8"/>
      <c r="W259" s="7"/>
      <c r="X259" s="7"/>
      <c r="Y259" s="8"/>
      <c r="Z259" s="7"/>
      <c r="AA259" s="8"/>
    </row>
    <row r="260" spans="4:27" ht="15" thickTop="1" thickBot="1">
      <c r="D260" s="65"/>
      <c r="E260" s="51" t="s">
        <v>869</v>
      </c>
      <c r="F260" s="7"/>
      <c r="G260" s="8"/>
      <c r="H260" s="7"/>
      <c r="I260" s="6"/>
      <c r="J260" s="7"/>
      <c r="K260" s="8"/>
      <c r="L260" s="7"/>
      <c r="M260" s="8"/>
      <c r="N260" s="7"/>
      <c r="O260" s="8"/>
      <c r="P260" s="7"/>
      <c r="Q260" s="7"/>
      <c r="R260" s="8"/>
      <c r="S260" s="7"/>
      <c r="T260" s="9"/>
      <c r="U260" s="7"/>
      <c r="V260" s="8"/>
      <c r="W260" s="7"/>
      <c r="X260" s="7"/>
      <c r="Y260" s="8"/>
      <c r="Z260" s="7"/>
      <c r="AA260" s="8"/>
    </row>
    <row r="261" spans="4:27" ht="15" thickTop="1" thickBot="1">
      <c r="D261" s="65"/>
      <c r="E261" s="51" t="s">
        <v>839</v>
      </c>
      <c r="F261" s="7"/>
      <c r="G261" s="8"/>
      <c r="H261" s="7"/>
      <c r="I261" s="6"/>
      <c r="J261" s="7"/>
      <c r="K261" s="8"/>
      <c r="L261" s="7"/>
      <c r="M261" s="8"/>
      <c r="N261" s="7"/>
      <c r="O261" s="8"/>
      <c r="P261" s="7"/>
      <c r="Q261" s="7"/>
      <c r="R261" s="8"/>
      <c r="S261" s="7"/>
      <c r="T261" s="9"/>
      <c r="U261" s="7"/>
      <c r="V261" s="8"/>
      <c r="W261" s="7"/>
      <c r="X261" s="7"/>
      <c r="Y261" s="8"/>
      <c r="Z261" s="7"/>
      <c r="AA261" s="8"/>
    </row>
    <row r="262" spans="4:27" ht="15" thickTop="1" thickBot="1">
      <c r="D262" s="65"/>
      <c r="E262" s="51" t="s">
        <v>840</v>
      </c>
      <c r="F262" s="7"/>
      <c r="G262" s="8"/>
      <c r="H262" s="7"/>
      <c r="I262" s="6"/>
      <c r="J262" s="7"/>
      <c r="K262" s="8"/>
      <c r="L262" s="7"/>
      <c r="M262" s="8"/>
      <c r="N262" s="7"/>
      <c r="O262" s="8"/>
      <c r="P262" s="7"/>
      <c r="Q262" s="7"/>
      <c r="R262" s="8"/>
      <c r="S262" s="7"/>
      <c r="T262" s="9"/>
      <c r="U262" s="7"/>
      <c r="V262" s="8"/>
      <c r="W262" s="7"/>
      <c r="X262" s="7"/>
      <c r="Y262" s="8"/>
      <c r="Z262" s="7"/>
      <c r="AA262" s="8"/>
    </row>
    <row r="263" spans="4:27" ht="15" thickTop="1" thickBot="1">
      <c r="D263" s="65"/>
      <c r="E263" s="51" t="s">
        <v>418</v>
      </c>
      <c r="F263" s="7"/>
      <c r="G263" s="8"/>
      <c r="H263" s="7"/>
      <c r="I263" s="6"/>
      <c r="J263" s="7"/>
      <c r="K263" s="8"/>
      <c r="L263" s="7"/>
      <c r="M263" s="8"/>
      <c r="N263" s="7"/>
      <c r="O263" s="8"/>
      <c r="P263" s="7"/>
      <c r="Q263" s="7"/>
      <c r="R263" s="8"/>
      <c r="S263" s="7"/>
      <c r="T263" s="9"/>
      <c r="U263" s="7"/>
      <c r="V263" s="8"/>
      <c r="W263" s="7"/>
      <c r="X263" s="7"/>
      <c r="Y263" s="8"/>
      <c r="Z263" s="7"/>
      <c r="AA263" s="8"/>
    </row>
    <row r="264" spans="4:27" ht="15" thickTop="1" thickBot="1">
      <c r="D264" s="65"/>
      <c r="E264" s="51" t="s">
        <v>439</v>
      </c>
      <c r="F264" s="7"/>
      <c r="G264" s="8"/>
      <c r="H264" s="7"/>
      <c r="I264" s="6"/>
      <c r="J264" s="7"/>
      <c r="K264" s="8"/>
      <c r="L264" s="7"/>
      <c r="M264" s="8"/>
      <c r="N264" s="7"/>
      <c r="O264" s="8"/>
      <c r="P264" s="7"/>
      <c r="Q264" s="7"/>
      <c r="R264" s="8"/>
      <c r="S264" s="7"/>
      <c r="T264" s="9"/>
      <c r="U264" s="7"/>
      <c r="V264" s="8"/>
      <c r="W264" s="7"/>
      <c r="X264" s="7"/>
      <c r="Y264" s="8"/>
      <c r="Z264" s="7"/>
      <c r="AA264" s="8"/>
    </row>
    <row r="265" spans="4:27" ht="15" thickTop="1" thickBot="1">
      <c r="D265" s="65"/>
      <c r="E265" s="51" t="s">
        <v>433</v>
      </c>
      <c r="F265" s="7"/>
      <c r="G265" s="8"/>
      <c r="H265" s="7"/>
      <c r="I265" s="6"/>
      <c r="J265" s="7"/>
      <c r="K265" s="8"/>
      <c r="L265" s="7"/>
      <c r="M265" s="8"/>
      <c r="N265" s="7"/>
      <c r="O265" s="8"/>
      <c r="P265" s="7"/>
      <c r="Q265" s="7"/>
      <c r="R265" s="8"/>
      <c r="S265" s="7"/>
      <c r="T265" s="9"/>
      <c r="U265" s="7"/>
      <c r="V265" s="8"/>
      <c r="W265" s="7"/>
      <c r="X265" s="7"/>
      <c r="Y265" s="8"/>
      <c r="Z265" s="7"/>
      <c r="AA265" s="8"/>
    </row>
    <row r="266" spans="4:27" ht="15" thickTop="1" thickBot="1">
      <c r="D266" s="65"/>
      <c r="E266" s="51" t="s">
        <v>416</v>
      </c>
      <c r="F266" s="7"/>
      <c r="G266" s="8"/>
      <c r="H266" s="7"/>
      <c r="I266" s="6"/>
      <c r="J266" s="7"/>
      <c r="K266" s="8"/>
      <c r="L266" s="7"/>
      <c r="M266" s="8"/>
      <c r="N266" s="7"/>
      <c r="O266" s="8"/>
      <c r="P266" s="7"/>
      <c r="Q266" s="7"/>
      <c r="R266" s="8"/>
      <c r="S266" s="7"/>
      <c r="T266" s="9"/>
      <c r="U266" s="7"/>
      <c r="V266" s="8"/>
      <c r="W266" s="7"/>
      <c r="X266" s="7"/>
      <c r="Y266" s="8"/>
      <c r="Z266" s="7"/>
      <c r="AA266" s="8"/>
    </row>
    <row r="267" spans="4:27" ht="15" thickTop="1" thickBot="1">
      <c r="D267" s="65"/>
      <c r="E267" s="51" t="s">
        <v>420</v>
      </c>
      <c r="F267" s="7"/>
      <c r="G267" s="8"/>
      <c r="H267" s="7"/>
      <c r="I267" s="6"/>
      <c r="J267" s="7"/>
      <c r="K267" s="8"/>
      <c r="L267" s="7"/>
      <c r="M267" s="8"/>
      <c r="N267" s="7"/>
      <c r="O267" s="8"/>
      <c r="P267" s="7"/>
      <c r="Q267" s="7"/>
      <c r="R267" s="8"/>
      <c r="S267" s="7"/>
      <c r="T267" s="9"/>
      <c r="U267" s="7"/>
      <c r="V267" s="8"/>
      <c r="W267" s="7"/>
      <c r="X267" s="7"/>
      <c r="Y267" s="8"/>
      <c r="Z267" s="7"/>
      <c r="AA267" s="8"/>
    </row>
    <row r="268" spans="4:27" ht="15" thickTop="1" thickBot="1">
      <c r="D268" s="65"/>
      <c r="E268" s="51" t="s">
        <v>852</v>
      </c>
      <c r="F268" s="7"/>
      <c r="G268" s="8"/>
      <c r="H268" s="7"/>
      <c r="I268" s="6"/>
      <c r="J268" s="7"/>
      <c r="K268" s="8"/>
      <c r="L268" s="7"/>
      <c r="M268" s="8"/>
      <c r="N268" s="7"/>
      <c r="O268" s="8"/>
      <c r="P268" s="7"/>
      <c r="Q268" s="7"/>
      <c r="R268" s="8"/>
      <c r="S268" s="7"/>
      <c r="T268" s="9"/>
      <c r="U268" s="7"/>
      <c r="V268" s="8"/>
      <c r="W268" s="7"/>
      <c r="X268" s="7"/>
      <c r="Y268" s="8"/>
      <c r="Z268" s="7"/>
      <c r="AA268" s="8"/>
    </row>
    <row r="269" spans="4:27" ht="15" thickTop="1" thickBot="1">
      <c r="D269" s="65"/>
      <c r="E269" s="51" t="s">
        <v>859</v>
      </c>
      <c r="F269" s="7"/>
      <c r="G269" s="8"/>
      <c r="H269" s="7"/>
      <c r="I269" s="6"/>
      <c r="J269" s="7"/>
      <c r="K269" s="8"/>
      <c r="L269" s="7"/>
      <c r="M269" s="8"/>
      <c r="N269" s="7"/>
      <c r="O269" s="8"/>
      <c r="P269" s="7"/>
      <c r="Q269" s="7"/>
      <c r="R269" s="8"/>
      <c r="S269" s="7"/>
      <c r="T269" s="9"/>
      <c r="U269" s="7"/>
      <c r="V269" s="8"/>
      <c r="W269" s="7"/>
      <c r="X269" s="7"/>
      <c r="Y269" s="8"/>
      <c r="Z269" s="7"/>
      <c r="AA269" s="8"/>
    </row>
    <row r="270" spans="4:27" ht="15" thickTop="1" thickBot="1">
      <c r="D270" s="65"/>
      <c r="E270" s="51" t="s">
        <v>1281</v>
      </c>
      <c r="F270" s="7"/>
      <c r="G270" s="8"/>
      <c r="H270" s="7"/>
      <c r="I270" s="6"/>
      <c r="J270" s="7"/>
      <c r="K270" s="8"/>
      <c r="L270" s="7"/>
      <c r="M270" s="8"/>
      <c r="N270" s="7"/>
      <c r="O270" s="8"/>
      <c r="P270" s="7"/>
      <c r="Q270" s="7"/>
      <c r="R270" s="8"/>
      <c r="S270" s="7"/>
      <c r="T270" s="9"/>
      <c r="U270" s="7"/>
      <c r="V270" s="8"/>
      <c r="W270" s="7"/>
      <c r="X270" s="7"/>
      <c r="Y270" s="8"/>
      <c r="Z270" s="7"/>
      <c r="AA270" s="8"/>
    </row>
    <row r="271" spans="4:27" ht="15" thickTop="1" thickBot="1">
      <c r="D271" s="65"/>
      <c r="E271" s="51" t="s">
        <v>438</v>
      </c>
      <c r="F271" s="7"/>
      <c r="G271" s="8"/>
      <c r="H271" s="7"/>
      <c r="I271" s="6"/>
      <c r="J271" s="7"/>
      <c r="K271" s="8"/>
      <c r="L271" s="7"/>
      <c r="M271" s="8"/>
      <c r="N271" s="7"/>
      <c r="O271" s="8"/>
      <c r="P271" s="7"/>
      <c r="Q271" s="7"/>
      <c r="R271" s="8"/>
      <c r="S271" s="7"/>
      <c r="T271" s="9"/>
      <c r="U271" s="7"/>
      <c r="V271" s="8"/>
      <c r="W271" s="7"/>
      <c r="X271" s="7"/>
      <c r="Y271" s="8"/>
      <c r="Z271" s="7"/>
      <c r="AA271" s="8"/>
    </row>
    <row r="272" spans="4:27" ht="15" thickTop="1" thickBot="1">
      <c r="D272" s="65"/>
      <c r="E272" s="51" t="s">
        <v>1082</v>
      </c>
      <c r="F272" s="7"/>
      <c r="G272" s="8"/>
      <c r="H272" s="7"/>
      <c r="I272" s="6"/>
      <c r="J272" s="7"/>
      <c r="K272" s="8"/>
      <c r="L272" s="7"/>
      <c r="M272" s="8"/>
      <c r="N272" s="7"/>
      <c r="O272" s="8"/>
      <c r="P272" s="7"/>
      <c r="Q272" s="7"/>
      <c r="R272" s="8"/>
      <c r="S272" s="7"/>
      <c r="T272" s="9"/>
      <c r="U272" s="7"/>
      <c r="V272" s="8"/>
      <c r="W272" s="7"/>
      <c r="X272" s="7"/>
      <c r="Y272" s="8"/>
      <c r="Z272" s="7"/>
      <c r="AA272" s="8"/>
    </row>
    <row r="273" spans="4:27" ht="15" thickTop="1" thickBot="1">
      <c r="D273" s="65"/>
      <c r="E273" s="51" t="s">
        <v>1282</v>
      </c>
      <c r="F273" s="7"/>
      <c r="G273" s="8"/>
      <c r="H273" s="7"/>
      <c r="I273" s="6"/>
      <c r="J273" s="7"/>
      <c r="K273" s="8"/>
      <c r="L273" s="7"/>
      <c r="M273" s="8"/>
      <c r="N273" s="7"/>
      <c r="O273" s="8"/>
      <c r="P273" s="7"/>
      <c r="Q273" s="7"/>
      <c r="R273" s="8"/>
      <c r="S273" s="7"/>
      <c r="T273" s="9"/>
      <c r="U273" s="7"/>
      <c r="V273" s="8"/>
      <c r="W273" s="7"/>
      <c r="X273" s="7"/>
      <c r="Y273" s="8"/>
      <c r="Z273" s="7"/>
      <c r="AA273" s="8"/>
    </row>
    <row r="274" spans="4:27" ht="15" thickTop="1" thickBot="1">
      <c r="D274" s="65"/>
      <c r="E274" s="51" t="s">
        <v>186</v>
      </c>
      <c r="F274" s="7"/>
      <c r="G274" s="8"/>
      <c r="H274" s="7"/>
      <c r="I274" s="6"/>
      <c r="J274" s="7"/>
      <c r="K274" s="8"/>
      <c r="L274" s="7"/>
      <c r="M274" s="8"/>
      <c r="N274" s="7"/>
      <c r="O274" s="8"/>
      <c r="P274" s="7"/>
      <c r="Q274" s="7"/>
      <c r="R274" s="8"/>
      <c r="S274" s="7"/>
      <c r="T274" s="9"/>
      <c r="U274" s="7"/>
      <c r="V274" s="8"/>
      <c r="W274" s="7"/>
      <c r="X274" s="7"/>
      <c r="Y274" s="8"/>
      <c r="Z274" s="7"/>
      <c r="AA274" s="8"/>
    </row>
    <row r="275" spans="4:27" ht="15" thickTop="1" thickBot="1">
      <c r="D275" s="65"/>
      <c r="E275" s="51" t="s">
        <v>1090</v>
      </c>
      <c r="F275" s="7"/>
      <c r="G275" s="8"/>
      <c r="H275" s="7"/>
      <c r="I275" s="6"/>
      <c r="J275" s="7"/>
      <c r="K275" s="8"/>
      <c r="L275" s="7"/>
      <c r="M275" s="8"/>
      <c r="N275" s="7"/>
      <c r="O275" s="8"/>
      <c r="P275" s="7"/>
      <c r="Q275" s="7"/>
      <c r="R275" s="8"/>
      <c r="S275" s="7"/>
      <c r="T275" s="9"/>
      <c r="U275" s="7"/>
      <c r="V275" s="8"/>
      <c r="W275" s="7"/>
      <c r="X275" s="7"/>
      <c r="Y275" s="8"/>
      <c r="Z275" s="7"/>
      <c r="AA275" s="8"/>
    </row>
    <row r="276" spans="4:27" ht="15" thickTop="1" thickBot="1">
      <c r="D276" s="65"/>
      <c r="E276" s="51" t="s">
        <v>190</v>
      </c>
      <c r="F276" s="7"/>
      <c r="G276" s="8"/>
      <c r="H276" s="7"/>
      <c r="I276" s="6"/>
      <c r="J276" s="7"/>
      <c r="K276" s="8"/>
      <c r="L276" s="7"/>
      <c r="M276" s="8"/>
      <c r="N276" s="7"/>
      <c r="O276" s="8"/>
      <c r="P276" s="7"/>
      <c r="Q276" s="7"/>
      <c r="R276" s="8"/>
      <c r="S276" s="7"/>
      <c r="T276" s="9"/>
      <c r="U276" s="7"/>
      <c r="V276" s="8"/>
      <c r="W276" s="7"/>
      <c r="X276" s="7"/>
      <c r="Y276" s="8"/>
      <c r="Z276" s="7"/>
      <c r="AA276" s="8"/>
    </row>
    <row r="277" spans="4:27" ht="15" thickTop="1" thickBot="1">
      <c r="D277" s="65"/>
      <c r="E277" s="51" t="s">
        <v>191</v>
      </c>
      <c r="F277" s="7"/>
      <c r="G277" s="8"/>
      <c r="H277" s="7"/>
      <c r="I277" s="6"/>
      <c r="J277" s="7"/>
      <c r="K277" s="8"/>
      <c r="L277" s="7"/>
      <c r="M277" s="8"/>
      <c r="N277" s="7"/>
      <c r="O277" s="8"/>
      <c r="P277" s="7"/>
      <c r="Q277" s="7"/>
      <c r="R277" s="8"/>
      <c r="S277" s="7"/>
      <c r="T277" s="9"/>
      <c r="U277" s="7"/>
      <c r="V277" s="8"/>
      <c r="W277" s="7"/>
      <c r="X277" s="7"/>
      <c r="Y277" s="8"/>
      <c r="Z277" s="7"/>
      <c r="AA277" s="8"/>
    </row>
    <row r="278" spans="4:27" ht="15" thickTop="1" thickBot="1">
      <c r="D278" s="65"/>
      <c r="E278" s="51" t="s">
        <v>193</v>
      </c>
      <c r="F278" s="7"/>
      <c r="G278" s="8"/>
      <c r="H278" s="7"/>
      <c r="I278" s="6"/>
      <c r="J278" s="7"/>
      <c r="K278" s="8"/>
      <c r="L278" s="7"/>
      <c r="M278" s="8"/>
      <c r="N278" s="7"/>
      <c r="O278" s="8"/>
      <c r="P278" s="7"/>
      <c r="Q278" s="7"/>
      <c r="R278" s="8"/>
      <c r="S278" s="7"/>
      <c r="T278" s="9"/>
      <c r="U278" s="7"/>
      <c r="V278" s="8"/>
      <c r="W278" s="7"/>
      <c r="X278" s="7"/>
      <c r="Y278" s="8"/>
      <c r="Z278" s="7"/>
      <c r="AA278" s="8"/>
    </row>
    <row r="279" spans="4:27" ht="15" thickTop="1" thickBot="1">
      <c r="D279" s="65"/>
      <c r="E279" s="51" t="s">
        <v>1283</v>
      </c>
      <c r="F279" s="7"/>
      <c r="G279" s="8"/>
      <c r="H279" s="7"/>
      <c r="I279" s="6"/>
      <c r="J279" s="7"/>
      <c r="K279" s="8"/>
      <c r="L279" s="7"/>
      <c r="M279" s="8"/>
      <c r="N279" s="7"/>
      <c r="O279" s="8"/>
      <c r="P279" s="7"/>
      <c r="Q279" s="7"/>
      <c r="R279" s="8"/>
      <c r="S279" s="7"/>
      <c r="T279" s="9"/>
      <c r="U279" s="7"/>
      <c r="V279" s="8"/>
      <c r="W279" s="7"/>
      <c r="X279" s="7"/>
      <c r="Y279" s="8"/>
      <c r="Z279" s="7"/>
      <c r="AA279" s="8"/>
    </row>
    <row r="280" spans="4:27" ht="15" thickTop="1" thickBot="1">
      <c r="D280" s="65"/>
      <c r="E280" s="51" t="s">
        <v>1284</v>
      </c>
      <c r="F280" s="7"/>
      <c r="G280" s="8"/>
      <c r="H280" s="7"/>
      <c r="I280" s="6"/>
      <c r="J280" s="7"/>
      <c r="K280" s="8"/>
      <c r="L280" s="7"/>
      <c r="M280" s="8"/>
      <c r="N280" s="7"/>
      <c r="O280" s="8"/>
      <c r="P280" s="7"/>
      <c r="Q280" s="7"/>
      <c r="R280" s="8"/>
      <c r="S280" s="7"/>
      <c r="T280" s="9"/>
      <c r="U280" s="7"/>
      <c r="V280" s="8"/>
      <c r="W280" s="7"/>
      <c r="X280" s="7"/>
      <c r="Y280" s="8"/>
      <c r="Z280" s="7"/>
      <c r="AA280" s="8"/>
    </row>
    <row r="281" spans="4:27" ht="15" thickTop="1" thickBot="1">
      <c r="D281" s="65"/>
      <c r="E281" s="51" t="s">
        <v>1007</v>
      </c>
      <c r="F281" s="7"/>
      <c r="G281" s="8"/>
      <c r="H281" s="7"/>
      <c r="I281" s="6"/>
      <c r="J281" s="7"/>
      <c r="K281" s="8"/>
      <c r="L281" s="7"/>
      <c r="M281" s="8"/>
      <c r="N281" s="7"/>
      <c r="O281" s="8"/>
      <c r="P281" s="7"/>
      <c r="Q281" s="7"/>
      <c r="R281" s="8"/>
      <c r="S281" s="7"/>
      <c r="T281" s="9"/>
      <c r="U281" s="7"/>
      <c r="V281" s="8"/>
      <c r="W281" s="7"/>
      <c r="X281" s="7"/>
      <c r="Y281" s="8"/>
      <c r="Z281" s="7"/>
      <c r="AA281" s="8"/>
    </row>
    <row r="282" spans="4:27" ht="15" thickTop="1" thickBot="1">
      <c r="D282" s="65"/>
      <c r="E282" s="51" t="s">
        <v>194</v>
      </c>
      <c r="F282" s="7"/>
      <c r="G282" s="8"/>
      <c r="H282" s="7"/>
      <c r="I282" s="6"/>
      <c r="J282" s="7"/>
      <c r="K282" s="8"/>
      <c r="L282" s="7"/>
      <c r="M282" s="8"/>
      <c r="N282" s="7"/>
      <c r="O282" s="8"/>
      <c r="P282" s="7"/>
      <c r="Q282" s="7"/>
      <c r="R282" s="8"/>
      <c r="S282" s="7"/>
      <c r="T282" s="9"/>
      <c r="U282" s="7"/>
      <c r="V282" s="8"/>
      <c r="W282" s="7"/>
      <c r="X282" s="7"/>
      <c r="Y282" s="8"/>
      <c r="Z282" s="7"/>
      <c r="AA282" s="8"/>
    </row>
    <row r="283" spans="4:27" ht="15" thickTop="1" thickBot="1">
      <c r="D283" s="65"/>
      <c r="E283" s="51" t="s">
        <v>1094</v>
      </c>
      <c r="F283" s="7"/>
      <c r="G283" s="8"/>
      <c r="H283" s="7"/>
      <c r="I283" s="6"/>
      <c r="J283" s="7"/>
      <c r="K283" s="8"/>
      <c r="L283" s="7"/>
      <c r="M283" s="8"/>
      <c r="N283" s="7"/>
      <c r="O283" s="8"/>
      <c r="P283" s="7"/>
      <c r="Q283" s="7"/>
      <c r="R283" s="8"/>
      <c r="S283" s="7"/>
      <c r="T283" s="9"/>
      <c r="U283" s="7"/>
      <c r="V283" s="8"/>
      <c r="W283" s="7"/>
      <c r="X283" s="7"/>
      <c r="Y283" s="8"/>
      <c r="Z283" s="7"/>
      <c r="AA283" s="8"/>
    </row>
    <row r="284" spans="4:27" ht="15" thickTop="1" thickBot="1">
      <c r="D284" s="65"/>
      <c r="E284" s="51" t="s">
        <v>235</v>
      </c>
      <c r="F284" s="7"/>
      <c r="G284" s="8"/>
      <c r="H284" s="7"/>
      <c r="I284" s="6"/>
      <c r="J284" s="7"/>
      <c r="K284" s="8"/>
      <c r="L284" s="7"/>
      <c r="M284" s="8"/>
      <c r="N284" s="7"/>
      <c r="O284" s="8"/>
      <c r="P284" s="7"/>
      <c r="Q284" s="7"/>
      <c r="R284" s="8"/>
      <c r="S284" s="7"/>
      <c r="T284" s="9"/>
      <c r="U284" s="7"/>
      <c r="V284" s="8"/>
      <c r="W284" s="7"/>
      <c r="X284" s="7"/>
      <c r="Y284" s="8"/>
      <c r="Z284" s="7"/>
      <c r="AA284" s="8"/>
    </row>
    <row r="285" spans="4:27" ht="15" thickTop="1" thickBot="1">
      <c r="D285" s="65"/>
      <c r="E285" s="51" t="s">
        <v>137</v>
      </c>
      <c r="F285" s="7"/>
      <c r="G285" s="8"/>
      <c r="H285" s="7"/>
      <c r="I285" s="6"/>
      <c r="J285" s="7"/>
      <c r="K285" s="8"/>
      <c r="L285" s="7"/>
      <c r="M285" s="8"/>
      <c r="N285" s="7"/>
      <c r="O285" s="8"/>
      <c r="P285" s="7"/>
      <c r="Q285" s="7"/>
      <c r="R285" s="8"/>
      <c r="S285" s="7"/>
      <c r="T285" s="9"/>
      <c r="U285" s="7"/>
      <c r="V285" s="8"/>
      <c r="W285" s="7"/>
      <c r="X285" s="7"/>
      <c r="Y285" s="8"/>
      <c r="Z285" s="7"/>
      <c r="AA285" s="8"/>
    </row>
    <row r="286" spans="4:27" ht="15" thickTop="1" thickBot="1">
      <c r="D286" s="65"/>
      <c r="E286" s="51" t="s">
        <v>237</v>
      </c>
      <c r="F286" s="7"/>
      <c r="G286" s="8"/>
      <c r="H286" s="7"/>
      <c r="I286" s="6"/>
      <c r="J286" s="7"/>
      <c r="K286" s="8"/>
      <c r="L286" s="7"/>
      <c r="M286" s="8"/>
      <c r="N286" s="7"/>
      <c r="O286" s="8"/>
      <c r="P286" s="7"/>
      <c r="Q286" s="7"/>
      <c r="R286" s="8"/>
      <c r="S286" s="7"/>
      <c r="T286" s="9"/>
      <c r="U286" s="7"/>
      <c r="V286" s="8"/>
      <c r="W286" s="7"/>
      <c r="X286" s="7"/>
      <c r="Y286" s="8"/>
      <c r="Z286" s="7"/>
      <c r="AA286" s="8"/>
    </row>
    <row r="287" spans="4:27" ht="15" thickTop="1" thickBot="1">
      <c r="D287" s="65"/>
      <c r="E287" s="51" t="s">
        <v>215</v>
      </c>
      <c r="F287" s="7"/>
      <c r="G287" s="8"/>
      <c r="H287" s="7"/>
      <c r="I287" s="6"/>
      <c r="J287" s="7"/>
      <c r="K287" s="8"/>
      <c r="L287" s="7"/>
      <c r="M287" s="8"/>
      <c r="N287" s="7"/>
      <c r="O287" s="8"/>
      <c r="P287" s="7"/>
      <c r="Q287" s="7"/>
      <c r="R287" s="8"/>
      <c r="S287" s="7"/>
      <c r="T287" s="9"/>
      <c r="U287" s="7"/>
      <c r="V287" s="8"/>
      <c r="W287" s="7"/>
      <c r="X287" s="7"/>
      <c r="Y287" s="8"/>
      <c r="Z287" s="7"/>
      <c r="AA287" s="8"/>
    </row>
    <row r="288" spans="4:27" ht="15" thickTop="1" thickBot="1">
      <c r="D288" s="65"/>
      <c r="E288" s="51" t="s">
        <v>1053</v>
      </c>
      <c r="F288" s="7"/>
      <c r="G288" s="8"/>
      <c r="H288" s="7"/>
      <c r="I288" s="6"/>
      <c r="J288" s="7"/>
      <c r="K288" s="8"/>
      <c r="L288" s="7"/>
      <c r="M288" s="8"/>
      <c r="N288" s="7"/>
      <c r="O288" s="8"/>
      <c r="P288" s="7"/>
      <c r="Q288" s="7"/>
      <c r="R288" s="8"/>
      <c r="S288" s="7"/>
      <c r="T288" s="9"/>
      <c r="U288" s="7"/>
      <c r="V288" s="8"/>
      <c r="W288" s="7"/>
      <c r="X288" s="7"/>
      <c r="Y288" s="8"/>
      <c r="Z288" s="7"/>
      <c r="AA288" s="8"/>
    </row>
    <row r="289" spans="4:27" ht="15" thickTop="1" thickBot="1">
      <c r="D289" s="65"/>
      <c r="E289" s="51" t="s">
        <v>1054</v>
      </c>
      <c r="F289" s="7"/>
      <c r="G289" s="8"/>
      <c r="H289" s="7"/>
      <c r="I289" s="6"/>
      <c r="J289" s="7"/>
      <c r="K289" s="8"/>
      <c r="L289" s="7"/>
      <c r="M289" s="8"/>
      <c r="N289" s="7"/>
      <c r="O289" s="8"/>
      <c r="P289" s="7"/>
      <c r="Q289" s="7"/>
      <c r="R289" s="8"/>
      <c r="S289" s="7"/>
      <c r="T289" s="9"/>
      <c r="U289" s="7"/>
      <c r="V289" s="8"/>
      <c r="W289" s="7"/>
      <c r="X289" s="7"/>
      <c r="Y289" s="8"/>
      <c r="Z289" s="7"/>
      <c r="AA289" s="8"/>
    </row>
    <row r="290" spans="4:27" ht="15" thickTop="1" thickBot="1">
      <c r="D290" s="65"/>
      <c r="E290" s="51" t="s">
        <v>220</v>
      </c>
      <c r="F290" s="7"/>
      <c r="G290" s="8"/>
      <c r="H290" s="7"/>
      <c r="I290" s="6"/>
      <c r="J290" s="7"/>
      <c r="K290" s="8"/>
      <c r="L290" s="7"/>
      <c r="M290" s="8"/>
      <c r="N290" s="7"/>
      <c r="O290" s="8"/>
      <c r="P290" s="7"/>
      <c r="Q290" s="7"/>
      <c r="R290" s="8"/>
      <c r="S290" s="7"/>
      <c r="T290" s="9"/>
      <c r="U290" s="7"/>
      <c r="V290" s="8"/>
      <c r="W290" s="7"/>
      <c r="X290" s="7"/>
      <c r="Y290" s="8"/>
      <c r="Z290" s="7"/>
      <c r="AA290" s="8"/>
    </row>
    <row r="291" spans="4:27" ht="15" thickTop="1" thickBot="1">
      <c r="D291" s="65"/>
      <c r="E291" s="51" t="s">
        <v>238</v>
      </c>
      <c r="F291" s="7"/>
      <c r="G291" s="8"/>
      <c r="H291" s="7"/>
      <c r="I291" s="6"/>
      <c r="J291" s="7"/>
      <c r="K291" s="8"/>
      <c r="L291" s="7"/>
      <c r="M291" s="8"/>
      <c r="N291" s="7"/>
      <c r="O291" s="8"/>
      <c r="P291" s="7"/>
      <c r="Q291" s="7"/>
      <c r="R291" s="8"/>
      <c r="S291" s="7"/>
      <c r="T291" s="9"/>
      <c r="U291" s="7"/>
      <c r="V291" s="8"/>
      <c r="W291" s="7"/>
      <c r="X291" s="7"/>
      <c r="Y291" s="8"/>
      <c r="Z291" s="7"/>
      <c r="AA291" s="8"/>
    </row>
    <row r="292" spans="4:27" ht="15" thickTop="1" thickBot="1">
      <c r="D292" s="65"/>
      <c r="E292" s="51" t="s">
        <v>239</v>
      </c>
      <c r="F292" s="7"/>
      <c r="G292" s="8"/>
      <c r="H292" s="7"/>
      <c r="I292" s="6"/>
      <c r="J292" s="7"/>
      <c r="K292" s="8"/>
      <c r="L292" s="7"/>
      <c r="M292" s="8"/>
      <c r="N292" s="7"/>
      <c r="O292" s="8"/>
      <c r="P292" s="7"/>
      <c r="Q292" s="7"/>
      <c r="R292" s="8"/>
      <c r="S292" s="7"/>
      <c r="T292" s="9"/>
      <c r="U292" s="7"/>
      <c r="V292" s="8"/>
      <c r="W292" s="7"/>
      <c r="X292" s="7"/>
      <c r="Y292" s="8"/>
      <c r="Z292" s="7"/>
      <c r="AA292" s="8"/>
    </row>
    <row r="293" spans="4:27" ht="15" thickTop="1" thickBot="1">
      <c r="D293" s="65"/>
      <c r="E293" s="51" t="s">
        <v>240</v>
      </c>
      <c r="F293" s="7"/>
      <c r="G293" s="8"/>
      <c r="H293" s="7"/>
      <c r="I293" s="6"/>
      <c r="J293" s="7"/>
      <c r="K293" s="8"/>
      <c r="L293" s="7"/>
      <c r="M293" s="8"/>
      <c r="N293" s="7"/>
      <c r="O293" s="8"/>
      <c r="P293" s="7"/>
      <c r="Q293" s="7"/>
      <c r="R293" s="8"/>
      <c r="S293" s="7"/>
      <c r="T293" s="9"/>
      <c r="U293" s="7"/>
      <c r="V293" s="8"/>
      <c r="W293" s="7"/>
      <c r="X293" s="7"/>
      <c r="Y293" s="8"/>
      <c r="Z293" s="7"/>
      <c r="AA293" s="8"/>
    </row>
    <row r="294" spans="4:27" ht="15" thickTop="1" thickBot="1">
      <c r="D294" s="65"/>
      <c r="E294" s="51" t="s">
        <v>1060</v>
      </c>
      <c r="F294" s="7"/>
      <c r="G294" s="8"/>
      <c r="H294" s="7"/>
      <c r="I294" s="6"/>
      <c r="J294" s="7"/>
      <c r="K294" s="8"/>
      <c r="L294" s="7"/>
      <c r="M294" s="8"/>
      <c r="N294" s="7"/>
      <c r="O294" s="8"/>
      <c r="P294" s="7"/>
      <c r="Q294" s="7"/>
      <c r="R294" s="8"/>
      <c r="S294" s="7"/>
      <c r="T294" s="9"/>
      <c r="U294" s="7"/>
      <c r="V294" s="8"/>
      <c r="W294" s="7"/>
      <c r="X294" s="7"/>
      <c r="Y294" s="8"/>
      <c r="Z294" s="7"/>
      <c r="AA294" s="8"/>
    </row>
    <row r="295" spans="4:27" ht="15" thickTop="1" thickBot="1">
      <c r="D295" s="65"/>
      <c r="E295" s="51" t="s">
        <v>241</v>
      </c>
      <c r="F295" s="7"/>
      <c r="G295" s="8"/>
      <c r="H295" s="7"/>
      <c r="I295" s="6"/>
      <c r="J295" s="7"/>
      <c r="K295" s="8"/>
      <c r="L295" s="7"/>
      <c r="M295" s="8"/>
      <c r="N295" s="7"/>
      <c r="O295" s="8"/>
      <c r="P295" s="7"/>
      <c r="Q295" s="7"/>
      <c r="R295" s="8"/>
      <c r="S295" s="7"/>
      <c r="T295" s="9"/>
      <c r="U295" s="7"/>
      <c r="V295" s="8"/>
      <c r="W295" s="7"/>
      <c r="X295" s="7"/>
      <c r="Y295" s="8"/>
      <c r="Z295" s="7"/>
      <c r="AA295" s="8"/>
    </row>
    <row r="296" spans="4:27" ht="15" thickTop="1" thickBot="1">
      <c r="D296" s="65"/>
      <c r="E296" s="51" t="s">
        <v>242</v>
      </c>
      <c r="F296" s="7"/>
      <c r="G296" s="8"/>
      <c r="H296" s="7"/>
      <c r="I296" s="6"/>
      <c r="J296" s="7"/>
      <c r="K296" s="8"/>
      <c r="L296" s="7"/>
      <c r="M296" s="8"/>
      <c r="N296" s="7"/>
      <c r="O296" s="8"/>
      <c r="P296" s="7"/>
      <c r="Q296" s="7"/>
      <c r="R296" s="8"/>
      <c r="S296" s="7"/>
      <c r="T296" s="9"/>
      <c r="U296" s="7"/>
      <c r="V296" s="8"/>
      <c r="W296" s="7"/>
      <c r="X296" s="7"/>
      <c r="Y296" s="8"/>
      <c r="Z296" s="7"/>
      <c r="AA296" s="8"/>
    </row>
    <row r="297" spans="4:27" ht="15" thickTop="1" thickBot="1">
      <c r="D297" s="65"/>
      <c r="E297" s="51" t="s">
        <v>139</v>
      </c>
      <c r="F297" s="7"/>
      <c r="G297" s="8"/>
      <c r="H297" s="7"/>
      <c r="I297" s="6"/>
      <c r="J297" s="7"/>
      <c r="K297" s="8"/>
      <c r="L297" s="7"/>
      <c r="M297" s="8"/>
      <c r="N297" s="7"/>
      <c r="O297" s="8"/>
      <c r="P297" s="7"/>
      <c r="Q297" s="7"/>
      <c r="R297" s="8"/>
      <c r="S297" s="7"/>
      <c r="T297" s="9"/>
      <c r="U297" s="7"/>
      <c r="V297" s="8"/>
      <c r="W297" s="7"/>
      <c r="X297" s="7"/>
      <c r="Y297" s="8"/>
      <c r="Z297" s="7"/>
      <c r="AA297" s="8"/>
    </row>
    <row r="298" spans="4:27" ht="15" thickTop="1" thickBot="1">
      <c r="D298" s="65"/>
      <c r="E298" s="51" t="s">
        <v>243</v>
      </c>
      <c r="F298" s="7"/>
      <c r="G298" s="8"/>
      <c r="H298" s="7"/>
      <c r="I298" s="6"/>
      <c r="J298" s="7"/>
      <c r="K298" s="8"/>
      <c r="L298" s="7"/>
      <c r="M298" s="8"/>
      <c r="N298" s="7"/>
      <c r="O298" s="8"/>
      <c r="P298" s="7"/>
      <c r="Q298" s="7"/>
      <c r="R298" s="8"/>
      <c r="S298" s="7"/>
      <c r="T298" s="9"/>
      <c r="U298" s="7"/>
      <c r="V298" s="8"/>
      <c r="W298" s="7"/>
      <c r="X298" s="7"/>
      <c r="Y298" s="8"/>
      <c r="Z298" s="7"/>
      <c r="AA298" s="8"/>
    </row>
    <row r="299" spans="4:27" ht="15" thickTop="1" thickBot="1">
      <c r="D299" s="65"/>
      <c r="E299" s="51" t="s">
        <v>244</v>
      </c>
      <c r="F299" s="7"/>
      <c r="G299" s="8"/>
      <c r="H299" s="7"/>
      <c r="I299" s="6"/>
      <c r="J299" s="7"/>
      <c r="K299" s="8"/>
      <c r="L299" s="7"/>
      <c r="M299" s="8"/>
      <c r="N299" s="7"/>
      <c r="O299" s="8"/>
      <c r="P299" s="7"/>
      <c r="Q299" s="7"/>
      <c r="R299" s="8"/>
      <c r="S299" s="7"/>
      <c r="T299" s="9"/>
      <c r="U299" s="7"/>
      <c r="V299" s="8"/>
      <c r="W299" s="7"/>
      <c r="X299" s="7"/>
      <c r="Y299" s="8"/>
      <c r="Z299" s="7"/>
      <c r="AA299" s="8"/>
    </row>
    <row r="300" spans="4:27" ht="15" thickTop="1" thickBot="1">
      <c r="D300" s="65"/>
      <c r="E300" s="51" t="s">
        <v>1061</v>
      </c>
      <c r="F300" s="7"/>
      <c r="G300" s="8"/>
      <c r="H300" s="7"/>
      <c r="I300" s="6"/>
      <c r="J300" s="7"/>
      <c r="K300" s="8"/>
      <c r="L300" s="7"/>
      <c r="M300" s="8"/>
      <c r="N300" s="7"/>
      <c r="O300" s="8"/>
      <c r="P300" s="7"/>
      <c r="Q300" s="7"/>
      <c r="R300" s="8"/>
      <c r="S300" s="7"/>
      <c r="T300" s="9"/>
      <c r="U300" s="7"/>
      <c r="V300" s="8"/>
      <c r="W300" s="7"/>
      <c r="X300" s="7"/>
      <c r="Y300" s="8"/>
      <c r="Z300" s="7"/>
      <c r="AA300" s="8"/>
    </row>
    <row r="301" spans="4:27" ht="15" thickTop="1" thickBot="1">
      <c r="D301" s="65"/>
      <c r="E301" s="51" t="s">
        <v>245</v>
      </c>
      <c r="F301" s="7"/>
      <c r="G301" s="8"/>
      <c r="H301" s="7"/>
      <c r="I301" s="6"/>
      <c r="J301" s="7"/>
      <c r="K301" s="8"/>
      <c r="L301" s="7"/>
      <c r="M301" s="8"/>
      <c r="N301" s="7"/>
      <c r="O301" s="8"/>
      <c r="P301" s="7"/>
      <c r="Q301" s="7"/>
      <c r="R301" s="8"/>
      <c r="S301" s="7"/>
      <c r="T301" s="9"/>
      <c r="U301" s="7"/>
      <c r="V301" s="8"/>
      <c r="W301" s="7"/>
      <c r="X301" s="7"/>
      <c r="Y301" s="8"/>
      <c r="Z301" s="7"/>
      <c r="AA301" s="8"/>
    </row>
    <row r="302" spans="4:27" ht="15" thickTop="1" thickBot="1">
      <c r="D302" s="65"/>
      <c r="E302" s="51" t="s">
        <v>246</v>
      </c>
      <c r="F302" s="7"/>
      <c r="G302" s="8"/>
      <c r="H302" s="7"/>
      <c r="I302" s="6"/>
      <c r="J302" s="7"/>
      <c r="K302" s="8"/>
      <c r="L302" s="7"/>
      <c r="M302" s="8"/>
      <c r="N302" s="7"/>
      <c r="O302" s="8"/>
      <c r="P302" s="7"/>
      <c r="Q302" s="7"/>
      <c r="R302" s="8"/>
      <c r="S302" s="7"/>
      <c r="T302" s="9"/>
      <c r="U302" s="7"/>
      <c r="V302" s="8"/>
      <c r="W302" s="7"/>
      <c r="X302" s="7"/>
      <c r="Y302" s="8"/>
      <c r="Z302" s="7"/>
      <c r="AA302" s="8"/>
    </row>
    <row r="303" spans="4:27" ht="15" thickTop="1" thickBot="1">
      <c r="D303" s="65"/>
      <c r="E303" s="51" t="s">
        <v>247</v>
      </c>
      <c r="F303" s="7"/>
      <c r="G303" s="8"/>
      <c r="H303" s="7"/>
      <c r="I303" s="6"/>
      <c r="J303" s="7"/>
      <c r="K303" s="8"/>
      <c r="L303" s="7"/>
      <c r="M303" s="8"/>
      <c r="N303" s="7"/>
      <c r="O303" s="8"/>
      <c r="P303" s="7"/>
      <c r="Q303" s="7"/>
      <c r="R303" s="8"/>
      <c r="S303" s="7"/>
      <c r="T303" s="9"/>
      <c r="U303" s="7"/>
      <c r="V303" s="8"/>
      <c r="W303" s="7"/>
      <c r="X303" s="7"/>
      <c r="Y303" s="8"/>
      <c r="Z303" s="7"/>
      <c r="AA303" s="8"/>
    </row>
    <row r="304" spans="4:27" ht="15" thickTop="1" thickBot="1">
      <c r="D304" s="65"/>
      <c r="E304" s="51" t="s">
        <v>248</v>
      </c>
      <c r="F304" s="7"/>
      <c r="G304" s="8"/>
      <c r="H304" s="7"/>
      <c r="I304" s="6"/>
      <c r="J304" s="7"/>
      <c r="K304" s="8"/>
      <c r="L304" s="7"/>
      <c r="M304" s="8"/>
      <c r="N304" s="7"/>
      <c r="O304" s="8"/>
      <c r="P304" s="7"/>
      <c r="Q304" s="7"/>
      <c r="R304" s="8"/>
      <c r="S304" s="7"/>
      <c r="T304" s="9"/>
      <c r="U304" s="7"/>
      <c r="V304" s="8"/>
      <c r="W304" s="7"/>
      <c r="X304" s="7"/>
      <c r="Y304" s="8"/>
      <c r="Z304" s="7"/>
      <c r="AA304" s="8"/>
    </row>
    <row r="305" spans="4:27" ht="15" thickTop="1" thickBot="1">
      <c r="D305" s="65"/>
      <c r="E305" s="51" t="s">
        <v>221</v>
      </c>
      <c r="F305" s="7"/>
      <c r="G305" s="8"/>
      <c r="H305" s="7"/>
      <c r="I305" s="6"/>
      <c r="J305" s="7"/>
      <c r="K305" s="8"/>
      <c r="L305" s="7"/>
      <c r="M305" s="8"/>
      <c r="N305" s="7"/>
      <c r="O305" s="8"/>
      <c r="P305" s="7"/>
      <c r="Q305" s="7"/>
      <c r="R305" s="8"/>
      <c r="S305" s="7"/>
      <c r="T305" s="9"/>
      <c r="U305" s="7"/>
      <c r="V305" s="8"/>
      <c r="W305" s="7"/>
      <c r="X305" s="7"/>
      <c r="Y305" s="8"/>
      <c r="Z305" s="7"/>
      <c r="AA305" s="8"/>
    </row>
    <row r="306" spans="4:27" ht="15" thickTop="1" thickBot="1">
      <c r="D306" s="65"/>
      <c r="E306" s="51" t="s">
        <v>249</v>
      </c>
      <c r="F306" s="7"/>
      <c r="G306" s="8"/>
      <c r="H306" s="7"/>
      <c r="I306" s="6"/>
      <c r="J306" s="7"/>
      <c r="K306" s="8"/>
      <c r="L306" s="7"/>
      <c r="M306" s="8"/>
      <c r="N306" s="7"/>
      <c r="O306" s="8"/>
      <c r="P306" s="7"/>
      <c r="Q306" s="7"/>
      <c r="R306" s="8"/>
      <c r="S306" s="7"/>
      <c r="T306" s="9"/>
      <c r="U306" s="7"/>
      <c r="V306" s="8"/>
      <c r="W306" s="7"/>
      <c r="X306" s="7"/>
      <c r="Y306" s="8"/>
      <c r="Z306" s="7"/>
      <c r="AA306" s="8"/>
    </row>
    <row r="307" spans="4:27" ht="15" thickTop="1" thickBot="1">
      <c r="D307" s="65"/>
      <c r="E307" s="51" t="s">
        <v>250</v>
      </c>
      <c r="F307" s="7"/>
      <c r="G307" s="8"/>
      <c r="H307" s="7"/>
      <c r="I307" s="6"/>
      <c r="J307" s="7"/>
      <c r="K307" s="8"/>
      <c r="L307" s="7"/>
      <c r="M307" s="8"/>
      <c r="N307" s="7"/>
      <c r="O307" s="8"/>
      <c r="P307" s="7"/>
      <c r="Q307" s="7"/>
      <c r="R307" s="8"/>
      <c r="S307" s="7"/>
      <c r="T307" s="9"/>
      <c r="U307" s="7"/>
      <c r="V307" s="8"/>
      <c r="W307" s="7"/>
      <c r="X307" s="7"/>
      <c r="Y307" s="8"/>
      <c r="Z307" s="7"/>
      <c r="AA307" s="8"/>
    </row>
    <row r="308" spans="4:27" ht="15" thickTop="1" thickBot="1">
      <c r="D308" s="65"/>
      <c r="E308" s="51" t="s">
        <v>251</v>
      </c>
      <c r="F308" s="7"/>
      <c r="G308" s="8"/>
      <c r="H308" s="7"/>
      <c r="I308" s="6"/>
      <c r="J308" s="7"/>
      <c r="K308" s="8"/>
      <c r="L308" s="7"/>
      <c r="M308" s="8"/>
      <c r="N308" s="7"/>
      <c r="O308" s="8"/>
      <c r="P308" s="7"/>
      <c r="Q308" s="7"/>
      <c r="R308" s="8"/>
      <c r="S308" s="7"/>
      <c r="T308" s="9"/>
      <c r="U308" s="7"/>
      <c r="V308" s="8"/>
      <c r="W308" s="7"/>
      <c r="X308" s="7"/>
      <c r="Y308" s="8"/>
      <c r="Z308" s="7"/>
      <c r="AA308" s="8"/>
    </row>
    <row r="309" spans="4:27" ht="15" thickTop="1" thickBot="1">
      <c r="D309" s="65"/>
      <c r="E309" s="51" t="s">
        <v>252</v>
      </c>
      <c r="F309" s="7"/>
      <c r="G309" s="8"/>
      <c r="H309" s="7"/>
      <c r="I309" s="6"/>
      <c r="J309" s="7"/>
      <c r="K309" s="8"/>
      <c r="L309" s="7"/>
      <c r="M309" s="8"/>
      <c r="N309" s="7"/>
      <c r="O309" s="8"/>
      <c r="P309" s="7"/>
      <c r="Q309" s="7"/>
      <c r="R309" s="8"/>
      <c r="S309" s="7"/>
      <c r="T309" s="9"/>
      <c r="U309" s="7"/>
      <c r="V309" s="8"/>
      <c r="W309" s="7"/>
      <c r="X309" s="7"/>
      <c r="Y309" s="8"/>
      <c r="Z309" s="7"/>
      <c r="AA309" s="8"/>
    </row>
    <row r="310" spans="4:27" ht="15" thickTop="1" thickBot="1">
      <c r="D310" s="65"/>
      <c r="E310" s="51" t="s">
        <v>718</v>
      </c>
      <c r="F310" s="7"/>
      <c r="G310" s="8"/>
      <c r="H310" s="7"/>
      <c r="I310" s="6"/>
      <c r="J310" s="7"/>
      <c r="K310" s="8"/>
      <c r="L310" s="7"/>
      <c r="M310" s="8"/>
      <c r="N310" s="7"/>
      <c r="O310" s="8"/>
      <c r="P310" s="7"/>
      <c r="Q310" s="7"/>
      <c r="R310" s="8"/>
      <c r="S310" s="7"/>
      <c r="T310" s="9"/>
      <c r="U310" s="7"/>
      <c r="V310" s="8"/>
      <c r="W310" s="7"/>
      <c r="X310" s="7"/>
      <c r="Y310" s="8"/>
      <c r="Z310" s="7"/>
      <c r="AA310" s="8"/>
    </row>
    <row r="311" spans="4:27" ht="15" thickTop="1" thickBot="1">
      <c r="D311" s="65"/>
      <c r="E311" s="51" t="s">
        <v>741</v>
      </c>
      <c r="F311" s="7"/>
      <c r="G311" s="8"/>
      <c r="H311" s="7"/>
      <c r="I311" s="6"/>
      <c r="J311" s="7"/>
      <c r="K311" s="8"/>
      <c r="L311" s="7"/>
      <c r="M311" s="8"/>
      <c r="N311" s="7"/>
      <c r="O311" s="8"/>
      <c r="P311" s="7"/>
      <c r="Q311" s="7"/>
      <c r="R311" s="8"/>
      <c r="S311" s="7"/>
      <c r="T311" s="9"/>
      <c r="U311" s="7"/>
      <c r="V311" s="8"/>
      <c r="W311" s="7"/>
      <c r="X311" s="7"/>
      <c r="Y311" s="8"/>
      <c r="Z311" s="7"/>
      <c r="AA311" s="8"/>
    </row>
    <row r="312" spans="4:27" ht="15" thickTop="1" thickBot="1">
      <c r="D312" s="65"/>
      <c r="E312" s="51" t="s">
        <v>1068</v>
      </c>
      <c r="F312" s="7"/>
      <c r="G312" s="8"/>
      <c r="H312" s="7"/>
      <c r="I312" s="6"/>
      <c r="J312" s="7"/>
      <c r="K312" s="8"/>
      <c r="L312" s="7"/>
      <c r="M312" s="8"/>
      <c r="N312" s="7"/>
      <c r="O312" s="8"/>
      <c r="P312" s="7"/>
      <c r="Q312" s="7"/>
      <c r="R312" s="8"/>
      <c r="S312" s="7"/>
      <c r="T312" s="9"/>
      <c r="U312" s="7"/>
      <c r="V312" s="8"/>
      <c r="W312" s="7"/>
      <c r="X312" s="7"/>
      <c r="Y312" s="8"/>
      <c r="Z312" s="7"/>
      <c r="AA312" s="8"/>
    </row>
    <row r="313" spans="4:27" ht="15" thickTop="1" thickBot="1">
      <c r="D313" s="65"/>
      <c r="E313" s="51" t="s">
        <v>723</v>
      </c>
      <c r="F313" s="7"/>
      <c r="G313" s="8"/>
      <c r="H313" s="7"/>
      <c r="I313" s="6"/>
      <c r="J313" s="7"/>
      <c r="K313" s="8"/>
      <c r="L313" s="7"/>
      <c r="M313" s="8"/>
      <c r="N313" s="7"/>
      <c r="O313" s="8"/>
      <c r="P313" s="7"/>
      <c r="Q313" s="7"/>
      <c r="R313" s="8"/>
      <c r="S313" s="7"/>
      <c r="T313" s="9"/>
      <c r="U313" s="7"/>
      <c r="V313" s="8"/>
      <c r="W313" s="7"/>
      <c r="X313" s="7"/>
      <c r="Y313" s="8"/>
      <c r="Z313" s="7"/>
      <c r="AA313" s="8"/>
    </row>
    <row r="314" spans="4:27" ht="15" thickTop="1" thickBot="1">
      <c r="D314" s="65"/>
      <c r="E314" s="51" t="s">
        <v>1100</v>
      </c>
      <c r="F314" s="7"/>
      <c r="G314" s="8"/>
      <c r="H314" s="7"/>
      <c r="I314" s="6"/>
      <c r="J314" s="7"/>
      <c r="K314" s="8"/>
      <c r="L314" s="7"/>
      <c r="M314" s="8"/>
      <c r="N314" s="7"/>
      <c r="O314" s="8"/>
      <c r="P314" s="7"/>
      <c r="Q314" s="7"/>
      <c r="R314" s="8"/>
      <c r="S314" s="7"/>
      <c r="T314" s="9"/>
      <c r="U314" s="7"/>
      <c r="V314" s="8"/>
      <c r="W314" s="7"/>
      <c r="X314" s="7"/>
      <c r="Y314" s="8"/>
      <c r="Z314" s="7"/>
      <c r="AA314" s="8"/>
    </row>
    <row r="315" spans="4:27" ht="15" thickTop="1" thickBot="1">
      <c r="D315" s="65"/>
      <c r="E315" s="51" t="s">
        <v>724</v>
      </c>
      <c r="F315" s="7"/>
      <c r="G315" s="8"/>
      <c r="H315" s="7"/>
      <c r="I315" s="6"/>
      <c r="J315" s="7"/>
      <c r="K315" s="8"/>
      <c r="L315" s="7"/>
      <c r="M315" s="8"/>
      <c r="N315" s="7"/>
      <c r="O315" s="8"/>
      <c r="P315" s="7"/>
      <c r="Q315" s="7"/>
      <c r="R315" s="8"/>
      <c r="S315" s="7"/>
      <c r="T315" s="9"/>
      <c r="U315" s="7"/>
      <c r="V315" s="8"/>
      <c r="W315" s="7"/>
      <c r="X315" s="7"/>
      <c r="Y315" s="8"/>
      <c r="Z315" s="7"/>
      <c r="AA315" s="8"/>
    </row>
    <row r="316" spans="4:27" ht="15" thickTop="1" thickBot="1">
      <c r="D316" s="65"/>
      <c r="E316" s="51" t="s">
        <v>703</v>
      </c>
      <c r="F316" s="7"/>
      <c r="G316" s="8"/>
      <c r="H316" s="7"/>
      <c r="I316" s="6"/>
      <c r="J316" s="7"/>
      <c r="K316" s="8"/>
      <c r="L316" s="7"/>
      <c r="M316" s="8"/>
      <c r="N316" s="7"/>
      <c r="O316" s="8"/>
      <c r="P316" s="7"/>
      <c r="Q316" s="7"/>
      <c r="R316" s="8"/>
      <c r="S316" s="7"/>
      <c r="T316" s="9"/>
      <c r="U316" s="7"/>
      <c r="V316" s="8"/>
      <c r="W316" s="7"/>
      <c r="X316" s="7"/>
      <c r="Y316" s="8"/>
      <c r="Z316" s="7"/>
      <c r="AA316" s="8"/>
    </row>
    <row r="317" spans="4:27" ht="15" thickTop="1" thickBot="1">
      <c r="D317" s="65"/>
      <c r="E317" s="51" t="s">
        <v>732</v>
      </c>
      <c r="F317" s="7"/>
      <c r="G317" s="8"/>
      <c r="H317" s="7"/>
      <c r="I317" s="6"/>
      <c r="J317" s="7"/>
      <c r="K317" s="8"/>
      <c r="L317" s="7"/>
      <c r="M317" s="8"/>
      <c r="N317" s="7"/>
      <c r="O317" s="8"/>
      <c r="P317" s="7"/>
      <c r="Q317" s="7"/>
      <c r="R317" s="8"/>
      <c r="S317" s="7"/>
      <c r="T317" s="9"/>
      <c r="U317" s="7"/>
      <c r="V317" s="8"/>
      <c r="W317" s="7"/>
      <c r="X317" s="7"/>
      <c r="Y317" s="8"/>
      <c r="Z317" s="7"/>
      <c r="AA317" s="8"/>
    </row>
    <row r="318" spans="4:27" ht="15" thickTop="1" thickBot="1">
      <c r="D318" s="65"/>
      <c r="E318" s="51" t="s">
        <v>965</v>
      </c>
      <c r="F318" s="7"/>
      <c r="G318" s="8"/>
      <c r="H318" s="7"/>
      <c r="I318" s="6"/>
      <c r="J318" s="7"/>
      <c r="K318" s="8"/>
      <c r="L318" s="7"/>
      <c r="M318" s="8"/>
      <c r="N318" s="7"/>
      <c r="O318" s="8"/>
      <c r="P318" s="7"/>
      <c r="Q318" s="7"/>
      <c r="R318" s="8"/>
      <c r="S318" s="7"/>
      <c r="T318" s="9"/>
      <c r="U318" s="7"/>
      <c r="V318" s="8"/>
      <c r="W318" s="7"/>
      <c r="X318" s="7"/>
      <c r="Y318" s="8"/>
      <c r="Z318" s="7"/>
      <c r="AA318" s="8"/>
    </row>
    <row r="319" spans="4:27" ht="15" thickTop="1" thickBot="1">
      <c r="D319" s="65"/>
      <c r="E319" s="51" t="s">
        <v>968</v>
      </c>
      <c r="F319" s="7"/>
      <c r="G319" s="8"/>
      <c r="H319" s="7"/>
      <c r="I319" s="6"/>
      <c r="J319" s="7"/>
      <c r="K319" s="8"/>
      <c r="L319" s="7"/>
      <c r="M319" s="8"/>
      <c r="N319" s="7"/>
      <c r="O319" s="8"/>
      <c r="P319" s="7"/>
      <c r="Q319" s="7"/>
      <c r="R319" s="8"/>
      <c r="S319" s="7"/>
      <c r="T319" s="9"/>
      <c r="U319" s="7"/>
      <c r="V319" s="8"/>
      <c r="W319" s="7"/>
      <c r="X319" s="7"/>
      <c r="Y319" s="8"/>
      <c r="Z319" s="7"/>
      <c r="AA319" s="8"/>
    </row>
    <row r="320" spans="4:27" ht="15" thickTop="1" thickBot="1">
      <c r="D320" s="65"/>
      <c r="E320" s="51" t="s">
        <v>714</v>
      </c>
      <c r="F320" s="7"/>
      <c r="G320" s="8"/>
      <c r="H320" s="7"/>
      <c r="I320" s="6"/>
      <c r="J320" s="7"/>
      <c r="K320" s="8"/>
      <c r="L320" s="7"/>
      <c r="M320" s="8"/>
      <c r="N320" s="7"/>
      <c r="O320" s="8"/>
      <c r="P320" s="7"/>
      <c r="Q320" s="7"/>
      <c r="R320" s="8"/>
      <c r="S320" s="7"/>
      <c r="T320" s="9"/>
      <c r="U320" s="7"/>
      <c r="V320" s="8"/>
      <c r="W320" s="7"/>
      <c r="X320" s="7"/>
      <c r="Y320" s="8"/>
      <c r="Z320" s="7"/>
      <c r="AA320" s="8"/>
    </row>
    <row r="321" spans="4:27" ht="15" thickTop="1" thickBot="1">
      <c r="D321" s="65"/>
      <c r="E321" s="51" t="s">
        <v>1117</v>
      </c>
      <c r="F321" s="7"/>
      <c r="G321" s="8"/>
      <c r="H321" s="7"/>
      <c r="I321" s="6"/>
      <c r="J321" s="7"/>
      <c r="K321" s="8"/>
      <c r="L321" s="7"/>
      <c r="M321" s="8"/>
      <c r="N321" s="7"/>
      <c r="O321" s="8"/>
      <c r="P321" s="7"/>
      <c r="Q321" s="7"/>
      <c r="R321" s="8"/>
      <c r="S321" s="7"/>
      <c r="T321" s="9"/>
      <c r="U321" s="7"/>
      <c r="V321" s="8"/>
      <c r="W321" s="7"/>
      <c r="X321" s="7"/>
      <c r="Y321" s="8"/>
      <c r="Z321" s="7"/>
      <c r="AA321" s="8"/>
    </row>
    <row r="322" spans="4:27" ht="15" thickTop="1" thickBot="1">
      <c r="D322" s="65"/>
      <c r="E322" s="51" t="s">
        <v>1285</v>
      </c>
      <c r="F322" s="7"/>
      <c r="G322" s="8"/>
      <c r="H322" s="7"/>
      <c r="I322" s="6"/>
      <c r="J322" s="7"/>
      <c r="K322" s="8"/>
      <c r="L322" s="7"/>
      <c r="M322" s="8"/>
      <c r="N322" s="7"/>
      <c r="O322" s="8"/>
      <c r="P322" s="7"/>
      <c r="Q322" s="7"/>
      <c r="R322" s="8"/>
      <c r="S322" s="7"/>
      <c r="T322" s="9"/>
      <c r="U322" s="7"/>
      <c r="V322" s="8"/>
      <c r="W322" s="7"/>
      <c r="X322" s="7"/>
      <c r="Y322" s="8"/>
      <c r="Z322" s="7"/>
      <c r="AA322" s="8"/>
    </row>
    <row r="323" spans="4:27" ht="15" thickTop="1" thickBot="1">
      <c r="D323" s="65"/>
      <c r="E323" s="51" t="s">
        <v>721</v>
      </c>
      <c r="F323" s="7"/>
      <c r="G323" s="8"/>
      <c r="H323" s="7"/>
      <c r="I323" s="6"/>
      <c r="J323" s="7"/>
      <c r="K323" s="8"/>
      <c r="L323" s="7"/>
      <c r="M323" s="8"/>
      <c r="N323" s="7"/>
      <c r="O323" s="8"/>
      <c r="P323" s="7"/>
      <c r="Q323" s="7"/>
      <c r="R323" s="8"/>
      <c r="S323" s="7"/>
      <c r="T323" s="9"/>
      <c r="U323" s="7"/>
      <c r="V323" s="8"/>
      <c r="W323" s="7"/>
      <c r="X323" s="7"/>
      <c r="Y323" s="8"/>
      <c r="Z323" s="7"/>
      <c r="AA323" s="8"/>
    </row>
    <row r="324" spans="4:27" ht="15" thickTop="1" thickBot="1">
      <c r="D324" s="65"/>
      <c r="E324" s="51" t="s">
        <v>1286</v>
      </c>
      <c r="F324" s="7"/>
      <c r="G324" s="8"/>
      <c r="H324" s="7"/>
      <c r="I324" s="6"/>
      <c r="J324" s="7"/>
      <c r="K324" s="8"/>
      <c r="L324" s="7"/>
      <c r="M324" s="8"/>
      <c r="N324" s="7"/>
      <c r="O324" s="8"/>
      <c r="P324" s="7"/>
      <c r="Q324" s="7"/>
      <c r="R324" s="8"/>
      <c r="S324" s="7"/>
      <c r="T324" s="9"/>
      <c r="U324" s="7"/>
      <c r="V324" s="8"/>
      <c r="W324" s="7"/>
      <c r="X324" s="7"/>
      <c r="Y324" s="8"/>
      <c r="Z324" s="7"/>
      <c r="AA324" s="8"/>
    </row>
    <row r="325" spans="4:27" ht="15" thickTop="1" thickBot="1">
      <c r="D325" s="65"/>
      <c r="E325" s="51" t="s">
        <v>985</v>
      </c>
      <c r="F325" s="7"/>
      <c r="G325" s="8"/>
      <c r="H325" s="7"/>
      <c r="I325" s="6"/>
      <c r="J325" s="7"/>
      <c r="K325" s="8"/>
      <c r="L325" s="7"/>
      <c r="M325" s="8"/>
      <c r="N325" s="7"/>
      <c r="O325" s="8"/>
      <c r="P325" s="7"/>
      <c r="Q325" s="7"/>
      <c r="R325" s="8"/>
      <c r="S325" s="7"/>
      <c r="T325" s="9"/>
      <c r="U325" s="7"/>
      <c r="V325" s="8"/>
      <c r="W325" s="7"/>
      <c r="X325" s="7"/>
      <c r="Y325" s="8"/>
      <c r="Z325" s="7"/>
      <c r="AA325" s="8"/>
    </row>
    <row r="326" spans="4:27" ht="15" thickTop="1" thickBot="1">
      <c r="D326" s="65"/>
      <c r="E326" s="51" t="s">
        <v>1092</v>
      </c>
      <c r="F326" s="7"/>
      <c r="G326" s="8"/>
      <c r="H326" s="7"/>
      <c r="I326" s="6"/>
      <c r="J326" s="7"/>
      <c r="K326" s="8"/>
      <c r="L326" s="7"/>
      <c r="M326" s="8"/>
      <c r="N326" s="7"/>
      <c r="O326" s="8"/>
      <c r="P326" s="7"/>
      <c r="Q326" s="7"/>
      <c r="R326" s="8"/>
      <c r="S326" s="7"/>
      <c r="T326" s="9"/>
      <c r="U326" s="7"/>
      <c r="V326" s="8"/>
      <c r="W326" s="7"/>
      <c r="X326" s="7"/>
      <c r="Y326" s="8"/>
      <c r="Z326" s="7"/>
      <c r="AA326" s="8"/>
    </row>
    <row r="327" spans="4:27" ht="15" thickTop="1" thickBot="1">
      <c r="D327" s="65"/>
      <c r="E327" s="51" t="s">
        <v>974</v>
      </c>
      <c r="F327" s="7"/>
      <c r="G327" s="8"/>
      <c r="H327" s="7"/>
      <c r="I327" s="6"/>
      <c r="J327" s="7"/>
      <c r="K327" s="8"/>
      <c r="L327" s="7"/>
      <c r="M327" s="8"/>
      <c r="N327" s="7"/>
      <c r="O327" s="8"/>
      <c r="P327" s="7"/>
      <c r="Q327" s="7"/>
      <c r="R327" s="8"/>
      <c r="S327" s="7"/>
      <c r="T327" s="9"/>
      <c r="U327" s="7"/>
      <c r="V327" s="8"/>
      <c r="W327" s="7"/>
      <c r="X327" s="7"/>
      <c r="Y327" s="8"/>
      <c r="Z327" s="7"/>
      <c r="AA327" s="8"/>
    </row>
    <row r="328" spans="4:27" ht="15" thickTop="1" thickBot="1">
      <c r="D328" s="65"/>
      <c r="E328" s="51" t="s">
        <v>1287</v>
      </c>
      <c r="F328" s="7"/>
      <c r="G328" s="8"/>
      <c r="H328" s="7"/>
      <c r="I328" s="6"/>
      <c r="J328" s="7"/>
      <c r="K328" s="8"/>
      <c r="L328" s="7"/>
      <c r="M328" s="8"/>
      <c r="N328" s="7"/>
      <c r="O328" s="8"/>
      <c r="P328" s="7"/>
      <c r="Q328" s="7"/>
      <c r="R328" s="8"/>
      <c r="S328" s="7"/>
      <c r="T328" s="9"/>
      <c r="U328" s="7"/>
      <c r="V328" s="8"/>
      <c r="W328" s="7"/>
      <c r="X328" s="7"/>
      <c r="Y328" s="8"/>
      <c r="Z328" s="7"/>
      <c r="AA328" s="8"/>
    </row>
    <row r="329" spans="4:27" ht="15" thickTop="1" thickBot="1">
      <c r="D329" s="65"/>
      <c r="E329" s="51" t="s">
        <v>1288</v>
      </c>
      <c r="F329" s="7"/>
      <c r="G329" s="8"/>
      <c r="H329" s="7"/>
      <c r="I329" s="6"/>
      <c r="J329" s="7"/>
      <c r="K329" s="8"/>
      <c r="L329" s="7"/>
      <c r="M329" s="8"/>
      <c r="N329" s="7"/>
      <c r="O329" s="8"/>
      <c r="P329" s="7"/>
      <c r="Q329" s="7"/>
      <c r="R329" s="8"/>
      <c r="S329" s="7"/>
      <c r="T329" s="9"/>
      <c r="U329" s="7"/>
      <c r="V329" s="8"/>
      <c r="W329" s="7"/>
      <c r="X329" s="7"/>
      <c r="Y329" s="8"/>
      <c r="Z329" s="7"/>
      <c r="AA329" s="8"/>
    </row>
    <row r="330" spans="4:27" ht="15" thickTop="1" thickBot="1">
      <c r="D330" s="65"/>
      <c r="E330" s="51" t="s">
        <v>38</v>
      </c>
      <c r="F330" s="7"/>
      <c r="G330" s="8"/>
      <c r="H330" s="7"/>
      <c r="I330" s="6"/>
      <c r="J330" s="7"/>
      <c r="K330" s="8"/>
      <c r="L330" s="7"/>
      <c r="M330" s="8"/>
      <c r="N330" s="7"/>
      <c r="O330" s="8"/>
      <c r="P330" s="7"/>
      <c r="Q330" s="7"/>
      <c r="R330" s="8"/>
      <c r="S330" s="7"/>
      <c r="T330" s="9"/>
      <c r="U330" s="7"/>
      <c r="V330" s="8"/>
      <c r="W330" s="7"/>
      <c r="X330" s="7"/>
      <c r="Y330" s="8"/>
      <c r="Z330" s="7"/>
      <c r="AA330" s="8"/>
    </row>
    <row r="331" spans="4:27" ht="15" thickTop="1" thickBot="1">
      <c r="D331" s="65"/>
      <c r="E331" s="51" t="s">
        <v>1289</v>
      </c>
      <c r="F331" s="7"/>
      <c r="G331" s="8"/>
      <c r="H331" s="7"/>
      <c r="I331" s="6"/>
      <c r="J331" s="7"/>
      <c r="K331" s="8"/>
      <c r="L331" s="7"/>
      <c r="M331" s="8"/>
      <c r="N331" s="7"/>
      <c r="O331" s="8"/>
      <c r="P331" s="7"/>
      <c r="Q331" s="7"/>
      <c r="R331" s="8"/>
      <c r="S331" s="7"/>
      <c r="T331" s="9"/>
      <c r="U331" s="7"/>
      <c r="V331" s="8"/>
      <c r="W331" s="7"/>
      <c r="X331" s="7"/>
      <c r="Y331" s="8"/>
      <c r="Z331" s="7"/>
      <c r="AA331" s="8"/>
    </row>
    <row r="332" spans="4:27" ht="15" thickTop="1" thickBot="1">
      <c r="D332" s="65"/>
      <c r="E332" s="51" t="s">
        <v>1290</v>
      </c>
      <c r="F332" s="7"/>
      <c r="G332" s="8"/>
      <c r="H332" s="7"/>
      <c r="I332" s="6"/>
      <c r="J332" s="7"/>
      <c r="K332" s="8"/>
      <c r="L332" s="7"/>
      <c r="M332" s="8"/>
      <c r="N332" s="7"/>
      <c r="O332" s="8"/>
      <c r="P332" s="7"/>
      <c r="Q332" s="7"/>
      <c r="R332" s="8"/>
      <c r="S332" s="7"/>
      <c r="T332" s="9"/>
      <c r="U332" s="7"/>
      <c r="V332" s="8"/>
      <c r="W332" s="7"/>
      <c r="X332" s="7"/>
      <c r="Y332" s="8"/>
      <c r="Z332" s="7"/>
      <c r="AA332" s="8"/>
    </row>
    <row r="333" spans="4:27" ht="15" thickTop="1" thickBot="1">
      <c r="D333" s="65"/>
      <c r="E333" s="51" t="s">
        <v>1111</v>
      </c>
      <c r="F333" s="7"/>
      <c r="G333" s="8"/>
      <c r="H333" s="7"/>
      <c r="I333" s="6"/>
      <c r="J333" s="7"/>
      <c r="K333" s="8"/>
      <c r="L333" s="7"/>
      <c r="M333" s="8"/>
      <c r="N333" s="7"/>
      <c r="O333" s="8"/>
      <c r="P333" s="7"/>
      <c r="Q333" s="7"/>
      <c r="R333" s="8"/>
      <c r="S333" s="7"/>
      <c r="T333" s="9"/>
      <c r="U333" s="7"/>
      <c r="V333" s="8"/>
      <c r="W333" s="7"/>
      <c r="X333" s="7"/>
      <c r="Y333" s="8"/>
      <c r="Z333" s="7"/>
      <c r="AA333" s="8"/>
    </row>
    <row r="334" spans="4:27" ht="15" thickTop="1" thickBot="1">
      <c r="D334" s="65"/>
      <c r="E334" s="51" t="s">
        <v>973</v>
      </c>
      <c r="F334" s="7"/>
      <c r="G334" s="8"/>
      <c r="H334" s="7"/>
      <c r="I334" s="6"/>
      <c r="J334" s="7"/>
      <c r="K334" s="8"/>
      <c r="L334" s="7"/>
      <c r="M334" s="8"/>
      <c r="N334" s="7"/>
      <c r="O334" s="8"/>
      <c r="P334" s="7"/>
      <c r="Q334" s="7"/>
      <c r="R334" s="8"/>
      <c r="S334" s="7"/>
      <c r="T334" s="9"/>
      <c r="U334" s="7"/>
      <c r="V334" s="8"/>
      <c r="W334" s="7"/>
      <c r="X334" s="7"/>
      <c r="Y334" s="8"/>
      <c r="Z334" s="7"/>
      <c r="AA334" s="8"/>
    </row>
    <row r="335" spans="4:27" ht="15" thickTop="1" thickBot="1">
      <c r="D335" s="65"/>
      <c r="E335" s="51" t="s">
        <v>1291</v>
      </c>
      <c r="F335" s="7"/>
      <c r="G335" s="8"/>
      <c r="H335" s="7"/>
      <c r="I335" s="6"/>
      <c r="J335" s="7"/>
      <c r="K335" s="8"/>
      <c r="L335" s="7"/>
      <c r="M335" s="8"/>
      <c r="N335" s="7"/>
      <c r="O335" s="8"/>
      <c r="P335" s="7"/>
      <c r="Q335" s="7"/>
      <c r="R335" s="8"/>
      <c r="S335" s="7"/>
      <c r="T335" s="9"/>
      <c r="U335" s="7"/>
      <c r="V335" s="8"/>
      <c r="W335" s="7"/>
      <c r="X335" s="7"/>
      <c r="Y335" s="8"/>
      <c r="Z335" s="7"/>
      <c r="AA335" s="8"/>
    </row>
    <row r="336" spans="4:27" ht="15" thickTop="1" thickBot="1">
      <c r="D336" s="65"/>
      <c r="E336" s="51" t="s">
        <v>993</v>
      </c>
      <c r="F336" s="7"/>
      <c r="G336" s="8"/>
      <c r="H336" s="7"/>
      <c r="I336" s="6"/>
      <c r="J336" s="7"/>
      <c r="K336" s="8"/>
      <c r="L336" s="7"/>
      <c r="M336" s="8"/>
      <c r="N336" s="7"/>
      <c r="O336" s="8"/>
      <c r="P336" s="7"/>
      <c r="Q336" s="7"/>
      <c r="R336" s="8"/>
      <c r="S336" s="7"/>
      <c r="T336" s="9"/>
      <c r="U336" s="7"/>
      <c r="V336" s="8"/>
      <c r="W336" s="7"/>
      <c r="X336" s="7"/>
      <c r="Y336" s="8"/>
      <c r="Z336" s="7"/>
      <c r="AA336" s="8"/>
    </row>
    <row r="337" spans="4:27" ht="15" thickTop="1" thickBot="1">
      <c r="D337" s="65"/>
      <c r="E337" s="51" t="s">
        <v>975</v>
      </c>
      <c r="F337" s="7"/>
      <c r="G337" s="8"/>
      <c r="H337" s="7"/>
      <c r="I337" s="6"/>
      <c r="J337" s="7"/>
      <c r="K337" s="8"/>
      <c r="L337" s="7"/>
      <c r="M337" s="8"/>
      <c r="N337" s="7"/>
      <c r="O337" s="8"/>
      <c r="P337" s="7"/>
      <c r="Q337" s="7"/>
      <c r="R337" s="8"/>
      <c r="S337" s="7"/>
      <c r="T337" s="9"/>
      <c r="U337" s="7"/>
      <c r="V337" s="8"/>
      <c r="W337" s="7"/>
      <c r="X337" s="7"/>
      <c r="Y337" s="8"/>
      <c r="Z337" s="7"/>
      <c r="AA337" s="8"/>
    </row>
    <row r="338" spans="4:27" ht="15" thickTop="1" thickBot="1">
      <c r="D338" s="65"/>
      <c r="E338" s="51" t="s">
        <v>731</v>
      </c>
      <c r="F338" s="7"/>
      <c r="G338" s="8"/>
      <c r="H338" s="7"/>
      <c r="I338" s="6"/>
      <c r="J338" s="7"/>
      <c r="K338" s="8"/>
      <c r="L338" s="7"/>
      <c r="M338" s="8"/>
      <c r="N338" s="7"/>
      <c r="O338" s="8"/>
      <c r="P338" s="7"/>
      <c r="Q338" s="7"/>
      <c r="R338" s="8"/>
      <c r="S338" s="7"/>
      <c r="T338" s="9"/>
      <c r="U338" s="7"/>
      <c r="V338" s="8"/>
      <c r="W338" s="7"/>
      <c r="X338" s="7"/>
      <c r="Y338" s="8"/>
      <c r="Z338" s="7"/>
      <c r="AA338" s="8"/>
    </row>
    <row r="339" spans="4:27" ht="15" thickTop="1" thickBot="1">
      <c r="D339" s="65"/>
      <c r="E339" s="51" t="s">
        <v>706</v>
      </c>
      <c r="F339" s="7"/>
      <c r="G339" s="8"/>
      <c r="H339" s="7"/>
      <c r="I339" s="6"/>
      <c r="J339" s="7"/>
      <c r="K339" s="8"/>
      <c r="L339" s="7"/>
      <c r="M339" s="8"/>
      <c r="N339" s="7"/>
      <c r="O339" s="8"/>
      <c r="P339" s="7"/>
      <c r="Q339" s="7"/>
      <c r="R339" s="8"/>
      <c r="S339" s="7"/>
      <c r="T339" s="9"/>
      <c r="U339" s="7"/>
      <c r="V339" s="8"/>
      <c r="W339" s="7"/>
      <c r="X339" s="7"/>
      <c r="Y339" s="8"/>
      <c r="Z339" s="7"/>
      <c r="AA339" s="8"/>
    </row>
    <row r="340" spans="4:27" ht="15" thickTop="1" thickBot="1">
      <c r="D340" s="65"/>
      <c r="E340" s="51" t="s">
        <v>143</v>
      </c>
      <c r="F340" s="7"/>
      <c r="G340" s="8"/>
      <c r="H340" s="7"/>
      <c r="I340" s="6"/>
      <c r="J340" s="7"/>
      <c r="K340" s="8"/>
      <c r="L340" s="7"/>
      <c r="M340" s="8"/>
      <c r="N340" s="7"/>
      <c r="O340" s="8"/>
      <c r="P340" s="7"/>
      <c r="Q340" s="7"/>
      <c r="R340" s="8"/>
      <c r="S340" s="7"/>
      <c r="T340" s="9"/>
      <c r="U340" s="7"/>
      <c r="V340" s="8"/>
      <c r="W340" s="7"/>
      <c r="X340" s="7"/>
      <c r="Y340" s="8"/>
      <c r="Z340" s="7"/>
      <c r="AA340" s="8"/>
    </row>
    <row r="341" spans="4:27" ht="15" thickTop="1" thickBot="1">
      <c r="D341" s="65"/>
      <c r="E341" s="51" t="s">
        <v>230</v>
      </c>
      <c r="F341" s="7"/>
      <c r="G341" s="8"/>
      <c r="H341" s="7"/>
      <c r="I341" s="6"/>
      <c r="J341" s="7"/>
      <c r="K341" s="8"/>
      <c r="L341" s="7"/>
      <c r="M341" s="8"/>
      <c r="N341" s="7"/>
      <c r="O341" s="8"/>
      <c r="P341" s="7"/>
      <c r="Q341" s="7"/>
      <c r="R341" s="8"/>
      <c r="S341" s="7"/>
      <c r="T341" s="9"/>
      <c r="U341" s="7"/>
      <c r="V341" s="8"/>
      <c r="W341" s="7"/>
      <c r="X341" s="7"/>
      <c r="Y341" s="8"/>
      <c r="Z341" s="7"/>
      <c r="AA341" s="8"/>
    </row>
    <row r="342" spans="4:27" ht="15" thickTop="1" thickBot="1">
      <c r="D342" s="65"/>
      <c r="E342" s="51" t="s">
        <v>144</v>
      </c>
      <c r="F342" s="7"/>
      <c r="G342" s="8"/>
      <c r="H342" s="7"/>
      <c r="I342" s="6"/>
      <c r="J342" s="7"/>
      <c r="K342" s="8"/>
      <c r="L342" s="7"/>
      <c r="M342" s="8"/>
      <c r="N342" s="7"/>
      <c r="O342" s="8"/>
      <c r="P342" s="7"/>
      <c r="Q342" s="7"/>
      <c r="R342" s="8"/>
      <c r="S342" s="7"/>
      <c r="T342" s="9"/>
      <c r="U342" s="7"/>
      <c r="V342" s="8"/>
      <c r="W342" s="7"/>
      <c r="X342" s="7"/>
      <c r="Y342" s="8"/>
      <c r="Z342" s="7"/>
      <c r="AA342" s="8"/>
    </row>
    <row r="343" spans="4:27" ht="15" thickTop="1" thickBot="1">
      <c r="D343" s="65"/>
      <c r="E343" s="51" t="s">
        <v>145</v>
      </c>
      <c r="F343" s="7"/>
      <c r="G343" s="8"/>
      <c r="H343" s="7"/>
      <c r="I343" s="6"/>
      <c r="J343" s="7"/>
      <c r="K343" s="8"/>
      <c r="L343" s="7"/>
      <c r="M343" s="8"/>
      <c r="N343" s="7"/>
      <c r="O343" s="8"/>
      <c r="P343" s="7"/>
      <c r="Q343" s="7"/>
      <c r="R343" s="8"/>
      <c r="S343" s="7"/>
      <c r="T343" s="9"/>
      <c r="U343" s="7"/>
      <c r="V343" s="8"/>
      <c r="W343" s="7"/>
      <c r="X343" s="7"/>
      <c r="Y343" s="8"/>
      <c r="Z343" s="7"/>
      <c r="AA343" s="8"/>
    </row>
    <row r="344" spans="4:27" ht="15" thickTop="1" thickBot="1">
      <c r="D344" s="65"/>
      <c r="E344" s="51" t="s">
        <v>146</v>
      </c>
      <c r="F344" s="7"/>
      <c r="G344" s="8"/>
      <c r="H344" s="7"/>
      <c r="I344" s="6"/>
      <c r="J344" s="7"/>
      <c r="K344" s="8"/>
      <c r="L344" s="7"/>
      <c r="M344" s="8"/>
      <c r="N344" s="7"/>
      <c r="O344" s="8"/>
      <c r="P344" s="7"/>
      <c r="Q344" s="7"/>
      <c r="R344" s="8"/>
      <c r="S344" s="7"/>
      <c r="T344" s="9"/>
      <c r="U344" s="7"/>
      <c r="V344" s="8"/>
      <c r="W344" s="7"/>
      <c r="X344" s="7"/>
      <c r="Y344" s="8"/>
      <c r="Z344" s="7"/>
      <c r="AA344" s="8"/>
    </row>
    <row r="345" spans="4:27" ht="15" thickTop="1" thickBot="1">
      <c r="D345" s="65"/>
      <c r="E345" s="51" t="s">
        <v>1038</v>
      </c>
      <c r="F345" s="7"/>
      <c r="G345" s="8"/>
      <c r="H345" s="7"/>
      <c r="I345" s="6"/>
      <c r="J345" s="7"/>
      <c r="K345" s="8"/>
      <c r="L345" s="7"/>
      <c r="M345" s="8"/>
      <c r="N345" s="7"/>
      <c r="O345" s="8"/>
      <c r="P345" s="7"/>
      <c r="Q345" s="7"/>
      <c r="R345" s="8"/>
      <c r="S345" s="7"/>
      <c r="T345" s="9"/>
      <c r="U345" s="7"/>
      <c r="V345" s="8"/>
      <c r="W345" s="7"/>
      <c r="X345" s="7"/>
      <c r="Y345" s="8"/>
      <c r="Z345" s="7"/>
      <c r="AA345" s="8"/>
    </row>
    <row r="346" spans="4:27" ht="15" thickTop="1" thickBot="1">
      <c r="D346" s="65"/>
      <c r="E346" s="51" t="s">
        <v>1030</v>
      </c>
      <c r="F346" s="7"/>
      <c r="G346" s="8"/>
      <c r="H346" s="7"/>
      <c r="I346" s="6"/>
      <c r="J346" s="7"/>
      <c r="K346" s="8"/>
      <c r="L346" s="7"/>
      <c r="M346" s="8"/>
      <c r="N346" s="7"/>
      <c r="O346" s="8"/>
      <c r="P346" s="7"/>
      <c r="Q346" s="7"/>
      <c r="R346" s="8"/>
      <c r="S346" s="7"/>
      <c r="T346" s="9"/>
      <c r="U346" s="7"/>
      <c r="V346" s="8"/>
      <c r="W346" s="7"/>
      <c r="X346" s="7"/>
      <c r="Y346" s="8"/>
      <c r="Z346" s="7"/>
      <c r="AA346" s="8"/>
    </row>
    <row r="347" spans="4:27" ht="15" thickTop="1" thickBot="1">
      <c r="D347" s="65"/>
      <c r="E347" s="51" t="s">
        <v>1026</v>
      </c>
      <c r="F347" s="7"/>
      <c r="G347" s="8"/>
      <c r="H347" s="7"/>
      <c r="I347" s="6"/>
      <c r="J347" s="7"/>
      <c r="K347" s="8"/>
      <c r="L347" s="7"/>
      <c r="M347" s="8"/>
      <c r="N347" s="7"/>
      <c r="O347" s="8"/>
      <c r="P347" s="7"/>
      <c r="Q347" s="7"/>
      <c r="R347" s="8"/>
      <c r="S347" s="7"/>
      <c r="T347" s="9"/>
      <c r="U347" s="7"/>
      <c r="V347" s="8"/>
      <c r="W347" s="7"/>
      <c r="X347" s="7"/>
      <c r="Y347" s="8"/>
      <c r="Z347" s="7"/>
      <c r="AA347" s="8"/>
    </row>
    <row r="348" spans="4:27" ht="15" thickTop="1" thickBot="1">
      <c r="D348" s="65"/>
      <c r="E348" s="51" t="s">
        <v>1292</v>
      </c>
      <c r="F348" s="7"/>
      <c r="G348" s="8"/>
      <c r="H348" s="7"/>
      <c r="I348" s="6"/>
      <c r="J348" s="7"/>
      <c r="K348" s="8"/>
      <c r="L348" s="7"/>
      <c r="M348" s="8"/>
      <c r="N348" s="7"/>
      <c r="O348" s="8"/>
      <c r="P348" s="7"/>
      <c r="Q348" s="7"/>
      <c r="R348" s="8"/>
      <c r="S348" s="7"/>
      <c r="T348" s="9"/>
      <c r="U348" s="7"/>
      <c r="V348" s="8"/>
      <c r="W348" s="7"/>
      <c r="X348" s="7"/>
      <c r="Y348" s="8"/>
      <c r="Z348" s="7"/>
      <c r="AA348" s="8"/>
    </row>
    <row r="349" spans="4:27" ht="15" thickTop="1" thickBot="1">
      <c r="D349" s="65"/>
      <c r="E349" s="51" t="s">
        <v>229</v>
      </c>
      <c r="F349" s="7"/>
      <c r="G349" s="8"/>
      <c r="H349" s="7"/>
      <c r="I349" s="6"/>
      <c r="J349" s="7"/>
      <c r="K349" s="8"/>
      <c r="L349" s="7"/>
      <c r="M349" s="8"/>
      <c r="N349" s="7"/>
      <c r="O349" s="8"/>
      <c r="P349" s="7"/>
      <c r="Q349" s="7"/>
      <c r="R349" s="8"/>
      <c r="S349" s="7"/>
      <c r="T349" s="9"/>
      <c r="U349" s="7"/>
      <c r="V349" s="8"/>
      <c r="W349" s="7"/>
      <c r="X349" s="7"/>
      <c r="Y349" s="8"/>
      <c r="Z349" s="7"/>
      <c r="AA349" s="8"/>
    </row>
    <row r="350" spans="4:27" ht="15" thickTop="1" thickBot="1">
      <c r="D350" s="65"/>
      <c r="E350" s="51" t="s">
        <v>196</v>
      </c>
      <c r="F350" s="7"/>
      <c r="G350" s="8"/>
      <c r="H350" s="7"/>
      <c r="I350" s="6"/>
      <c r="J350" s="7"/>
      <c r="K350" s="8"/>
      <c r="L350" s="7"/>
      <c r="M350" s="8"/>
      <c r="N350" s="7"/>
      <c r="O350" s="8"/>
      <c r="P350" s="7"/>
      <c r="Q350" s="7"/>
      <c r="R350" s="8"/>
      <c r="S350" s="7"/>
      <c r="T350" s="9"/>
      <c r="U350" s="7"/>
      <c r="V350" s="8"/>
      <c r="W350" s="7"/>
      <c r="X350" s="7"/>
      <c r="Y350" s="8"/>
      <c r="Z350" s="7"/>
      <c r="AA350" s="8"/>
    </row>
    <row r="351" spans="4:27" ht="15" thickTop="1" thickBot="1">
      <c r="D351" s="65"/>
      <c r="E351" s="51" t="s">
        <v>1017</v>
      </c>
      <c r="F351" s="7"/>
      <c r="G351" s="8"/>
      <c r="H351" s="7"/>
      <c r="I351" s="6"/>
      <c r="J351" s="7"/>
      <c r="K351" s="8"/>
      <c r="L351" s="7"/>
      <c r="M351" s="8"/>
      <c r="N351" s="7"/>
      <c r="O351" s="8"/>
      <c r="P351" s="7"/>
      <c r="Q351" s="7"/>
      <c r="R351" s="8"/>
      <c r="S351" s="7"/>
      <c r="T351" s="9"/>
      <c r="U351" s="7"/>
      <c r="V351" s="8"/>
      <c r="W351" s="7"/>
      <c r="X351" s="7"/>
      <c r="Y351" s="8"/>
      <c r="Z351" s="7"/>
      <c r="AA351" s="8"/>
    </row>
    <row r="352" spans="4:27" ht="15" thickTop="1" thickBot="1">
      <c r="D352" s="65"/>
      <c r="E352" s="51" t="s">
        <v>222</v>
      </c>
      <c r="F352" s="7"/>
      <c r="G352" s="8"/>
      <c r="H352" s="7"/>
      <c r="I352" s="6"/>
      <c r="J352" s="7"/>
      <c r="K352" s="8"/>
      <c r="L352" s="7"/>
      <c r="M352" s="8"/>
      <c r="N352" s="7"/>
      <c r="O352" s="8"/>
      <c r="P352" s="7"/>
      <c r="Q352" s="7"/>
      <c r="R352" s="8"/>
      <c r="S352" s="7"/>
      <c r="T352" s="9"/>
      <c r="U352" s="7"/>
      <c r="V352" s="8"/>
      <c r="W352" s="7"/>
      <c r="X352" s="7"/>
      <c r="Y352" s="8"/>
      <c r="Z352" s="7"/>
      <c r="AA352" s="8"/>
    </row>
    <row r="353" spans="4:27" ht="15" thickTop="1" thickBot="1">
      <c r="D353" s="65"/>
      <c r="E353" s="51" t="s">
        <v>207</v>
      </c>
      <c r="F353" s="7"/>
      <c r="G353" s="8"/>
      <c r="H353" s="7"/>
      <c r="I353" s="6"/>
      <c r="J353" s="7"/>
      <c r="K353" s="8"/>
      <c r="L353" s="7"/>
      <c r="M353" s="8"/>
      <c r="N353" s="7"/>
      <c r="O353" s="8"/>
      <c r="P353" s="7"/>
      <c r="Q353" s="7"/>
      <c r="R353" s="8"/>
      <c r="S353" s="7"/>
      <c r="T353" s="9"/>
      <c r="U353" s="7"/>
      <c r="V353" s="8"/>
      <c r="W353" s="7"/>
      <c r="X353" s="7"/>
      <c r="Y353" s="8"/>
      <c r="Z353" s="7"/>
      <c r="AA353" s="8"/>
    </row>
    <row r="354" spans="4:27" ht="15" thickTop="1" thickBot="1">
      <c r="D354" s="65"/>
      <c r="E354" s="51" t="s">
        <v>280</v>
      </c>
      <c r="F354" s="7"/>
      <c r="G354" s="8"/>
      <c r="H354" s="7"/>
      <c r="I354" s="6"/>
      <c r="J354" s="7"/>
      <c r="K354" s="8"/>
      <c r="L354" s="7"/>
      <c r="M354" s="8"/>
      <c r="N354" s="7"/>
      <c r="O354" s="8"/>
      <c r="P354" s="7"/>
      <c r="Q354" s="7"/>
      <c r="R354" s="8"/>
      <c r="S354" s="7"/>
      <c r="T354" s="9"/>
      <c r="U354" s="7"/>
      <c r="V354" s="8"/>
      <c r="W354" s="7"/>
      <c r="X354" s="7"/>
      <c r="Y354" s="8"/>
      <c r="Z354" s="7"/>
      <c r="AA354" s="8"/>
    </row>
    <row r="355" spans="4:27" ht="15" thickTop="1" thickBot="1">
      <c r="D355" s="65"/>
      <c r="E355" s="51" t="s">
        <v>197</v>
      </c>
      <c r="F355" s="7"/>
      <c r="G355" s="8"/>
      <c r="H355" s="7"/>
      <c r="I355" s="6"/>
      <c r="J355" s="7"/>
      <c r="K355" s="8"/>
      <c r="L355" s="7"/>
      <c r="M355" s="8"/>
      <c r="N355" s="7"/>
      <c r="O355" s="8"/>
      <c r="P355" s="7"/>
      <c r="Q355" s="7"/>
      <c r="R355" s="8"/>
      <c r="S355" s="7"/>
      <c r="T355" s="9"/>
      <c r="U355" s="7"/>
      <c r="V355" s="8"/>
      <c r="W355" s="7"/>
      <c r="X355" s="7"/>
      <c r="Y355" s="8"/>
      <c r="Z355" s="7"/>
      <c r="AA355" s="8"/>
    </row>
    <row r="356" spans="4:27" ht="15" thickTop="1" thickBot="1">
      <c r="D356" s="65"/>
      <c r="E356" s="51" t="s">
        <v>199</v>
      </c>
      <c r="F356" s="7"/>
      <c r="G356" s="8"/>
      <c r="H356" s="7"/>
      <c r="I356" s="6"/>
      <c r="J356" s="7"/>
      <c r="K356" s="8"/>
      <c r="L356" s="7"/>
      <c r="M356" s="8"/>
      <c r="N356" s="7"/>
      <c r="O356" s="8"/>
      <c r="P356" s="7"/>
      <c r="Q356" s="7"/>
      <c r="R356" s="8"/>
      <c r="S356" s="7"/>
      <c r="T356" s="9"/>
      <c r="U356" s="7"/>
      <c r="V356" s="8"/>
      <c r="W356" s="7"/>
      <c r="X356" s="7"/>
      <c r="Y356" s="8"/>
      <c r="Z356" s="7"/>
      <c r="AA356" s="8"/>
    </row>
    <row r="357" spans="4:27" ht="15" thickTop="1" thickBot="1">
      <c r="D357" s="65"/>
      <c r="E357" s="51" t="s">
        <v>1008</v>
      </c>
      <c r="F357" s="7"/>
      <c r="G357" s="8"/>
      <c r="H357" s="7"/>
      <c r="I357" s="6"/>
      <c r="J357" s="7"/>
      <c r="K357" s="8"/>
      <c r="L357" s="7"/>
      <c r="M357" s="8"/>
      <c r="N357" s="7"/>
      <c r="O357" s="8"/>
      <c r="P357" s="7"/>
      <c r="Q357" s="7"/>
      <c r="R357" s="8"/>
      <c r="S357" s="7"/>
      <c r="T357" s="9"/>
      <c r="U357" s="7"/>
      <c r="V357" s="8"/>
      <c r="W357" s="7"/>
      <c r="X357" s="7"/>
      <c r="Y357" s="8"/>
      <c r="Z357" s="7"/>
      <c r="AA357" s="8"/>
    </row>
    <row r="358" spans="4:27" ht="15" thickTop="1" thickBot="1">
      <c r="D358" s="65"/>
      <c r="E358" s="51" t="s">
        <v>271</v>
      </c>
      <c r="F358" s="7"/>
      <c r="G358" s="8"/>
      <c r="H358" s="7"/>
      <c r="I358" s="6"/>
      <c r="J358" s="7"/>
      <c r="K358" s="8"/>
      <c r="L358" s="7"/>
      <c r="M358" s="8"/>
      <c r="N358" s="7"/>
      <c r="O358" s="8"/>
      <c r="P358" s="7"/>
      <c r="Q358" s="7"/>
      <c r="R358" s="8"/>
      <c r="S358" s="7"/>
      <c r="T358" s="9"/>
      <c r="U358" s="7"/>
      <c r="V358" s="8"/>
      <c r="W358" s="7"/>
      <c r="X358" s="7"/>
      <c r="Y358" s="8"/>
      <c r="Z358" s="7"/>
      <c r="AA358" s="8"/>
    </row>
    <row r="359" spans="4:27" ht="15" thickTop="1" thickBot="1">
      <c r="D359" s="65"/>
      <c r="E359" s="51" t="s">
        <v>272</v>
      </c>
      <c r="F359" s="7"/>
      <c r="G359" s="8"/>
      <c r="H359" s="7"/>
      <c r="I359" s="6"/>
      <c r="J359" s="7"/>
      <c r="K359" s="8"/>
      <c r="L359" s="7"/>
      <c r="M359" s="8"/>
      <c r="N359" s="7"/>
      <c r="O359" s="8"/>
      <c r="P359" s="7"/>
      <c r="Q359" s="7"/>
      <c r="R359" s="8"/>
      <c r="S359" s="7"/>
      <c r="T359" s="9"/>
      <c r="U359" s="7"/>
      <c r="V359" s="8"/>
      <c r="W359" s="7"/>
      <c r="X359" s="7"/>
      <c r="Y359" s="8"/>
      <c r="Z359" s="7"/>
      <c r="AA359" s="8"/>
    </row>
    <row r="360" spans="4:27" ht="15" thickTop="1" thickBot="1">
      <c r="D360" s="65"/>
      <c r="E360" s="51" t="s">
        <v>1293</v>
      </c>
      <c r="F360" s="7"/>
      <c r="G360" s="8"/>
      <c r="H360" s="7"/>
      <c r="I360" s="6"/>
      <c r="J360" s="7"/>
      <c r="K360" s="8"/>
      <c r="L360" s="7"/>
      <c r="M360" s="8"/>
      <c r="N360" s="7"/>
      <c r="O360" s="8"/>
      <c r="P360" s="7"/>
      <c r="Q360" s="7"/>
      <c r="R360" s="8"/>
      <c r="S360" s="7"/>
      <c r="T360" s="9"/>
      <c r="U360" s="7"/>
      <c r="V360" s="8"/>
      <c r="W360" s="7"/>
      <c r="X360" s="7"/>
      <c r="Y360" s="8"/>
      <c r="Z360" s="7"/>
      <c r="AA360" s="8"/>
    </row>
    <row r="361" spans="4:27" ht="15" thickTop="1" thickBot="1">
      <c r="D361" s="65"/>
      <c r="E361" s="51" t="s">
        <v>1104</v>
      </c>
      <c r="F361" s="7"/>
      <c r="G361" s="8"/>
      <c r="H361" s="7"/>
      <c r="I361" s="6"/>
      <c r="J361" s="7"/>
      <c r="K361" s="8"/>
      <c r="L361" s="7"/>
      <c r="M361" s="8"/>
      <c r="N361" s="7"/>
      <c r="O361" s="8"/>
      <c r="P361" s="7"/>
      <c r="Q361" s="7"/>
      <c r="R361" s="8"/>
      <c r="S361" s="7"/>
      <c r="T361" s="9"/>
      <c r="U361" s="7"/>
      <c r="V361" s="8"/>
      <c r="W361" s="7"/>
      <c r="X361" s="7"/>
      <c r="Y361" s="8"/>
      <c r="Z361" s="7"/>
      <c r="AA361" s="8"/>
    </row>
    <row r="362" spans="4:27" ht="15" thickTop="1" thickBot="1">
      <c r="D362" s="65"/>
      <c r="E362" s="51" t="s">
        <v>1106</v>
      </c>
      <c r="F362" s="7"/>
      <c r="G362" s="8"/>
      <c r="H362" s="7"/>
      <c r="I362" s="6"/>
      <c r="J362" s="7"/>
      <c r="K362" s="8"/>
      <c r="L362" s="7"/>
      <c r="M362" s="8"/>
      <c r="N362" s="7"/>
      <c r="O362" s="8"/>
      <c r="P362" s="7"/>
      <c r="Q362" s="7"/>
      <c r="R362" s="8"/>
      <c r="S362" s="7"/>
      <c r="T362" s="9"/>
      <c r="U362" s="7"/>
      <c r="V362" s="8"/>
      <c r="W362" s="7"/>
      <c r="X362" s="7"/>
      <c r="Y362" s="8"/>
      <c r="Z362" s="7"/>
      <c r="AA362" s="8"/>
    </row>
    <row r="363" spans="4:27" ht="15" thickTop="1" thickBot="1">
      <c r="D363" s="65"/>
      <c r="E363" s="51" t="s">
        <v>1108</v>
      </c>
      <c r="F363" s="7"/>
      <c r="G363" s="8"/>
      <c r="H363" s="7"/>
      <c r="I363" s="6"/>
      <c r="J363" s="7"/>
      <c r="K363" s="8"/>
      <c r="L363" s="7"/>
      <c r="M363" s="8"/>
      <c r="N363" s="7"/>
      <c r="O363" s="8"/>
      <c r="P363" s="7"/>
      <c r="Q363" s="7"/>
      <c r="R363" s="8"/>
      <c r="S363" s="7"/>
      <c r="T363" s="9"/>
      <c r="U363" s="7"/>
      <c r="V363" s="8"/>
      <c r="W363" s="7"/>
      <c r="X363" s="7"/>
      <c r="Y363" s="8"/>
      <c r="Z363" s="7"/>
      <c r="AA363" s="8"/>
    </row>
    <row r="364" spans="4:27" ht="15" thickTop="1" thickBot="1">
      <c r="D364" s="65"/>
      <c r="E364" s="51" t="s">
        <v>1294</v>
      </c>
      <c r="F364" s="7"/>
      <c r="G364" s="8"/>
      <c r="H364" s="7"/>
      <c r="I364" s="6"/>
      <c r="J364" s="7"/>
      <c r="K364" s="8"/>
      <c r="L364" s="7"/>
      <c r="M364" s="8"/>
      <c r="N364" s="7"/>
      <c r="O364" s="8"/>
      <c r="P364" s="7"/>
      <c r="Q364" s="7"/>
      <c r="R364" s="8"/>
      <c r="S364" s="7"/>
      <c r="T364" s="9"/>
      <c r="U364" s="7"/>
      <c r="V364" s="8"/>
      <c r="W364" s="7"/>
      <c r="X364" s="7"/>
      <c r="Y364" s="8"/>
      <c r="Z364" s="7"/>
      <c r="AA364" s="8"/>
    </row>
    <row r="365" spans="4:27" ht="15" thickTop="1" thickBot="1">
      <c r="D365" s="65"/>
      <c r="E365" s="51" t="s">
        <v>1109</v>
      </c>
      <c r="F365" s="7"/>
      <c r="G365" s="8"/>
      <c r="H365" s="7"/>
      <c r="I365" s="6"/>
      <c r="J365" s="7"/>
      <c r="K365" s="8"/>
      <c r="L365" s="7"/>
      <c r="M365" s="8"/>
      <c r="N365" s="7"/>
      <c r="O365" s="8"/>
      <c r="P365" s="7"/>
      <c r="Q365" s="7"/>
      <c r="R365" s="8"/>
      <c r="S365" s="7"/>
      <c r="T365" s="9"/>
      <c r="U365" s="7"/>
      <c r="V365" s="8"/>
      <c r="W365" s="7"/>
      <c r="X365" s="7"/>
      <c r="Y365" s="8"/>
      <c r="Z365" s="7"/>
      <c r="AA365" s="8"/>
    </row>
    <row r="366" spans="4:27" ht="15" thickTop="1" thickBot="1">
      <c r="D366" s="65"/>
      <c r="E366" s="51" t="s">
        <v>1295</v>
      </c>
      <c r="F366" s="7"/>
      <c r="G366" s="8"/>
      <c r="H366" s="7"/>
      <c r="I366" s="6"/>
      <c r="J366" s="7"/>
      <c r="K366" s="8"/>
      <c r="L366" s="7"/>
      <c r="M366" s="8"/>
      <c r="N366" s="7"/>
      <c r="O366" s="8"/>
      <c r="P366" s="7"/>
      <c r="Q366" s="7"/>
      <c r="R366" s="8"/>
      <c r="S366" s="7"/>
      <c r="T366" s="9"/>
      <c r="U366" s="7"/>
      <c r="V366" s="8"/>
      <c r="W366" s="7"/>
      <c r="X366" s="7"/>
      <c r="Y366" s="8"/>
      <c r="Z366" s="7"/>
      <c r="AA366" s="8"/>
    </row>
    <row r="367" spans="4:27" ht="15" thickTop="1" thickBot="1">
      <c r="D367" s="65"/>
      <c r="E367" s="51" t="s">
        <v>1014</v>
      </c>
      <c r="F367" s="7"/>
      <c r="G367" s="8"/>
      <c r="H367" s="7"/>
      <c r="I367" s="6"/>
      <c r="J367" s="7"/>
      <c r="K367" s="8"/>
      <c r="L367" s="7"/>
      <c r="M367" s="8"/>
      <c r="N367" s="7"/>
      <c r="O367" s="8"/>
      <c r="P367" s="7"/>
      <c r="Q367" s="7"/>
      <c r="R367" s="8"/>
      <c r="S367" s="7"/>
      <c r="T367" s="9"/>
      <c r="U367" s="7"/>
      <c r="V367" s="8"/>
      <c r="W367" s="7"/>
      <c r="X367" s="7"/>
      <c r="Y367" s="8"/>
      <c r="Z367" s="7"/>
      <c r="AA367" s="8"/>
    </row>
    <row r="368" spans="4:27" ht="15" thickTop="1" thickBot="1">
      <c r="D368" s="65"/>
      <c r="E368" s="51" t="s">
        <v>200</v>
      </c>
      <c r="F368" s="7"/>
      <c r="G368" s="8"/>
      <c r="H368" s="7"/>
      <c r="I368" s="6"/>
      <c r="J368" s="7"/>
      <c r="K368" s="8"/>
      <c r="L368" s="7"/>
      <c r="M368" s="8"/>
      <c r="N368" s="7"/>
      <c r="O368" s="8"/>
      <c r="P368" s="7"/>
      <c r="Q368" s="7"/>
      <c r="R368" s="8"/>
      <c r="S368" s="7"/>
      <c r="T368" s="9"/>
      <c r="U368" s="7"/>
      <c r="V368" s="8"/>
      <c r="W368" s="7"/>
      <c r="X368" s="7"/>
      <c r="Y368" s="8"/>
      <c r="Z368" s="7"/>
      <c r="AA368" s="8"/>
    </row>
    <row r="369" spans="4:27" ht="15" thickTop="1" thickBot="1">
      <c r="D369" s="65"/>
      <c r="E369" s="51" t="s">
        <v>277</v>
      </c>
      <c r="F369" s="7"/>
      <c r="G369" s="8"/>
      <c r="H369" s="7"/>
      <c r="I369" s="6"/>
      <c r="J369" s="7"/>
      <c r="K369" s="8"/>
      <c r="L369" s="7"/>
      <c r="M369" s="8"/>
      <c r="N369" s="7"/>
      <c r="O369" s="8"/>
      <c r="P369" s="7"/>
      <c r="Q369" s="7"/>
      <c r="R369" s="8"/>
      <c r="S369" s="7"/>
      <c r="T369" s="9"/>
      <c r="U369" s="7"/>
      <c r="V369" s="8"/>
      <c r="W369" s="7"/>
      <c r="X369" s="7"/>
      <c r="Y369" s="8"/>
      <c r="Z369" s="7"/>
      <c r="AA369" s="8"/>
    </row>
    <row r="370" spans="4:27" ht="15" thickTop="1" thickBot="1">
      <c r="D370" s="65"/>
      <c r="E370" s="51" t="s">
        <v>1012</v>
      </c>
      <c r="F370" s="7"/>
      <c r="G370" s="8"/>
      <c r="H370" s="7"/>
      <c r="I370" s="6"/>
      <c r="J370" s="7"/>
      <c r="K370" s="8"/>
      <c r="L370" s="7"/>
      <c r="M370" s="8"/>
      <c r="N370" s="7"/>
      <c r="O370" s="8"/>
      <c r="P370" s="7"/>
      <c r="Q370" s="7"/>
      <c r="R370" s="8"/>
      <c r="S370" s="7"/>
      <c r="T370" s="9"/>
      <c r="U370" s="7"/>
      <c r="V370" s="8"/>
      <c r="W370" s="7"/>
      <c r="X370" s="7"/>
      <c r="Y370" s="8"/>
      <c r="Z370" s="7"/>
      <c r="AA370" s="8"/>
    </row>
    <row r="371" spans="4:27" ht="15" thickTop="1" thickBot="1">
      <c r="D371" s="65"/>
      <c r="E371" s="51" t="s">
        <v>201</v>
      </c>
      <c r="F371" s="7"/>
      <c r="G371" s="8"/>
      <c r="H371" s="7"/>
      <c r="I371" s="6"/>
      <c r="J371" s="7"/>
      <c r="K371" s="8"/>
      <c r="L371" s="7"/>
      <c r="M371" s="8"/>
      <c r="N371" s="7"/>
      <c r="O371" s="8"/>
      <c r="P371" s="7"/>
      <c r="Q371" s="7"/>
      <c r="R371" s="8"/>
      <c r="S371" s="7"/>
      <c r="T371" s="9"/>
      <c r="U371" s="7"/>
      <c r="V371" s="8"/>
      <c r="W371" s="7"/>
      <c r="X371" s="7"/>
      <c r="Y371" s="8"/>
      <c r="Z371" s="7"/>
      <c r="AA371" s="8"/>
    </row>
    <row r="372" spans="4:27" ht="15" thickTop="1" thickBot="1">
      <c r="D372" s="65"/>
      <c r="E372" s="51" t="s">
        <v>203</v>
      </c>
      <c r="F372" s="7"/>
      <c r="G372" s="8"/>
      <c r="H372" s="7"/>
      <c r="I372" s="6"/>
      <c r="J372" s="7"/>
      <c r="K372" s="8"/>
      <c r="L372" s="7"/>
      <c r="M372" s="8"/>
      <c r="N372" s="7"/>
      <c r="O372" s="8"/>
      <c r="P372" s="7"/>
      <c r="Q372" s="7"/>
      <c r="R372" s="8"/>
      <c r="S372" s="7"/>
      <c r="T372" s="9"/>
      <c r="U372" s="7"/>
      <c r="V372" s="8"/>
      <c r="W372" s="7"/>
      <c r="X372" s="7"/>
      <c r="Y372" s="8"/>
      <c r="Z372" s="7"/>
      <c r="AA372" s="8"/>
    </row>
    <row r="373" spans="4:27" ht="15" thickTop="1" thickBot="1">
      <c r="D373" s="65"/>
      <c r="E373" s="51" t="s">
        <v>1001</v>
      </c>
      <c r="F373" s="7"/>
      <c r="G373" s="8"/>
      <c r="H373" s="7"/>
      <c r="I373" s="6"/>
      <c r="J373" s="7"/>
      <c r="K373" s="8"/>
      <c r="L373" s="7"/>
      <c r="M373" s="8"/>
      <c r="N373" s="7"/>
      <c r="O373" s="8"/>
      <c r="P373" s="7"/>
      <c r="Q373" s="7"/>
      <c r="R373" s="8"/>
      <c r="S373" s="7"/>
      <c r="T373" s="9"/>
      <c r="U373" s="7"/>
      <c r="V373" s="8"/>
      <c r="W373" s="7"/>
      <c r="X373" s="7"/>
      <c r="Y373" s="8"/>
      <c r="Z373" s="7"/>
      <c r="AA373" s="8"/>
    </row>
    <row r="374" spans="4:27" ht="15" thickTop="1" thickBot="1">
      <c r="D374" s="65"/>
      <c r="E374" s="51" t="s">
        <v>1010</v>
      </c>
      <c r="F374" s="7"/>
      <c r="G374" s="8"/>
      <c r="H374" s="7"/>
      <c r="I374" s="6"/>
      <c r="J374" s="7"/>
      <c r="K374" s="8"/>
      <c r="L374" s="7"/>
      <c r="M374" s="8"/>
      <c r="N374" s="7"/>
      <c r="O374" s="8"/>
      <c r="P374" s="7"/>
      <c r="Q374" s="7"/>
      <c r="R374" s="8"/>
      <c r="S374" s="7"/>
      <c r="T374" s="9"/>
      <c r="U374" s="7"/>
      <c r="V374" s="8"/>
      <c r="W374" s="7"/>
      <c r="X374" s="7"/>
      <c r="Y374" s="8"/>
      <c r="Z374" s="7"/>
      <c r="AA374" s="8"/>
    </row>
    <row r="375" spans="4:27" ht="15" thickTop="1" thickBot="1">
      <c r="D375" s="65"/>
      <c r="E375" s="51" t="s">
        <v>285</v>
      </c>
      <c r="F375" s="7"/>
      <c r="G375" s="8"/>
      <c r="H375" s="7"/>
      <c r="I375" s="6"/>
      <c r="J375" s="7"/>
      <c r="K375" s="8"/>
      <c r="L375" s="7"/>
      <c r="M375" s="8"/>
      <c r="N375" s="7"/>
      <c r="O375" s="8"/>
      <c r="P375" s="7"/>
      <c r="Q375" s="7"/>
      <c r="R375" s="8"/>
      <c r="S375" s="7"/>
      <c r="T375" s="9"/>
      <c r="U375" s="7"/>
      <c r="V375" s="8"/>
      <c r="W375" s="7"/>
      <c r="X375" s="7"/>
      <c r="Y375" s="8"/>
      <c r="Z375" s="7"/>
      <c r="AA375" s="8"/>
    </row>
    <row r="376" spans="4:27" ht="15" thickTop="1" thickBot="1">
      <c r="D376" s="65"/>
      <c r="E376" s="51" t="s">
        <v>1003</v>
      </c>
      <c r="F376" s="7"/>
      <c r="G376" s="8"/>
      <c r="H376" s="7"/>
      <c r="I376" s="6"/>
      <c r="J376" s="7"/>
      <c r="K376" s="8"/>
      <c r="L376" s="7"/>
      <c r="M376" s="8"/>
      <c r="N376" s="7"/>
      <c r="O376" s="8"/>
      <c r="P376" s="7"/>
      <c r="Q376" s="7"/>
      <c r="R376" s="8"/>
      <c r="S376" s="7"/>
      <c r="T376" s="9"/>
      <c r="U376" s="7"/>
      <c r="V376" s="8"/>
      <c r="W376" s="7"/>
      <c r="X376" s="7"/>
      <c r="Y376" s="8"/>
      <c r="Z376" s="7"/>
      <c r="AA376" s="8"/>
    </row>
    <row r="377" spans="4:27" ht="15" thickTop="1" thickBot="1">
      <c r="D377" s="65"/>
      <c r="E377" s="51" t="s">
        <v>1296</v>
      </c>
      <c r="F377" s="7"/>
      <c r="G377" s="8"/>
      <c r="H377" s="7"/>
      <c r="I377" s="6"/>
      <c r="J377" s="7"/>
      <c r="K377" s="8"/>
      <c r="L377" s="7"/>
      <c r="M377" s="8"/>
      <c r="N377" s="7"/>
      <c r="O377" s="8"/>
      <c r="P377" s="7"/>
      <c r="Q377" s="7"/>
      <c r="R377" s="8"/>
      <c r="S377" s="7"/>
      <c r="T377" s="9"/>
      <c r="U377" s="7"/>
      <c r="V377" s="8"/>
      <c r="W377" s="7"/>
      <c r="X377" s="7"/>
      <c r="Y377" s="8"/>
      <c r="Z377" s="7"/>
      <c r="AA377" s="8"/>
    </row>
    <row r="378" spans="4:27" ht="15" thickTop="1" thickBot="1">
      <c r="D378" s="65"/>
      <c r="E378" s="51" t="s">
        <v>1124</v>
      </c>
      <c r="F378" s="7"/>
      <c r="G378" s="8"/>
      <c r="H378" s="7"/>
      <c r="I378" s="6"/>
      <c r="J378" s="7"/>
      <c r="K378" s="8"/>
      <c r="L378" s="7"/>
      <c r="M378" s="8"/>
      <c r="N378" s="7"/>
      <c r="O378" s="8"/>
      <c r="P378" s="7"/>
      <c r="Q378" s="7"/>
      <c r="R378" s="8"/>
      <c r="S378" s="7"/>
      <c r="T378" s="9"/>
      <c r="U378" s="7"/>
      <c r="V378" s="8"/>
      <c r="W378" s="7"/>
      <c r="X378" s="7"/>
      <c r="Y378" s="8"/>
      <c r="Z378" s="7"/>
      <c r="AA378" s="8"/>
    </row>
    <row r="379" spans="4:27" ht="15" thickTop="1" thickBot="1">
      <c r="D379" s="65"/>
      <c r="E379" s="51" t="s">
        <v>1125</v>
      </c>
      <c r="F379" s="7"/>
      <c r="G379" s="8"/>
      <c r="H379" s="7"/>
      <c r="I379" s="6"/>
      <c r="J379" s="7"/>
      <c r="K379" s="8"/>
      <c r="L379" s="7"/>
      <c r="M379" s="8"/>
      <c r="N379" s="7"/>
      <c r="O379" s="8"/>
      <c r="P379" s="7"/>
      <c r="Q379" s="7"/>
      <c r="R379" s="8"/>
      <c r="S379" s="7"/>
      <c r="T379" s="9"/>
      <c r="U379" s="7"/>
      <c r="V379" s="8"/>
      <c r="W379" s="7"/>
      <c r="X379" s="7"/>
      <c r="Y379" s="8"/>
      <c r="Z379" s="7"/>
      <c r="AA379" s="8"/>
    </row>
    <row r="380" spans="4:27" ht="15" thickTop="1" thickBot="1">
      <c r="D380" s="65"/>
      <c r="E380" s="51" t="s">
        <v>1126</v>
      </c>
      <c r="F380" s="7"/>
      <c r="G380" s="8"/>
      <c r="H380" s="7"/>
      <c r="I380" s="6"/>
      <c r="J380" s="7"/>
      <c r="K380" s="8"/>
      <c r="L380" s="7"/>
      <c r="M380" s="8"/>
      <c r="N380" s="7"/>
      <c r="O380" s="8"/>
      <c r="P380" s="7"/>
      <c r="Q380" s="7"/>
      <c r="R380" s="8"/>
      <c r="S380" s="7"/>
      <c r="T380" s="9"/>
      <c r="U380" s="7"/>
      <c r="V380" s="8"/>
      <c r="W380" s="7"/>
      <c r="X380" s="7"/>
      <c r="Y380" s="8"/>
      <c r="Z380" s="7"/>
      <c r="AA380" s="8"/>
    </row>
    <row r="381" spans="4:27" ht="15" thickTop="1" thickBot="1">
      <c r="D381" s="65"/>
      <c r="E381" s="51" t="s">
        <v>1127</v>
      </c>
      <c r="F381" s="7"/>
      <c r="G381" s="8"/>
      <c r="H381" s="7"/>
      <c r="I381" s="6"/>
      <c r="J381" s="7"/>
      <c r="K381" s="8"/>
      <c r="L381" s="7"/>
      <c r="M381" s="8"/>
      <c r="N381" s="7"/>
      <c r="O381" s="8"/>
      <c r="P381" s="7"/>
      <c r="Q381" s="7"/>
      <c r="R381" s="8"/>
      <c r="S381" s="7"/>
      <c r="T381" s="9"/>
      <c r="U381" s="7"/>
      <c r="V381" s="8"/>
      <c r="W381" s="7"/>
      <c r="X381" s="7"/>
      <c r="Y381" s="8"/>
      <c r="Z381" s="7"/>
      <c r="AA381" s="8"/>
    </row>
    <row r="382" spans="4:27" ht="15" thickTop="1" thickBot="1">
      <c r="D382" s="65"/>
      <c r="E382" s="51" t="s">
        <v>1128</v>
      </c>
      <c r="F382" s="7"/>
      <c r="G382" s="8"/>
      <c r="H382" s="7"/>
      <c r="I382" s="6"/>
      <c r="J382" s="7"/>
      <c r="K382" s="8"/>
      <c r="L382" s="7"/>
      <c r="M382" s="8"/>
      <c r="N382" s="7"/>
      <c r="O382" s="8"/>
      <c r="P382" s="7"/>
      <c r="Q382" s="7"/>
      <c r="R382" s="8"/>
      <c r="S382" s="7"/>
      <c r="T382" s="9"/>
      <c r="U382" s="7"/>
      <c r="V382" s="8"/>
      <c r="W382" s="7"/>
      <c r="X382" s="7"/>
      <c r="Y382" s="8"/>
      <c r="Z382" s="7"/>
      <c r="AA382" s="8"/>
    </row>
    <row r="383" spans="4:27" ht="15" thickTop="1" thickBot="1">
      <c r="D383" s="65"/>
      <c r="E383" s="51" t="s">
        <v>1129</v>
      </c>
      <c r="F383" s="7"/>
      <c r="G383" s="8"/>
      <c r="H383" s="7"/>
      <c r="I383" s="6"/>
      <c r="J383" s="7"/>
      <c r="K383" s="8"/>
      <c r="L383" s="7"/>
      <c r="M383" s="8"/>
      <c r="N383" s="7"/>
      <c r="O383" s="8"/>
      <c r="P383" s="7"/>
      <c r="Q383" s="7"/>
      <c r="R383" s="8"/>
      <c r="S383" s="7"/>
      <c r="T383" s="9"/>
      <c r="U383" s="7"/>
      <c r="V383" s="8"/>
      <c r="W383" s="7"/>
      <c r="X383" s="7"/>
      <c r="Y383" s="8"/>
      <c r="Z383" s="7"/>
      <c r="AA383" s="8"/>
    </row>
    <row r="384" spans="4:27" ht="15" thickTop="1" thickBot="1">
      <c r="D384" s="65"/>
      <c r="E384" s="51" t="s">
        <v>1019</v>
      </c>
      <c r="F384" s="7"/>
      <c r="G384" s="8"/>
      <c r="H384" s="7"/>
      <c r="I384" s="6"/>
      <c r="J384" s="7"/>
      <c r="K384" s="8"/>
      <c r="L384" s="7"/>
      <c r="M384" s="8"/>
      <c r="N384" s="7"/>
      <c r="O384" s="8"/>
      <c r="P384" s="7"/>
      <c r="Q384" s="7"/>
      <c r="R384" s="8"/>
      <c r="S384" s="7"/>
      <c r="T384" s="9"/>
      <c r="U384" s="7"/>
      <c r="V384" s="8"/>
      <c r="W384" s="7"/>
      <c r="X384" s="7"/>
      <c r="Y384" s="8"/>
      <c r="Z384" s="7"/>
      <c r="AA384" s="8"/>
    </row>
    <row r="385" spans="4:27" ht="15" thickTop="1" thickBot="1">
      <c r="D385" s="65"/>
      <c r="E385" s="51" t="s">
        <v>1016</v>
      </c>
      <c r="F385" s="7"/>
      <c r="G385" s="8"/>
      <c r="H385" s="7"/>
      <c r="I385" s="6"/>
      <c r="J385" s="7"/>
      <c r="K385" s="8"/>
      <c r="L385" s="7"/>
      <c r="M385" s="8"/>
      <c r="N385" s="7"/>
      <c r="O385" s="8"/>
      <c r="P385" s="7"/>
      <c r="Q385" s="7"/>
      <c r="R385" s="8"/>
      <c r="S385" s="7"/>
      <c r="T385" s="9"/>
      <c r="U385" s="7"/>
      <c r="V385" s="8"/>
      <c r="W385" s="7"/>
      <c r="X385" s="7"/>
      <c r="Y385" s="8"/>
      <c r="Z385" s="7"/>
      <c r="AA385" s="8"/>
    </row>
    <row r="386" spans="4:27" ht="15" thickTop="1" thickBot="1">
      <c r="D386" s="65"/>
      <c r="E386" s="51" t="s">
        <v>742</v>
      </c>
      <c r="F386" s="7"/>
      <c r="G386" s="8"/>
      <c r="H386" s="7"/>
      <c r="I386" s="6"/>
      <c r="J386" s="7"/>
      <c r="K386" s="8"/>
      <c r="L386" s="7"/>
      <c r="M386" s="8"/>
      <c r="N386" s="7"/>
      <c r="O386" s="8"/>
      <c r="P386" s="7"/>
      <c r="Q386" s="7"/>
      <c r="R386" s="8"/>
      <c r="S386" s="7"/>
      <c r="T386" s="9"/>
      <c r="U386" s="7"/>
      <c r="V386" s="8"/>
      <c r="W386" s="7"/>
      <c r="X386" s="7"/>
      <c r="Y386" s="8"/>
      <c r="Z386" s="7"/>
      <c r="AA386" s="8"/>
    </row>
    <row r="387" spans="4:27" ht="15" thickTop="1" thickBot="1">
      <c r="D387" s="65"/>
      <c r="E387" s="51" t="s">
        <v>990</v>
      </c>
      <c r="F387" s="7"/>
      <c r="G387" s="8"/>
      <c r="H387" s="7"/>
      <c r="I387" s="6"/>
      <c r="J387" s="7"/>
      <c r="K387" s="8"/>
      <c r="L387" s="7"/>
      <c r="M387" s="8"/>
      <c r="N387" s="7"/>
      <c r="O387" s="8"/>
      <c r="P387" s="7"/>
      <c r="Q387" s="7"/>
      <c r="R387" s="8"/>
      <c r="S387" s="7"/>
      <c r="T387" s="9"/>
      <c r="U387" s="7"/>
      <c r="V387" s="8"/>
      <c r="W387" s="7"/>
      <c r="X387" s="7"/>
      <c r="Y387" s="8"/>
      <c r="Z387" s="7"/>
      <c r="AA387" s="8"/>
    </row>
    <row r="388" spans="4:27" ht="15" thickTop="1" thickBot="1">
      <c r="D388" s="65"/>
      <c r="E388" s="51" t="s">
        <v>988</v>
      </c>
      <c r="F388" s="7"/>
      <c r="G388" s="8"/>
      <c r="H388" s="7"/>
      <c r="I388" s="6"/>
      <c r="J388" s="7"/>
      <c r="K388" s="8"/>
      <c r="L388" s="7"/>
      <c r="M388" s="8"/>
      <c r="N388" s="7"/>
      <c r="O388" s="8"/>
      <c r="P388" s="7"/>
      <c r="Q388" s="7"/>
      <c r="R388" s="8"/>
      <c r="S388" s="7"/>
      <c r="T388" s="9"/>
      <c r="U388" s="7"/>
      <c r="V388" s="8"/>
      <c r="W388" s="7"/>
      <c r="X388" s="7"/>
      <c r="Y388" s="8"/>
      <c r="Z388" s="7"/>
      <c r="AA388" s="8"/>
    </row>
    <row r="389" spans="4:27" ht="15" thickTop="1" thickBot="1">
      <c r="D389" s="65"/>
      <c r="E389" s="51" t="s">
        <v>986</v>
      </c>
      <c r="F389" s="7"/>
      <c r="G389" s="8"/>
      <c r="H389" s="7"/>
      <c r="I389" s="6"/>
      <c r="J389" s="7"/>
      <c r="K389" s="8"/>
      <c r="L389" s="7"/>
      <c r="M389" s="8"/>
      <c r="N389" s="7"/>
      <c r="O389" s="8"/>
      <c r="P389" s="7"/>
      <c r="Q389" s="7"/>
      <c r="R389" s="8"/>
      <c r="S389" s="7"/>
      <c r="T389" s="9"/>
      <c r="U389" s="7"/>
      <c r="V389" s="8"/>
      <c r="W389" s="7"/>
      <c r="X389" s="7"/>
      <c r="Y389" s="8"/>
      <c r="Z389" s="7"/>
      <c r="AA389" s="8"/>
    </row>
    <row r="390" spans="4:27" ht="15" thickTop="1" thickBot="1">
      <c r="D390" s="65"/>
      <c r="E390" s="51" t="s">
        <v>987</v>
      </c>
      <c r="F390" s="7"/>
      <c r="G390" s="8"/>
      <c r="H390" s="7"/>
      <c r="I390" s="6"/>
      <c r="J390" s="7"/>
      <c r="K390" s="8"/>
      <c r="L390" s="7"/>
      <c r="M390" s="8"/>
      <c r="N390" s="7"/>
      <c r="O390" s="8"/>
      <c r="P390" s="7"/>
      <c r="Q390" s="7"/>
      <c r="R390" s="8"/>
      <c r="S390" s="7"/>
      <c r="T390" s="9"/>
      <c r="U390" s="7"/>
      <c r="V390" s="8"/>
      <c r="W390" s="7"/>
      <c r="X390" s="7"/>
      <c r="Y390" s="8"/>
      <c r="Z390" s="7"/>
      <c r="AA390" s="8"/>
    </row>
    <row r="391" spans="4:27" ht="15" thickTop="1" thickBot="1">
      <c r="D391" s="65"/>
      <c r="E391" s="51" t="s">
        <v>1297</v>
      </c>
      <c r="F391" s="7"/>
      <c r="G391" s="8"/>
      <c r="H391" s="7"/>
      <c r="I391" s="6"/>
      <c r="J391" s="7"/>
      <c r="K391" s="8"/>
      <c r="L391" s="7"/>
      <c r="M391" s="8"/>
      <c r="N391" s="7"/>
      <c r="O391" s="8"/>
      <c r="P391" s="7"/>
      <c r="Q391" s="7"/>
      <c r="R391" s="8"/>
      <c r="S391" s="7"/>
      <c r="T391" s="9"/>
      <c r="U391" s="7"/>
      <c r="V391" s="8"/>
      <c r="W391" s="7"/>
      <c r="X391" s="7"/>
      <c r="Y391" s="8"/>
      <c r="Z391" s="7"/>
      <c r="AA391" s="8"/>
    </row>
    <row r="392" spans="4:27" ht="15" thickTop="1" thickBot="1">
      <c r="D392" s="65"/>
      <c r="E392" s="51" t="s">
        <v>1050</v>
      </c>
      <c r="F392" s="7"/>
      <c r="G392" s="8"/>
      <c r="H392" s="7"/>
      <c r="I392" s="6"/>
      <c r="J392" s="7"/>
      <c r="K392" s="8"/>
      <c r="L392" s="7"/>
      <c r="M392" s="8"/>
      <c r="N392" s="7"/>
      <c r="O392" s="8"/>
      <c r="P392" s="7"/>
      <c r="Q392" s="7"/>
      <c r="R392" s="8"/>
      <c r="S392" s="7"/>
      <c r="T392" s="9"/>
      <c r="U392" s="7"/>
      <c r="V392" s="8"/>
      <c r="W392" s="7"/>
      <c r="X392" s="7"/>
      <c r="Y392" s="8"/>
      <c r="Z392" s="7"/>
      <c r="AA392" s="8"/>
    </row>
    <row r="393" spans="4:27" ht="15" thickTop="1" thickBot="1">
      <c r="D393" s="65"/>
      <c r="E393" s="51" t="s">
        <v>1048</v>
      </c>
      <c r="F393" s="7"/>
      <c r="G393" s="8"/>
      <c r="H393" s="7"/>
      <c r="I393" s="6"/>
      <c r="J393" s="7"/>
      <c r="K393" s="8"/>
      <c r="L393" s="7"/>
      <c r="M393" s="8"/>
      <c r="N393" s="7"/>
      <c r="O393" s="8"/>
      <c r="P393" s="7"/>
      <c r="Q393" s="7"/>
      <c r="R393" s="8"/>
      <c r="S393" s="7"/>
      <c r="T393" s="9"/>
      <c r="U393" s="7"/>
      <c r="V393" s="8"/>
      <c r="W393" s="7"/>
      <c r="X393" s="7"/>
      <c r="Y393" s="8"/>
      <c r="Z393" s="7"/>
      <c r="AA393" s="8"/>
    </row>
    <row r="394" spans="4:27" ht="15" thickTop="1" thickBot="1">
      <c r="D394" s="65"/>
      <c r="E394" s="51" t="s">
        <v>1049</v>
      </c>
      <c r="F394" s="7"/>
      <c r="G394" s="8"/>
      <c r="H394" s="7"/>
      <c r="I394" s="6"/>
      <c r="J394" s="7"/>
      <c r="K394" s="8"/>
      <c r="L394" s="7"/>
      <c r="M394" s="8"/>
      <c r="N394" s="7"/>
      <c r="O394" s="8"/>
      <c r="P394" s="7"/>
      <c r="Q394" s="7"/>
      <c r="R394" s="8"/>
      <c r="S394" s="7"/>
      <c r="T394" s="9"/>
      <c r="U394" s="7"/>
      <c r="V394" s="8"/>
      <c r="W394" s="7"/>
      <c r="X394" s="7"/>
      <c r="Y394" s="8"/>
      <c r="Z394" s="7"/>
      <c r="AA394" s="8"/>
    </row>
    <row r="395" spans="4:27" ht="15" thickTop="1" thickBot="1">
      <c r="D395" s="65"/>
      <c r="E395" s="51" t="s">
        <v>151</v>
      </c>
      <c r="F395" s="7"/>
      <c r="G395" s="8"/>
      <c r="H395" s="7"/>
      <c r="I395" s="6"/>
      <c r="J395" s="7"/>
      <c r="K395" s="8"/>
      <c r="L395" s="7"/>
      <c r="M395" s="8"/>
      <c r="N395" s="7"/>
      <c r="O395" s="8"/>
      <c r="P395" s="7"/>
      <c r="Q395" s="7"/>
      <c r="R395" s="8"/>
      <c r="S395" s="7"/>
      <c r="T395" s="9"/>
      <c r="U395" s="7"/>
      <c r="V395" s="8"/>
      <c r="W395" s="7"/>
      <c r="X395" s="7"/>
      <c r="Y395" s="8"/>
      <c r="Z395" s="7"/>
      <c r="AA395" s="8"/>
    </row>
    <row r="396" spans="4:27" ht="15" thickTop="1" thickBot="1">
      <c r="D396" s="65"/>
      <c r="E396" s="51" t="s">
        <v>223</v>
      </c>
      <c r="F396" s="7"/>
      <c r="G396" s="8"/>
      <c r="H396" s="7"/>
      <c r="I396" s="6"/>
      <c r="J396" s="7"/>
      <c r="K396" s="8"/>
      <c r="L396" s="7"/>
      <c r="M396" s="8"/>
      <c r="N396" s="7"/>
      <c r="O396" s="8"/>
      <c r="P396" s="7"/>
      <c r="Q396" s="7"/>
      <c r="R396" s="8"/>
      <c r="S396" s="7"/>
      <c r="T396" s="9"/>
      <c r="U396" s="7"/>
      <c r="V396" s="8"/>
      <c r="W396" s="7"/>
      <c r="X396" s="7"/>
      <c r="Y396" s="8"/>
      <c r="Z396" s="7"/>
      <c r="AA396" s="8"/>
    </row>
    <row r="397" spans="4:27" ht="15" thickTop="1" thickBot="1">
      <c r="D397" s="65"/>
      <c r="E397" s="51" t="s">
        <v>152</v>
      </c>
      <c r="F397" s="7"/>
      <c r="G397" s="8"/>
      <c r="H397" s="7"/>
      <c r="I397" s="6"/>
      <c r="J397" s="7"/>
      <c r="K397" s="8"/>
      <c r="L397" s="7"/>
      <c r="M397" s="8"/>
      <c r="N397" s="7"/>
      <c r="O397" s="8"/>
      <c r="P397" s="7"/>
      <c r="Q397" s="7"/>
      <c r="R397" s="8"/>
      <c r="S397" s="7"/>
      <c r="T397" s="9"/>
      <c r="U397" s="7"/>
      <c r="V397" s="8"/>
      <c r="W397" s="7"/>
      <c r="X397" s="7"/>
      <c r="Y397" s="8"/>
      <c r="Z397" s="7"/>
      <c r="AA397" s="8"/>
    </row>
    <row r="398" spans="4:27" ht="15" thickTop="1" thickBot="1">
      <c r="D398" s="65"/>
      <c r="E398" s="51" t="s">
        <v>153</v>
      </c>
      <c r="F398" s="7"/>
      <c r="G398" s="8"/>
      <c r="H398" s="7"/>
      <c r="I398" s="6"/>
      <c r="J398" s="7"/>
      <c r="K398" s="8"/>
      <c r="L398" s="7"/>
      <c r="M398" s="8"/>
      <c r="N398" s="7"/>
      <c r="O398" s="8"/>
      <c r="P398" s="7"/>
      <c r="Q398" s="7"/>
      <c r="R398" s="8"/>
      <c r="S398" s="7"/>
      <c r="T398" s="9"/>
      <c r="U398" s="7"/>
      <c r="V398" s="8"/>
      <c r="W398" s="7"/>
      <c r="X398" s="7"/>
      <c r="Y398" s="8"/>
      <c r="Z398" s="7"/>
      <c r="AA398" s="8"/>
    </row>
    <row r="399" spans="4:27" ht="15" thickTop="1" thickBot="1">
      <c r="D399" s="65"/>
      <c r="E399" s="51" t="s">
        <v>154</v>
      </c>
      <c r="F399" s="7"/>
      <c r="G399" s="8"/>
      <c r="H399" s="7"/>
      <c r="I399" s="6"/>
      <c r="J399" s="7"/>
      <c r="K399" s="8"/>
      <c r="L399" s="7"/>
      <c r="M399" s="8"/>
      <c r="N399" s="7"/>
      <c r="O399" s="8"/>
      <c r="P399" s="7"/>
      <c r="Q399" s="7"/>
      <c r="R399" s="8"/>
      <c r="S399" s="7"/>
      <c r="T399" s="9"/>
      <c r="U399" s="7"/>
      <c r="V399" s="8"/>
      <c r="W399" s="7"/>
      <c r="X399" s="7"/>
      <c r="Y399" s="8"/>
      <c r="Z399" s="7"/>
      <c r="AA399" s="8"/>
    </row>
    <row r="400" spans="4:27" ht="15" thickTop="1" thickBot="1">
      <c r="D400" s="65"/>
      <c r="E400" s="51" t="s">
        <v>155</v>
      </c>
      <c r="F400" s="7"/>
      <c r="G400" s="8"/>
      <c r="H400" s="7"/>
      <c r="I400" s="6"/>
      <c r="J400" s="7"/>
      <c r="K400" s="8"/>
      <c r="L400" s="7"/>
      <c r="M400" s="8"/>
      <c r="N400" s="7"/>
      <c r="O400" s="8"/>
      <c r="P400" s="7"/>
      <c r="Q400" s="7"/>
      <c r="R400" s="8"/>
      <c r="S400" s="7"/>
      <c r="T400" s="9"/>
      <c r="U400" s="7"/>
      <c r="V400" s="8"/>
      <c r="W400" s="7"/>
      <c r="X400" s="7"/>
      <c r="Y400" s="8"/>
      <c r="Z400" s="7"/>
      <c r="AA400" s="8"/>
    </row>
    <row r="401" spans="4:27" ht="15" thickTop="1" thickBot="1">
      <c r="D401" s="65"/>
      <c r="E401" s="51" t="s">
        <v>156</v>
      </c>
      <c r="F401" s="7"/>
      <c r="G401" s="8"/>
      <c r="H401" s="7"/>
      <c r="I401" s="6"/>
      <c r="J401" s="7"/>
      <c r="K401" s="8"/>
      <c r="L401" s="7"/>
      <c r="M401" s="8"/>
      <c r="N401" s="7"/>
      <c r="O401" s="8"/>
      <c r="P401" s="7"/>
      <c r="Q401" s="7"/>
      <c r="R401" s="8"/>
      <c r="S401" s="7"/>
      <c r="T401" s="9"/>
      <c r="U401" s="7"/>
      <c r="V401" s="8"/>
      <c r="W401" s="7"/>
      <c r="X401" s="7"/>
      <c r="Y401" s="8"/>
      <c r="Z401" s="7"/>
      <c r="AA401" s="8"/>
    </row>
    <row r="402" spans="4:27" ht="15" thickTop="1" thickBot="1">
      <c r="D402" s="65"/>
      <c r="E402" s="51" t="s">
        <v>253</v>
      </c>
      <c r="F402" s="7"/>
      <c r="G402" s="8"/>
      <c r="H402" s="7"/>
      <c r="I402" s="6"/>
      <c r="J402" s="7"/>
      <c r="K402" s="8"/>
      <c r="L402" s="7"/>
      <c r="M402" s="8"/>
      <c r="N402" s="7"/>
      <c r="O402" s="8"/>
      <c r="P402" s="7"/>
      <c r="Q402" s="7"/>
      <c r="R402" s="8"/>
      <c r="S402" s="7"/>
      <c r="T402" s="9"/>
      <c r="U402" s="7"/>
      <c r="V402" s="8"/>
      <c r="W402" s="7"/>
      <c r="X402" s="7"/>
      <c r="Y402" s="8"/>
      <c r="Z402" s="7"/>
      <c r="AA402" s="8"/>
    </row>
    <row r="403" spans="4:27" ht="15" thickTop="1" thickBot="1">
      <c r="D403" s="65"/>
      <c r="E403" s="51" t="s">
        <v>254</v>
      </c>
      <c r="F403" s="7"/>
      <c r="G403" s="8"/>
      <c r="H403" s="7"/>
      <c r="I403" s="6"/>
      <c r="J403" s="7"/>
      <c r="K403" s="8"/>
      <c r="L403" s="7"/>
      <c r="M403" s="8"/>
      <c r="N403" s="7"/>
      <c r="O403" s="8"/>
      <c r="P403" s="7"/>
      <c r="Q403" s="7"/>
      <c r="R403" s="8"/>
      <c r="S403" s="7"/>
      <c r="T403" s="9"/>
      <c r="U403" s="7"/>
      <c r="V403" s="8"/>
      <c r="W403" s="7"/>
      <c r="X403" s="7"/>
      <c r="Y403" s="8"/>
      <c r="Z403" s="7"/>
      <c r="AA403" s="8"/>
    </row>
    <row r="404" spans="4:27" ht="15" thickTop="1" thickBot="1">
      <c r="D404" s="65"/>
      <c r="E404" s="51" t="s">
        <v>224</v>
      </c>
      <c r="F404" s="7"/>
      <c r="G404" s="8"/>
      <c r="H404" s="7"/>
      <c r="I404" s="6"/>
      <c r="J404" s="7"/>
      <c r="K404" s="8"/>
      <c r="L404" s="7"/>
      <c r="M404" s="8"/>
      <c r="N404" s="7"/>
      <c r="O404" s="8"/>
      <c r="P404" s="7"/>
      <c r="Q404" s="7"/>
      <c r="R404" s="8"/>
      <c r="S404" s="7"/>
      <c r="T404" s="9"/>
      <c r="U404" s="7"/>
      <c r="V404" s="8"/>
      <c r="W404" s="7"/>
      <c r="X404" s="7"/>
      <c r="Y404" s="8"/>
      <c r="Z404" s="7"/>
      <c r="AA404" s="8"/>
    </row>
    <row r="405" spans="4:27" ht="15" thickTop="1" thickBot="1">
      <c r="D405" s="65"/>
      <c r="E405" s="51" t="s">
        <v>157</v>
      </c>
      <c r="F405" s="7"/>
      <c r="G405" s="8"/>
      <c r="H405" s="7"/>
      <c r="I405" s="6"/>
      <c r="J405" s="7"/>
      <c r="K405" s="8"/>
      <c r="L405" s="7"/>
      <c r="M405" s="8"/>
      <c r="N405" s="7"/>
      <c r="O405" s="8"/>
      <c r="P405" s="7"/>
      <c r="Q405" s="7"/>
      <c r="R405" s="8"/>
      <c r="S405" s="7"/>
      <c r="T405" s="9"/>
      <c r="U405" s="7"/>
      <c r="V405" s="8"/>
      <c r="W405" s="7"/>
      <c r="X405" s="7"/>
      <c r="Y405" s="8"/>
      <c r="Z405" s="7"/>
      <c r="AA405" s="8"/>
    </row>
    <row r="406" spans="4:27" ht="15" thickTop="1" thickBot="1">
      <c r="D406" s="65"/>
      <c r="E406" s="51" t="s">
        <v>225</v>
      </c>
      <c r="F406" s="7"/>
      <c r="G406" s="8"/>
      <c r="H406" s="7"/>
      <c r="I406" s="6"/>
      <c r="J406" s="7"/>
      <c r="K406" s="8"/>
      <c r="L406" s="7"/>
      <c r="M406" s="8"/>
      <c r="N406" s="7"/>
      <c r="O406" s="8"/>
      <c r="P406" s="7"/>
      <c r="Q406" s="7"/>
      <c r="R406" s="8"/>
      <c r="S406" s="7"/>
      <c r="T406" s="9"/>
      <c r="U406" s="7"/>
      <c r="V406" s="8"/>
      <c r="W406" s="7"/>
      <c r="X406" s="7"/>
      <c r="Y406" s="8"/>
      <c r="Z406" s="7"/>
      <c r="AA406" s="8"/>
    </row>
    <row r="407" spans="4:27" ht="15" thickTop="1" thickBot="1">
      <c r="D407" s="65"/>
      <c r="E407" s="51" t="s">
        <v>158</v>
      </c>
      <c r="F407" s="7"/>
      <c r="G407" s="8"/>
      <c r="H407" s="7"/>
      <c r="I407" s="6"/>
      <c r="J407" s="7"/>
      <c r="K407" s="8"/>
      <c r="L407" s="7"/>
      <c r="M407" s="8"/>
      <c r="N407" s="7"/>
      <c r="O407" s="8"/>
      <c r="P407" s="7"/>
      <c r="Q407" s="7"/>
      <c r="R407" s="8"/>
      <c r="S407" s="7"/>
      <c r="T407" s="9"/>
      <c r="U407" s="7"/>
      <c r="V407" s="8"/>
      <c r="W407" s="7"/>
      <c r="X407" s="7"/>
      <c r="Y407" s="8"/>
      <c r="Z407" s="7"/>
      <c r="AA407" s="8"/>
    </row>
    <row r="408" spans="4:27" ht="15" thickTop="1" thickBot="1">
      <c r="D408" s="65"/>
      <c r="E408" s="51" t="s">
        <v>255</v>
      </c>
      <c r="F408" s="7"/>
      <c r="G408" s="8"/>
      <c r="H408" s="7"/>
      <c r="I408" s="6"/>
      <c r="J408" s="7"/>
      <c r="K408" s="8"/>
      <c r="L408" s="7"/>
      <c r="M408" s="8"/>
      <c r="N408" s="7"/>
      <c r="O408" s="8"/>
      <c r="P408" s="7"/>
      <c r="Q408" s="7"/>
      <c r="R408" s="8"/>
      <c r="S408" s="7"/>
      <c r="T408" s="9"/>
      <c r="U408" s="7"/>
      <c r="V408" s="8"/>
      <c r="W408" s="7"/>
      <c r="X408" s="7"/>
      <c r="Y408" s="8"/>
      <c r="Z408" s="7"/>
      <c r="AA408" s="8"/>
    </row>
    <row r="409" spans="4:27" ht="15" thickTop="1" thickBot="1">
      <c r="D409" s="65"/>
      <c r="E409" s="51" t="s">
        <v>159</v>
      </c>
      <c r="F409" s="7"/>
      <c r="G409" s="8"/>
      <c r="H409" s="7"/>
      <c r="I409" s="6"/>
      <c r="J409" s="7"/>
      <c r="K409" s="8"/>
      <c r="L409" s="7"/>
      <c r="M409" s="8"/>
      <c r="N409" s="7"/>
      <c r="O409" s="8"/>
      <c r="P409" s="7"/>
      <c r="Q409" s="7"/>
      <c r="R409" s="8"/>
      <c r="S409" s="7"/>
      <c r="T409" s="9"/>
      <c r="U409" s="7"/>
      <c r="V409" s="8"/>
      <c r="W409" s="7"/>
      <c r="X409" s="7"/>
      <c r="Y409" s="8"/>
      <c r="Z409" s="7"/>
      <c r="AA409" s="8"/>
    </row>
    <row r="410" spans="4:27" ht="15" thickTop="1" thickBot="1">
      <c r="D410" s="65"/>
      <c r="E410" s="51" t="s">
        <v>1140</v>
      </c>
      <c r="F410" s="7"/>
      <c r="G410" s="8"/>
      <c r="H410" s="7"/>
      <c r="I410" s="6"/>
      <c r="J410" s="7"/>
      <c r="K410" s="8"/>
      <c r="L410" s="7"/>
      <c r="M410" s="8"/>
      <c r="N410" s="7"/>
      <c r="O410" s="8"/>
      <c r="P410" s="7"/>
      <c r="Q410" s="7"/>
      <c r="R410" s="8"/>
      <c r="S410" s="7"/>
      <c r="T410" s="9"/>
      <c r="U410" s="7"/>
      <c r="V410" s="8"/>
      <c r="W410" s="7"/>
      <c r="X410" s="7"/>
      <c r="Y410" s="8"/>
      <c r="Z410" s="7"/>
      <c r="AA410" s="8"/>
    </row>
    <row r="411" spans="4:27" ht="15" thickTop="1" thickBot="1">
      <c r="D411" s="65"/>
      <c r="E411" s="51" t="s">
        <v>160</v>
      </c>
      <c r="F411" s="7"/>
      <c r="G411" s="8"/>
      <c r="H411" s="7"/>
      <c r="I411" s="6"/>
      <c r="J411" s="7"/>
      <c r="K411" s="8"/>
      <c r="L411" s="7"/>
      <c r="M411" s="8"/>
      <c r="N411" s="7"/>
      <c r="O411" s="8"/>
      <c r="P411" s="7"/>
      <c r="Q411" s="7"/>
      <c r="R411" s="8"/>
      <c r="S411" s="7"/>
      <c r="T411" s="9"/>
      <c r="U411" s="7"/>
      <c r="V411" s="8"/>
      <c r="W411" s="7"/>
      <c r="X411" s="7"/>
      <c r="Y411" s="8"/>
      <c r="Z411" s="7"/>
      <c r="AA411" s="8"/>
    </row>
    <row r="412" spans="4:27" ht="15" thickTop="1" thickBot="1">
      <c r="D412" s="65"/>
      <c r="E412" s="51" t="s">
        <v>257</v>
      </c>
      <c r="F412" s="7"/>
      <c r="G412" s="8"/>
      <c r="H412" s="7"/>
      <c r="I412" s="6"/>
      <c r="J412" s="7"/>
      <c r="K412" s="8"/>
      <c r="L412" s="7"/>
      <c r="M412" s="8"/>
      <c r="N412" s="7"/>
      <c r="O412" s="8"/>
      <c r="P412" s="7"/>
      <c r="Q412" s="7"/>
      <c r="R412" s="8"/>
      <c r="S412" s="7"/>
      <c r="T412" s="9"/>
      <c r="U412" s="7"/>
      <c r="V412" s="8"/>
      <c r="W412" s="7"/>
      <c r="X412" s="7"/>
      <c r="Y412" s="8"/>
      <c r="Z412" s="7"/>
      <c r="AA412" s="8"/>
    </row>
    <row r="413" spans="4:27" ht="15" thickTop="1" thickBot="1">
      <c r="D413" s="65"/>
      <c r="E413" s="51" t="s">
        <v>161</v>
      </c>
      <c r="F413" s="7"/>
      <c r="G413" s="8"/>
      <c r="H413" s="7"/>
      <c r="I413" s="6"/>
      <c r="J413" s="7"/>
      <c r="K413" s="8"/>
      <c r="L413" s="7"/>
      <c r="M413" s="8"/>
      <c r="N413" s="7"/>
      <c r="O413" s="8"/>
      <c r="P413" s="7"/>
      <c r="Q413" s="7"/>
      <c r="R413" s="8"/>
      <c r="S413" s="7"/>
      <c r="T413" s="9"/>
      <c r="U413" s="7"/>
      <c r="V413" s="8"/>
      <c r="W413" s="7"/>
      <c r="X413" s="7"/>
      <c r="Y413" s="8"/>
      <c r="Z413" s="7"/>
      <c r="AA413" s="8"/>
    </row>
    <row r="414" spans="4:27" ht="15" thickTop="1" thickBot="1">
      <c r="D414" s="65"/>
      <c r="E414" s="51" t="s">
        <v>162</v>
      </c>
      <c r="F414" s="7"/>
      <c r="G414" s="8"/>
      <c r="H414" s="7"/>
      <c r="I414" s="6"/>
      <c r="J414" s="7"/>
      <c r="K414" s="8"/>
      <c r="L414" s="7"/>
      <c r="M414" s="8"/>
      <c r="N414" s="7"/>
      <c r="O414" s="8"/>
      <c r="P414" s="7"/>
      <c r="Q414" s="7"/>
      <c r="R414" s="8"/>
      <c r="S414" s="7"/>
      <c r="T414" s="9"/>
      <c r="U414" s="7"/>
      <c r="V414" s="8"/>
      <c r="W414" s="7"/>
      <c r="X414" s="7"/>
      <c r="Y414" s="8"/>
      <c r="Z414" s="7"/>
      <c r="AA414" s="8"/>
    </row>
    <row r="415" spans="4:27" ht="15" thickTop="1" thickBot="1">
      <c r="D415" s="65"/>
      <c r="E415" s="51" t="s">
        <v>1043</v>
      </c>
      <c r="F415" s="7"/>
      <c r="G415" s="8"/>
      <c r="H415" s="7"/>
      <c r="I415" s="6"/>
      <c r="J415" s="7"/>
      <c r="K415" s="8"/>
      <c r="L415" s="7"/>
      <c r="M415" s="8"/>
      <c r="N415" s="7"/>
      <c r="O415" s="8"/>
      <c r="P415" s="7"/>
      <c r="Q415" s="7"/>
      <c r="R415" s="8"/>
      <c r="S415" s="7"/>
      <c r="T415" s="9"/>
      <c r="U415" s="7"/>
      <c r="V415" s="8"/>
      <c r="W415" s="7"/>
      <c r="X415" s="7"/>
      <c r="Y415" s="8"/>
      <c r="Z415" s="7"/>
      <c r="AA415" s="8"/>
    </row>
    <row r="416" spans="4:27" ht="15" thickTop="1" thickBot="1">
      <c r="D416" s="65"/>
      <c r="E416" s="51" t="s">
        <v>976</v>
      </c>
      <c r="F416" s="7"/>
      <c r="G416" s="8"/>
      <c r="H416" s="7"/>
      <c r="I416" s="6"/>
      <c r="J416" s="7"/>
      <c r="K416" s="8"/>
      <c r="L416" s="7"/>
      <c r="M416" s="8"/>
      <c r="N416" s="7"/>
      <c r="O416" s="8"/>
      <c r="P416" s="7"/>
      <c r="Q416" s="7"/>
      <c r="R416" s="8"/>
      <c r="S416" s="7"/>
      <c r="T416" s="9"/>
      <c r="U416" s="7"/>
      <c r="V416" s="8"/>
      <c r="W416" s="7"/>
      <c r="X416" s="7"/>
      <c r="Y416" s="8"/>
      <c r="Z416" s="7"/>
      <c r="AA416" s="8"/>
    </row>
    <row r="417" spans="4:27" ht="15" thickTop="1" thickBot="1">
      <c r="D417" s="65"/>
      <c r="E417" s="51" t="s">
        <v>977</v>
      </c>
      <c r="F417" s="7"/>
      <c r="G417" s="8"/>
      <c r="H417" s="7"/>
      <c r="I417" s="6"/>
      <c r="J417" s="7"/>
      <c r="K417" s="8"/>
      <c r="L417" s="7"/>
      <c r="M417" s="8"/>
      <c r="N417" s="7"/>
      <c r="O417" s="8"/>
      <c r="P417" s="7"/>
      <c r="Q417" s="7"/>
      <c r="R417" s="8"/>
      <c r="S417" s="7"/>
      <c r="T417" s="9"/>
      <c r="U417" s="7"/>
      <c r="V417" s="8"/>
      <c r="W417" s="7"/>
      <c r="X417" s="7"/>
      <c r="Y417" s="8"/>
      <c r="Z417" s="7"/>
      <c r="AA417" s="8"/>
    </row>
    <row r="418" spans="4:27" ht="15" thickTop="1" thickBot="1">
      <c r="D418" s="65"/>
      <c r="E418" s="51" t="s">
        <v>710</v>
      </c>
      <c r="F418" s="7"/>
      <c r="G418" s="8"/>
      <c r="H418" s="7"/>
      <c r="I418" s="6"/>
      <c r="J418" s="7"/>
      <c r="K418" s="8"/>
      <c r="L418" s="7"/>
      <c r="M418" s="8"/>
      <c r="N418" s="7"/>
      <c r="O418" s="8"/>
      <c r="P418" s="7"/>
      <c r="Q418" s="7"/>
      <c r="R418" s="8"/>
      <c r="S418" s="7"/>
      <c r="T418" s="9"/>
      <c r="U418" s="7"/>
      <c r="V418" s="8"/>
      <c r="W418" s="7"/>
      <c r="X418" s="7"/>
      <c r="Y418" s="8"/>
      <c r="Z418" s="7"/>
      <c r="AA418" s="8"/>
    </row>
    <row r="419" spans="4:27" ht="15" thickTop="1" thickBot="1">
      <c r="D419" s="65"/>
      <c r="E419" s="51" t="s">
        <v>746</v>
      </c>
      <c r="F419" s="7"/>
      <c r="G419" s="8"/>
      <c r="H419" s="7"/>
      <c r="I419" s="6"/>
      <c r="J419" s="7"/>
      <c r="K419" s="8"/>
      <c r="L419" s="7"/>
      <c r="M419" s="8"/>
      <c r="N419" s="7"/>
      <c r="O419" s="8"/>
      <c r="P419" s="7"/>
      <c r="Q419" s="7"/>
      <c r="R419" s="8"/>
      <c r="S419" s="7"/>
      <c r="T419" s="9"/>
      <c r="U419" s="7"/>
      <c r="V419" s="8"/>
      <c r="W419" s="7"/>
      <c r="X419" s="7"/>
      <c r="Y419" s="8"/>
      <c r="Z419" s="7"/>
      <c r="AA419" s="8"/>
    </row>
    <row r="420" spans="4:27" ht="15" thickTop="1" thickBot="1">
      <c r="D420" s="65"/>
      <c r="E420" s="51" t="s">
        <v>700</v>
      </c>
      <c r="F420" s="7"/>
      <c r="G420" s="8"/>
      <c r="H420" s="7"/>
      <c r="I420" s="6"/>
      <c r="J420" s="7"/>
      <c r="K420" s="8"/>
      <c r="L420" s="7"/>
      <c r="M420" s="8"/>
      <c r="N420" s="7"/>
      <c r="O420" s="8"/>
      <c r="P420" s="7"/>
      <c r="Q420" s="7"/>
      <c r="R420" s="8"/>
      <c r="S420" s="7"/>
      <c r="T420" s="9"/>
      <c r="U420" s="7"/>
      <c r="V420" s="8"/>
      <c r="W420" s="7"/>
      <c r="X420" s="7"/>
      <c r="Y420" s="8"/>
      <c r="Z420" s="7"/>
      <c r="AA420" s="8"/>
    </row>
    <row r="421" spans="4:27" ht="15" thickTop="1" thickBot="1">
      <c r="D421" s="65"/>
      <c r="E421" s="51" t="s">
        <v>961</v>
      </c>
      <c r="F421" s="7"/>
      <c r="G421" s="8"/>
      <c r="H421" s="7"/>
      <c r="I421" s="6"/>
      <c r="J421" s="7"/>
      <c r="K421" s="8"/>
      <c r="L421" s="7"/>
      <c r="M421" s="8"/>
      <c r="N421" s="7"/>
      <c r="O421" s="8"/>
      <c r="P421" s="7"/>
      <c r="Q421" s="7"/>
      <c r="R421" s="8"/>
      <c r="S421" s="7"/>
      <c r="T421" s="9"/>
      <c r="U421" s="7"/>
      <c r="V421" s="8"/>
      <c r="W421" s="7"/>
      <c r="X421" s="7"/>
      <c r="Y421" s="8"/>
      <c r="Z421" s="7"/>
      <c r="AA421" s="8"/>
    </row>
    <row r="422" spans="4:27" ht="15" thickTop="1" thickBot="1">
      <c r="D422" s="65"/>
      <c r="E422" s="51" t="s">
        <v>1298</v>
      </c>
      <c r="F422" s="7"/>
      <c r="G422" s="8"/>
      <c r="H422" s="7"/>
      <c r="I422" s="6"/>
      <c r="J422" s="7"/>
      <c r="K422" s="8"/>
      <c r="L422" s="7"/>
      <c r="M422" s="8"/>
      <c r="N422" s="7"/>
      <c r="O422" s="8"/>
      <c r="P422" s="7"/>
      <c r="Q422" s="7"/>
      <c r="R422" s="8"/>
      <c r="S422" s="7"/>
      <c r="T422" s="9"/>
      <c r="U422" s="7"/>
      <c r="V422" s="8"/>
      <c r="W422" s="7"/>
      <c r="X422" s="7"/>
      <c r="Y422" s="8"/>
      <c r="Z422" s="7"/>
      <c r="AA422" s="8"/>
    </row>
    <row r="423" spans="4:27" ht="15" thickTop="1" thickBot="1">
      <c r="D423" s="65"/>
      <c r="E423" s="51" t="s">
        <v>1096</v>
      </c>
      <c r="F423" s="7"/>
      <c r="G423" s="8"/>
      <c r="H423" s="7"/>
      <c r="I423" s="6"/>
      <c r="J423" s="7"/>
      <c r="K423" s="8"/>
      <c r="L423" s="7"/>
      <c r="M423" s="8"/>
      <c r="N423" s="7"/>
      <c r="O423" s="8"/>
      <c r="P423" s="7"/>
      <c r="Q423" s="7"/>
      <c r="R423" s="8"/>
      <c r="S423" s="7"/>
      <c r="T423" s="9"/>
      <c r="U423" s="7"/>
      <c r="V423" s="8"/>
      <c r="W423" s="7"/>
      <c r="X423" s="7"/>
      <c r="Y423" s="8"/>
      <c r="Z423" s="7"/>
      <c r="AA423" s="8"/>
    </row>
    <row r="424" spans="4:27" ht="15" thickTop="1" thickBot="1">
      <c r="D424" s="65"/>
      <c r="E424" s="51" t="s">
        <v>164</v>
      </c>
      <c r="F424" s="7"/>
      <c r="G424" s="8"/>
      <c r="H424" s="7"/>
      <c r="I424" s="6"/>
      <c r="J424" s="7"/>
      <c r="K424" s="8"/>
      <c r="L424" s="7"/>
      <c r="M424" s="8"/>
      <c r="N424" s="7"/>
      <c r="O424" s="8"/>
      <c r="P424" s="7"/>
      <c r="Q424" s="7"/>
      <c r="R424" s="8"/>
      <c r="S424" s="7"/>
      <c r="T424" s="9"/>
      <c r="U424" s="7"/>
      <c r="V424" s="8"/>
      <c r="W424" s="7"/>
      <c r="X424" s="7"/>
      <c r="Y424" s="8"/>
      <c r="Z424" s="7"/>
      <c r="AA424" s="8"/>
    </row>
    <row r="425" spans="4:27" ht="15" thickTop="1" thickBot="1">
      <c r="D425" s="65"/>
      <c r="E425" s="51" t="s">
        <v>1121</v>
      </c>
      <c r="F425" s="7"/>
      <c r="G425" s="8"/>
      <c r="H425" s="7"/>
      <c r="I425" s="6"/>
      <c r="J425" s="7"/>
      <c r="K425" s="8"/>
      <c r="L425" s="7"/>
      <c r="M425" s="8"/>
      <c r="N425" s="7"/>
      <c r="O425" s="8"/>
      <c r="P425" s="7"/>
      <c r="Q425" s="7"/>
      <c r="R425" s="8"/>
      <c r="S425" s="7"/>
      <c r="T425" s="9"/>
      <c r="U425" s="7"/>
      <c r="V425" s="8"/>
      <c r="W425" s="7"/>
      <c r="X425" s="7"/>
      <c r="Y425" s="8"/>
      <c r="Z425" s="7"/>
      <c r="AA425" s="8"/>
    </row>
    <row r="426" spans="4:27" ht="15" thickTop="1" thickBot="1">
      <c r="D426" s="65"/>
      <c r="E426" s="51" t="s">
        <v>767</v>
      </c>
      <c r="F426" s="7"/>
      <c r="G426" s="8"/>
      <c r="H426" s="7"/>
      <c r="I426" s="6"/>
      <c r="J426" s="7"/>
      <c r="K426" s="8"/>
      <c r="L426" s="7"/>
      <c r="M426" s="8"/>
      <c r="N426" s="7"/>
      <c r="O426" s="8"/>
      <c r="P426" s="7"/>
      <c r="Q426" s="7"/>
      <c r="R426" s="8"/>
      <c r="S426" s="7"/>
      <c r="T426" s="9"/>
      <c r="U426" s="7"/>
      <c r="V426" s="8"/>
      <c r="W426" s="7"/>
      <c r="X426" s="7"/>
      <c r="Y426" s="8"/>
      <c r="Z426" s="7"/>
      <c r="AA426" s="8"/>
    </row>
    <row r="427" spans="4:27" ht="15" thickTop="1" thickBot="1">
      <c r="D427" s="65"/>
      <c r="E427" s="51" t="s">
        <v>205</v>
      </c>
      <c r="F427" s="7"/>
      <c r="G427" s="8"/>
      <c r="H427" s="7"/>
      <c r="I427" s="6"/>
      <c r="J427" s="7"/>
      <c r="K427" s="8"/>
      <c r="L427" s="7"/>
      <c r="M427" s="8"/>
      <c r="N427" s="7"/>
      <c r="O427" s="8"/>
      <c r="P427" s="7"/>
      <c r="Q427" s="7"/>
      <c r="R427" s="8"/>
      <c r="S427" s="7"/>
      <c r="T427" s="9"/>
      <c r="U427" s="7"/>
      <c r="V427" s="8"/>
      <c r="W427" s="7"/>
      <c r="X427" s="7"/>
      <c r="Y427" s="8"/>
      <c r="Z427" s="7"/>
      <c r="AA427" s="8"/>
    </row>
    <row r="428" spans="4:27" ht="15" thickTop="1" thickBot="1">
      <c r="D428" s="65"/>
      <c r="E428" s="51" t="s">
        <v>206</v>
      </c>
      <c r="F428" s="7"/>
      <c r="G428" s="8"/>
      <c r="H428" s="7"/>
      <c r="I428" s="6"/>
      <c r="J428" s="7"/>
      <c r="K428" s="8"/>
      <c r="L428" s="7"/>
      <c r="M428" s="8"/>
      <c r="N428" s="7"/>
      <c r="O428" s="8"/>
      <c r="P428" s="7"/>
      <c r="Q428" s="7"/>
      <c r="R428" s="8"/>
      <c r="S428" s="7"/>
      <c r="T428" s="9"/>
      <c r="U428" s="7"/>
      <c r="V428" s="8"/>
      <c r="W428" s="7"/>
      <c r="X428" s="7"/>
      <c r="Y428" s="8"/>
      <c r="Z428" s="7"/>
      <c r="AA428" s="8"/>
    </row>
    <row r="429" spans="4:27" ht="15" thickTop="1" thickBot="1">
      <c r="D429" s="65"/>
      <c r="E429" s="51" t="s">
        <v>1134</v>
      </c>
      <c r="F429" s="7"/>
      <c r="G429" s="8"/>
      <c r="H429" s="7"/>
      <c r="I429" s="6"/>
      <c r="J429" s="7"/>
      <c r="K429" s="8"/>
      <c r="L429" s="7"/>
      <c r="M429" s="8"/>
      <c r="N429" s="7"/>
      <c r="O429" s="8"/>
      <c r="P429" s="7"/>
      <c r="Q429" s="7"/>
      <c r="R429" s="8"/>
      <c r="S429" s="7"/>
      <c r="T429" s="9"/>
      <c r="U429" s="7"/>
      <c r="V429" s="8"/>
      <c r="W429" s="7"/>
      <c r="X429" s="7"/>
      <c r="Y429" s="8"/>
      <c r="Z429" s="7"/>
      <c r="AA429" s="8"/>
    </row>
    <row r="430" spans="4:27" ht="15" thickTop="1" thickBot="1">
      <c r="D430" s="65"/>
      <c r="E430" s="51" t="s">
        <v>1067</v>
      </c>
      <c r="F430" s="7"/>
      <c r="G430" s="8"/>
      <c r="H430" s="7"/>
      <c r="I430" s="6"/>
      <c r="J430" s="7"/>
      <c r="K430" s="8"/>
      <c r="L430" s="7"/>
      <c r="M430" s="8"/>
      <c r="N430" s="7"/>
      <c r="O430" s="8"/>
      <c r="P430" s="7"/>
      <c r="Q430" s="7"/>
      <c r="R430" s="8"/>
      <c r="S430" s="7"/>
      <c r="T430" s="9"/>
      <c r="U430" s="7"/>
      <c r="V430" s="8"/>
      <c r="W430" s="7"/>
      <c r="X430" s="7"/>
      <c r="Y430" s="8"/>
      <c r="Z430" s="7"/>
      <c r="AA430" s="8"/>
    </row>
    <row r="431" spans="4:27" ht="15" thickTop="1" thickBot="1">
      <c r="D431" s="65"/>
      <c r="E431" s="51" t="s">
        <v>1120</v>
      </c>
      <c r="F431" s="7"/>
      <c r="G431" s="8"/>
      <c r="H431" s="7"/>
      <c r="I431" s="6"/>
      <c r="J431" s="7"/>
      <c r="K431" s="8"/>
      <c r="L431" s="7"/>
      <c r="M431" s="8"/>
      <c r="N431" s="7"/>
      <c r="O431" s="8"/>
      <c r="P431" s="7"/>
      <c r="Q431" s="7"/>
      <c r="R431" s="8"/>
      <c r="S431" s="7"/>
      <c r="T431" s="9"/>
      <c r="U431" s="7"/>
      <c r="V431" s="8"/>
      <c r="W431" s="7"/>
      <c r="X431" s="7"/>
      <c r="Y431" s="8"/>
      <c r="Z431" s="7"/>
      <c r="AA431" s="8"/>
    </row>
    <row r="432" spans="4:27" ht="15" thickTop="1" thickBot="1">
      <c r="D432" s="65"/>
      <c r="E432" s="51" t="s">
        <v>226</v>
      </c>
      <c r="F432" s="7"/>
      <c r="G432" s="8"/>
      <c r="H432" s="7"/>
      <c r="I432" s="6"/>
      <c r="J432" s="7"/>
      <c r="K432" s="8"/>
      <c r="L432" s="7"/>
      <c r="M432" s="8"/>
      <c r="N432" s="7"/>
      <c r="O432" s="8"/>
      <c r="P432" s="7"/>
      <c r="Q432" s="7"/>
      <c r="R432" s="8"/>
      <c r="S432" s="7"/>
      <c r="T432" s="9"/>
      <c r="U432" s="7"/>
      <c r="V432" s="8"/>
      <c r="W432" s="7"/>
      <c r="X432" s="7"/>
      <c r="Y432" s="8"/>
      <c r="Z432" s="7"/>
      <c r="AA432" s="8"/>
    </row>
    <row r="433" spans="4:27" ht="15" thickTop="1" thickBot="1">
      <c r="D433" s="65"/>
      <c r="E433" s="51" t="s">
        <v>209</v>
      </c>
      <c r="F433" s="7"/>
      <c r="G433" s="8"/>
      <c r="H433" s="7"/>
      <c r="I433" s="6"/>
      <c r="J433" s="7"/>
      <c r="K433" s="8"/>
      <c r="L433" s="7"/>
      <c r="M433" s="8"/>
      <c r="N433" s="7"/>
      <c r="O433" s="8"/>
      <c r="P433" s="7"/>
      <c r="Q433" s="7"/>
      <c r="R433" s="8"/>
      <c r="S433" s="7"/>
      <c r="T433" s="9"/>
      <c r="U433" s="7"/>
      <c r="V433" s="8"/>
      <c r="W433" s="7"/>
      <c r="X433" s="7"/>
      <c r="Y433" s="8"/>
      <c r="Z433" s="7"/>
      <c r="AA433" s="8"/>
    </row>
    <row r="434" spans="4:27" ht="15" thickTop="1" thickBot="1">
      <c r="D434" s="65"/>
      <c r="E434" s="51" t="s">
        <v>210</v>
      </c>
      <c r="F434" s="7"/>
      <c r="G434" s="8"/>
      <c r="H434" s="7"/>
      <c r="I434" s="6"/>
      <c r="J434" s="7"/>
      <c r="K434" s="8"/>
      <c r="L434" s="7"/>
      <c r="M434" s="8"/>
      <c r="N434" s="7"/>
      <c r="O434" s="8"/>
      <c r="P434" s="7"/>
      <c r="Q434" s="7"/>
      <c r="R434" s="8"/>
      <c r="S434" s="7"/>
      <c r="T434" s="9"/>
      <c r="U434" s="7"/>
      <c r="V434" s="8"/>
      <c r="W434" s="7"/>
      <c r="X434" s="7"/>
      <c r="Y434" s="8"/>
      <c r="Z434" s="7"/>
      <c r="AA434" s="8"/>
    </row>
    <row r="435" spans="4:27" ht="15" thickTop="1" thickBot="1">
      <c r="D435" s="65"/>
      <c r="E435" s="51" t="s">
        <v>258</v>
      </c>
      <c r="F435" s="7"/>
      <c r="G435" s="8"/>
      <c r="H435" s="7"/>
      <c r="I435" s="6"/>
      <c r="J435" s="7"/>
      <c r="K435" s="8"/>
      <c r="L435" s="7"/>
      <c r="M435" s="8"/>
      <c r="N435" s="7"/>
      <c r="O435" s="8"/>
      <c r="P435" s="7"/>
      <c r="Q435" s="7"/>
      <c r="R435" s="8"/>
      <c r="S435" s="7"/>
      <c r="T435" s="9"/>
      <c r="U435" s="7"/>
      <c r="V435" s="8"/>
      <c r="W435" s="7"/>
      <c r="X435" s="7"/>
      <c r="Y435" s="8"/>
      <c r="Z435" s="7"/>
      <c r="AA435" s="8"/>
    </row>
    <row r="436" spans="4:27" ht="15" thickTop="1" thickBot="1">
      <c r="D436" s="65"/>
      <c r="E436" s="51" t="s">
        <v>165</v>
      </c>
      <c r="F436" s="7"/>
      <c r="G436" s="8"/>
      <c r="H436" s="7"/>
      <c r="I436" s="6"/>
      <c r="J436" s="7"/>
      <c r="K436" s="8"/>
      <c r="L436" s="7"/>
      <c r="M436" s="8"/>
      <c r="N436" s="7"/>
      <c r="O436" s="8"/>
      <c r="P436" s="7"/>
      <c r="Q436" s="7"/>
      <c r="R436" s="8"/>
      <c r="S436" s="7"/>
      <c r="T436" s="9"/>
      <c r="U436" s="7"/>
      <c r="V436" s="8"/>
      <c r="W436" s="7"/>
      <c r="X436" s="7"/>
      <c r="Y436" s="8"/>
      <c r="Z436" s="7"/>
      <c r="AA436" s="8"/>
    </row>
    <row r="437" spans="4:27" ht="15" thickTop="1" thickBot="1">
      <c r="D437" s="65"/>
      <c r="E437" s="51" t="s">
        <v>166</v>
      </c>
      <c r="F437" s="7"/>
      <c r="G437" s="8"/>
      <c r="H437" s="7"/>
      <c r="I437" s="6"/>
      <c r="J437" s="7"/>
      <c r="K437" s="8"/>
      <c r="L437" s="7"/>
      <c r="M437" s="8"/>
      <c r="N437" s="7"/>
      <c r="O437" s="8"/>
      <c r="P437" s="7"/>
      <c r="Q437" s="7"/>
      <c r="R437" s="8"/>
      <c r="S437" s="7"/>
      <c r="T437" s="9"/>
      <c r="U437" s="7"/>
      <c r="V437" s="8"/>
      <c r="W437" s="7"/>
      <c r="X437" s="7"/>
      <c r="Y437" s="8"/>
      <c r="Z437" s="7"/>
      <c r="AA437" s="8"/>
    </row>
    <row r="438" spans="4:27" ht="15" thickTop="1" thickBot="1">
      <c r="D438" s="65"/>
      <c r="E438" s="51" t="s">
        <v>167</v>
      </c>
      <c r="F438" s="7"/>
      <c r="G438" s="8"/>
      <c r="H438" s="7"/>
      <c r="I438" s="6"/>
      <c r="J438" s="7"/>
      <c r="K438" s="8"/>
      <c r="L438" s="7"/>
      <c r="M438" s="8"/>
      <c r="N438" s="7"/>
      <c r="O438" s="8"/>
      <c r="P438" s="7"/>
      <c r="Q438" s="7"/>
      <c r="R438" s="8"/>
      <c r="S438" s="7"/>
      <c r="T438" s="9"/>
      <c r="U438" s="7"/>
      <c r="V438" s="8"/>
      <c r="W438" s="7"/>
      <c r="X438" s="7"/>
      <c r="Y438" s="8"/>
      <c r="Z438" s="7"/>
      <c r="AA438" s="8"/>
    </row>
    <row r="439" spans="4:27" ht="15" thickTop="1" thickBot="1">
      <c r="D439" s="65"/>
      <c r="E439" s="51" t="s">
        <v>259</v>
      </c>
      <c r="F439" s="7"/>
      <c r="G439" s="8"/>
      <c r="H439" s="7"/>
      <c r="I439" s="6"/>
      <c r="J439" s="7"/>
      <c r="K439" s="8"/>
      <c r="L439" s="7"/>
      <c r="M439" s="8"/>
      <c r="N439" s="7"/>
      <c r="O439" s="8"/>
      <c r="P439" s="7"/>
      <c r="Q439" s="7"/>
      <c r="R439" s="8"/>
      <c r="S439" s="7"/>
      <c r="T439" s="9"/>
      <c r="U439" s="7"/>
      <c r="V439" s="8"/>
      <c r="W439" s="7"/>
      <c r="X439" s="7"/>
      <c r="Y439" s="8"/>
      <c r="Z439" s="7"/>
      <c r="AA439" s="8"/>
    </row>
    <row r="440" spans="4:27" ht="15" thickTop="1" thickBot="1">
      <c r="D440" s="65"/>
      <c r="E440" s="51" t="s">
        <v>227</v>
      </c>
      <c r="F440" s="7"/>
      <c r="G440" s="8"/>
      <c r="H440" s="7"/>
      <c r="I440" s="6"/>
      <c r="J440" s="7"/>
      <c r="K440" s="8"/>
      <c r="L440" s="7"/>
      <c r="M440" s="8"/>
      <c r="N440" s="7"/>
      <c r="O440" s="8"/>
      <c r="P440" s="7"/>
      <c r="Q440" s="7"/>
      <c r="R440" s="8"/>
      <c r="S440" s="7"/>
      <c r="T440" s="9"/>
      <c r="U440" s="7"/>
      <c r="V440" s="8"/>
      <c r="W440" s="7"/>
      <c r="X440" s="7"/>
      <c r="Y440" s="8"/>
      <c r="Z440" s="7"/>
      <c r="AA440" s="8"/>
    </row>
    <row r="441" spans="4:27" ht="15" thickTop="1" thickBot="1">
      <c r="D441" s="65"/>
      <c r="E441" s="51" t="s">
        <v>168</v>
      </c>
      <c r="F441" s="7"/>
      <c r="G441" s="8"/>
      <c r="H441" s="7"/>
      <c r="I441" s="6"/>
      <c r="J441" s="7"/>
      <c r="K441" s="8"/>
      <c r="L441" s="7"/>
      <c r="M441" s="8"/>
      <c r="N441" s="7"/>
      <c r="O441" s="8"/>
      <c r="P441" s="7"/>
      <c r="Q441" s="7"/>
      <c r="R441" s="8"/>
      <c r="S441" s="7"/>
      <c r="T441" s="9"/>
      <c r="U441" s="7"/>
      <c r="V441" s="8"/>
      <c r="W441" s="7"/>
      <c r="X441" s="7"/>
      <c r="Y441" s="8"/>
      <c r="Z441" s="7"/>
      <c r="AA441" s="8"/>
    </row>
    <row r="442" spans="4:27" ht="15" thickTop="1" thickBot="1">
      <c r="D442" s="65"/>
      <c r="E442" s="51" t="s">
        <v>169</v>
      </c>
      <c r="F442" s="7"/>
      <c r="G442" s="8"/>
      <c r="H442" s="7"/>
      <c r="I442" s="6"/>
      <c r="J442" s="7"/>
      <c r="K442" s="8"/>
      <c r="L442" s="7"/>
      <c r="M442" s="8"/>
      <c r="N442" s="7"/>
      <c r="O442" s="8"/>
      <c r="P442" s="7"/>
      <c r="Q442" s="7"/>
      <c r="R442" s="8"/>
      <c r="S442" s="7"/>
      <c r="T442" s="9"/>
      <c r="U442" s="7"/>
      <c r="V442" s="8"/>
      <c r="W442" s="7"/>
      <c r="X442" s="7"/>
      <c r="Y442" s="8"/>
      <c r="Z442" s="7"/>
      <c r="AA442" s="8"/>
    </row>
    <row r="443" spans="4:27" ht="15" thickTop="1" thickBot="1">
      <c r="D443" s="65"/>
      <c r="E443" s="51" t="s">
        <v>260</v>
      </c>
      <c r="F443" s="7"/>
      <c r="G443" s="8"/>
      <c r="H443" s="7"/>
      <c r="I443" s="6"/>
      <c r="J443" s="7"/>
      <c r="K443" s="8"/>
      <c r="L443" s="7"/>
      <c r="M443" s="8"/>
      <c r="N443" s="7"/>
      <c r="O443" s="8"/>
      <c r="P443" s="7"/>
      <c r="Q443" s="7"/>
      <c r="R443" s="8"/>
      <c r="S443" s="7"/>
      <c r="T443" s="9"/>
      <c r="U443" s="7"/>
      <c r="V443" s="8"/>
      <c r="W443" s="7"/>
      <c r="X443" s="7"/>
      <c r="Y443" s="8"/>
      <c r="Z443" s="7"/>
      <c r="AA443" s="8"/>
    </row>
    <row r="444" spans="4:27" ht="15" thickTop="1" thickBot="1">
      <c r="D444" s="65"/>
      <c r="E444" s="51" t="s">
        <v>1029</v>
      </c>
      <c r="F444" s="7"/>
      <c r="G444" s="8"/>
      <c r="H444" s="7"/>
      <c r="I444" s="6"/>
      <c r="J444" s="7"/>
      <c r="K444" s="8"/>
      <c r="L444" s="7"/>
      <c r="M444" s="8"/>
      <c r="N444" s="7"/>
      <c r="O444" s="8"/>
      <c r="P444" s="7"/>
      <c r="Q444" s="7"/>
      <c r="R444" s="8"/>
      <c r="S444" s="7"/>
      <c r="T444" s="9"/>
      <c r="U444" s="7"/>
      <c r="V444" s="8"/>
      <c r="W444" s="7"/>
      <c r="X444" s="7"/>
      <c r="Y444" s="8"/>
      <c r="Z444" s="7"/>
      <c r="AA444" s="8"/>
    </row>
    <row r="445" spans="4:27" ht="15" thickTop="1" thickBot="1">
      <c r="D445" s="65"/>
      <c r="E445" s="51" t="s">
        <v>228</v>
      </c>
      <c r="F445" s="7"/>
      <c r="G445" s="8"/>
      <c r="H445" s="7"/>
      <c r="I445" s="6"/>
      <c r="J445" s="7"/>
      <c r="K445" s="8"/>
      <c r="L445" s="7"/>
      <c r="M445" s="8"/>
      <c r="N445" s="7"/>
      <c r="O445" s="8"/>
      <c r="P445" s="7"/>
      <c r="Q445" s="7"/>
      <c r="R445" s="8"/>
      <c r="S445" s="7"/>
      <c r="T445" s="9"/>
      <c r="U445" s="7"/>
      <c r="V445" s="8"/>
      <c r="W445" s="7"/>
      <c r="X445" s="7"/>
      <c r="Y445" s="8"/>
      <c r="Z445" s="7"/>
      <c r="AA445" s="8"/>
    </row>
    <row r="446" spans="4:27" ht="15" thickTop="1" thickBot="1">
      <c r="D446" s="65"/>
      <c r="E446" s="51" t="s">
        <v>261</v>
      </c>
      <c r="F446" s="7"/>
      <c r="G446" s="8"/>
      <c r="H446" s="7"/>
      <c r="I446" s="6"/>
      <c r="J446" s="7"/>
      <c r="K446" s="8"/>
      <c r="L446" s="7"/>
      <c r="M446" s="8"/>
      <c r="N446" s="7"/>
      <c r="O446" s="8"/>
      <c r="P446" s="7"/>
      <c r="Q446" s="7"/>
      <c r="R446" s="8"/>
      <c r="S446" s="7"/>
      <c r="T446" s="9"/>
      <c r="U446" s="7"/>
      <c r="V446" s="8"/>
      <c r="W446" s="7"/>
      <c r="X446" s="7"/>
      <c r="Y446" s="8"/>
      <c r="Z446" s="7"/>
      <c r="AA446" s="8"/>
    </row>
    <row r="447" spans="4:27" ht="15" thickTop="1" thickBot="1">
      <c r="D447" s="65"/>
      <c r="E447" s="51" t="s">
        <v>171</v>
      </c>
      <c r="F447" s="7"/>
      <c r="G447" s="8"/>
      <c r="H447" s="7"/>
      <c r="I447" s="6"/>
      <c r="J447" s="7"/>
      <c r="K447" s="8"/>
      <c r="L447" s="7"/>
      <c r="M447" s="8"/>
      <c r="N447" s="7"/>
      <c r="O447" s="8"/>
      <c r="P447" s="7"/>
      <c r="Q447" s="7"/>
      <c r="R447" s="8"/>
      <c r="S447" s="7"/>
      <c r="T447" s="9"/>
      <c r="U447" s="7"/>
      <c r="V447" s="8"/>
      <c r="W447" s="7"/>
      <c r="X447" s="7"/>
      <c r="Y447" s="8"/>
      <c r="Z447" s="7"/>
      <c r="AA447" s="8"/>
    </row>
    <row r="448" spans="4:27" ht="15" thickTop="1" thickBot="1">
      <c r="D448" s="65"/>
      <c r="E448" s="51" t="s">
        <v>262</v>
      </c>
      <c r="F448" s="7"/>
      <c r="G448" s="8"/>
      <c r="H448" s="7"/>
      <c r="I448" s="6"/>
      <c r="J448" s="7"/>
      <c r="K448" s="8"/>
      <c r="L448" s="7"/>
      <c r="M448" s="8"/>
      <c r="N448" s="7"/>
      <c r="O448" s="8"/>
      <c r="P448" s="7"/>
      <c r="Q448" s="7"/>
      <c r="R448" s="8"/>
      <c r="S448" s="7"/>
      <c r="T448" s="9"/>
      <c r="U448" s="7"/>
      <c r="V448" s="8"/>
      <c r="W448" s="7"/>
      <c r="X448" s="7"/>
      <c r="Y448" s="8"/>
      <c r="Z448" s="7"/>
      <c r="AA448" s="8"/>
    </row>
    <row r="449" spans="4:27" ht="15" thickTop="1" thickBot="1">
      <c r="D449" s="65"/>
      <c r="E449" s="51" t="s">
        <v>263</v>
      </c>
      <c r="F449" s="7"/>
      <c r="G449" s="8"/>
      <c r="H449" s="7"/>
      <c r="I449" s="6"/>
      <c r="J449" s="7"/>
      <c r="K449" s="8"/>
      <c r="L449" s="7"/>
      <c r="M449" s="8"/>
      <c r="N449" s="7"/>
      <c r="O449" s="8"/>
      <c r="P449" s="7"/>
      <c r="Q449" s="7"/>
      <c r="R449" s="8"/>
      <c r="S449" s="7"/>
      <c r="T449" s="9"/>
      <c r="U449" s="7"/>
      <c r="V449" s="8"/>
      <c r="W449" s="7"/>
      <c r="X449" s="7"/>
      <c r="Y449" s="8"/>
      <c r="Z449" s="7"/>
      <c r="AA449" s="8"/>
    </row>
    <row r="450" spans="4:27" ht="15" thickTop="1" thickBot="1">
      <c r="D450" s="65"/>
      <c r="E450" s="51" t="s">
        <v>172</v>
      </c>
      <c r="F450" s="7"/>
      <c r="G450" s="8"/>
      <c r="H450" s="7"/>
      <c r="I450" s="6"/>
      <c r="J450" s="7"/>
      <c r="K450" s="8"/>
      <c r="L450" s="7"/>
      <c r="M450" s="8"/>
      <c r="N450" s="7"/>
      <c r="O450" s="8"/>
      <c r="P450" s="7"/>
      <c r="Q450" s="7"/>
      <c r="R450" s="8"/>
      <c r="S450" s="7"/>
      <c r="T450" s="9"/>
      <c r="U450" s="7"/>
      <c r="V450" s="8"/>
      <c r="W450" s="7"/>
      <c r="X450" s="7"/>
      <c r="Y450" s="8"/>
      <c r="Z450" s="7"/>
      <c r="AA450" s="8"/>
    </row>
    <row r="451" spans="4:27" ht="15" thickTop="1" thickBot="1">
      <c r="D451" s="65"/>
      <c r="E451" s="51" t="s">
        <v>264</v>
      </c>
      <c r="F451" s="7"/>
      <c r="G451" s="8"/>
      <c r="H451" s="7"/>
      <c r="I451" s="6"/>
      <c r="J451" s="7"/>
      <c r="K451" s="8"/>
      <c r="L451" s="7"/>
      <c r="M451" s="8"/>
      <c r="N451" s="7"/>
      <c r="O451" s="8"/>
      <c r="P451" s="7"/>
      <c r="Q451" s="7"/>
      <c r="R451" s="8"/>
      <c r="S451" s="7"/>
      <c r="T451" s="9"/>
      <c r="U451" s="7"/>
      <c r="V451" s="8"/>
      <c r="W451" s="7"/>
      <c r="X451" s="7"/>
      <c r="Y451" s="8"/>
      <c r="Z451" s="7"/>
      <c r="AA451" s="8"/>
    </row>
    <row r="452" spans="4:27" ht="15" thickTop="1" thickBot="1">
      <c r="D452" s="65"/>
      <c r="E452" s="51" t="s">
        <v>265</v>
      </c>
      <c r="F452" s="7"/>
      <c r="G452" s="8"/>
      <c r="H452" s="7"/>
      <c r="I452" s="6"/>
      <c r="J452" s="7"/>
      <c r="K452" s="8"/>
      <c r="L452" s="7"/>
      <c r="M452" s="8"/>
      <c r="N452" s="7"/>
      <c r="O452" s="8"/>
      <c r="P452" s="7"/>
      <c r="Q452" s="7"/>
      <c r="R452" s="8"/>
      <c r="S452" s="7"/>
      <c r="T452" s="9"/>
      <c r="U452" s="7"/>
      <c r="V452" s="8"/>
      <c r="W452" s="7"/>
      <c r="X452" s="7"/>
      <c r="Y452" s="8"/>
      <c r="Z452" s="7"/>
      <c r="AA452" s="8"/>
    </row>
    <row r="453" spans="4:27" ht="15" thickTop="1" thickBot="1">
      <c r="D453" s="65"/>
      <c r="E453" s="51" t="s">
        <v>1041</v>
      </c>
      <c r="F453" s="7"/>
      <c r="G453" s="8"/>
      <c r="H453" s="7"/>
      <c r="I453" s="6"/>
      <c r="J453" s="7"/>
      <c r="K453" s="8"/>
      <c r="L453" s="7"/>
      <c r="M453" s="8"/>
      <c r="N453" s="7"/>
      <c r="O453" s="8"/>
      <c r="P453" s="7"/>
      <c r="Q453" s="7"/>
      <c r="R453" s="8"/>
      <c r="S453" s="7"/>
      <c r="T453" s="9"/>
      <c r="U453" s="7"/>
      <c r="V453" s="8"/>
      <c r="W453" s="7"/>
      <c r="X453" s="7"/>
      <c r="Y453" s="8"/>
      <c r="Z453" s="7"/>
      <c r="AA453" s="8"/>
    </row>
    <row r="454" spans="4:27" ht="15" thickTop="1" thickBot="1">
      <c r="D454" s="65"/>
      <c r="E454" s="51" t="s">
        <v>211</v>
      </c>
      <c r="F454" s="7"/>
      <c r="G454" s="8"/>
      <c r="H454" s="7"/>
      <c r="I454" s="6"/>
      <c r="J454" s="7"/>
      <c r="K454" s="8"/>
      <c r="L454" s="7"/>
      <c r="M454" s="8"/>
      <c r="N454" s="7"/>
      <c r="O454" s="8"/>
      <c r="P454" s="7"/>
      <c r="Q454" s="7"/>
      <c r="R454" s="8"/>
      <c r="S454" s="7"/>
      <c r="T454" s="9"/>
      <c r="U454" s="7"/>
      <c r="V454" s="8"/>
      <c r="W454" s="7"/>
      <c r="X454" s="7"/>
      <c r="Y454" s="8"/>
      <c r="Z454" s="7"/>
      <c r="AA454" s="8"/>
    </row>
    <row r="455" spans="4:27" ht="15" thickTop="1" thickBot="1">
      <c r="D455" s="65"/>
      <c r="E455" s="51" t="s">
        <v>1299</v>
      </c>
      <c r="F455" s="7"/>
      <c r="G455" s="8"/>
      <c r="H455" s="7"/>
      <c r="I455" s="6"/>
      <c r="J455" s="7"/>
      <c r="K455" s="8"/>
      <c r="L455" s="7"/>
      <c r="M455" s="8"/>
      <c r="N455" s="7"/>
      <c r="O455" s="8"/>
      <c r="P455" s="7"/>
      <c r="Q455" s="7"/>
      <c r="R455" s="8"/>
      <c r="S455" s="7"/>
      <c r="T455" s="9"/>
      <c r="U455" s="7"/>
      <c r="V455" s="8"/>
      <c r="W455" s="7"/>
      <c r="X455" s="7"/>
      <c r="Y455" s="8"/>
      <c r="Z455" s="7"/>
      <c r="AA455" s="8"/>
    </row>
    <row r="456" spans="4:27" ht="15" thickTop="1" thickBot="1">
      <c r="D456" s="65"/>
      <c r="E456" s="51" t="s">
        <v>213</v>
      </c>
      <c r="F456" s="7"/>
      <c r="G456" s="8"/>
      <c r="H456" s="7"/>
      <c r="I456" s="6"/>
      <c r="J456" s="7"/>
      <c r="K456" s="8"/>
      <c r="L456" s="7"/>
      <c r="M456" s="8"/>
      <c r="N456" s="7"/>
      <c r="O456" s="8"/>
      <c r="P456" s="7"/>
      <c r="Q456" s="7"/>
      <c r="R456" s="8"/>
      <c r="S456" s="7"/>
      <c r="T456" s="9"/>
      <c r="U456" s="7"/>
      <c r="V456" s="8"/>
      <c r="W456" s="7"/>
      <c r="X456" s="7"/>
      <c r="Y456" s="8"/>
      <c r="Z456" s="7"/>
      <c r="AA456" s="8"/>
    </row>
    <row r="457" spans="4:27" ht="15" thickTop="1" thickBot="1">
      <c r="D457" s="65"/>
      <c r="E457" s="51" t="s">
        <v>1034</v>
      </c>
      <c r="F457" s="7"/>
      <c r="G457" s="8"/>
      <c r="H457" s="7"/>
      <c r="I457" s="6"/>
      <c r="J457" s="7"/>
      <c r="K457" s="8"/>
      <c r="L457" s="7"/>
      <c r="M457" s="8"/>
      <c r="N457" s="7"/>
      <c r="O457" s="8"/>
      <c r="P457" s="7"/>
      <c r="Q457" s="7"/>
      <c r="R457" s="8"/>
      <c r="S457" s="7"/>
      <c r="T457" s="9"/>
      <c r="U457" s="7"/>
      <c r="V457" s="8"/>
      <c r="W457" s="7"/>
      <c r="X457" s="7"/>
      <c r="Y457" s="8"/>
      <c r="Z457" s="7"/>
      <c r="AA457" s="8"/>
    </row>
    <row r="458" spans="4:27" ht="15" thickTop="1" thickBot="1">
      <c r="D458" s="65"/>
      <c r="F458" s="7"/>
      <c r="G458" s="8"/>
      <c r="H458" s="7"/>
      <c r="I458" s="6"/>
      <c r="J458" s="7"/>
      <c r="K458" s="8"/>
      <c r="L458" s="7"/>
      <c r="M458" s="8"/>
      <c r="N458" s="7"/>
      <c r="O458" s="8"/>
      <c r="P458" s="7"/>
      <c r="Q458" s="7"/>
      <c r="R458" s="8"/>
      <c r="S458" s="7"/>
      <c r="T458" s="9"/>
      <c r="U458" s="7"/>
      <c r="V458" s="8"/>
      <c r="W458" s="7"/>
      <c r="X458" s="7"/>
      <c r="Y458" s="8"/>
      <c r="Z458" s="7"/>
      <c r="AA458" s="8"/>
    </row>
    <row r="459" spans="4:27" ht="15" thickTop="1" thickBot="1">
      <c r="D459" s="65"/>
      <c r="F459" s="7"/>
      <c r="G459" s="8"/>
      <c r="H459" s="7"/>
      <c r="I459" s="6"/>
      <c r="J459" s="7"/>
      <c r="K459" s="8"/>
      <c r="L459" s="7"/>
      <c r="M459" s="8"/>
      <c r="N459" s="7"/>
      <c r="O459" s="8"/>
      <c r="P459" s="7"/>
      <c r="Q459" s="7"/>
      <c r="R459" s="8"/>
      <c r="S459" s="7"/>
      <c r="T459" s="9"/>
      <c r="U459" s="7"/>
      <c r="V459" s="8"/>
      <c r="W459" s="7"/>
      <c r="X459" s="7"/>
      <c r="Y459" s="8"/>
      <c r="Z459" s="7"/>
      <c r="AA459" s="8"/>
    </row>
    <row r="460" spans="4:27" ht="15" thickTop="1" thickBot="1">
      <c r="D460" s="65"/>
      <c r="F460" s="7"/>
      <c r="G460" s="8"/>
      <c r="H460" s="7"/>
      <c r="I460" s="6"/>
      <c r="J460" s="7"/>
      <c r="K460" s="8"/>
      <c r="L460" s="7"/>
      <c r="M460" s="8"/>
      <c r="N460" s="7"/>
      <c r="O460" s="8"/>
      <c r="P460" s="7"/>
      <c r="Q460" s="7"/>
      <c r="R460" s="8"/>
      <c r="S460" s="7"/>
      <c r="T460" s="9"/>
      <c r="U460" s="7"/>
      <c r="V460" s="8"/>
      <c r="W460" s="7"/>
      <c r="X460" s="7"/>
      <c r="Y460" s="8"/>
      <c r="Z460" s="7"/>
      <c r="AA460" s="8"/>
    </row>
    <row r="461" spans="4:27" ht="15" thickTop="1" thickBot="1">
      <c r="D461" s="65"/>
      <c r="F461" s="7"/>
      <c r="G461" s="8"/>
      <c r="H461" s="7"/>
      <c r="I461" s="6"/>
      <c r="J461" s="7"/>
      <c r="K461" s="8"/>
      <c r="L461" s="7"/>
      <c r="M461" s="8"/>
      <c r="N461" s="7"/>
      <c r="O461" s="8"/>
      <c r="P461" s="7"/>
      <c r="Q461" s="7"/>
      <c r="R461" s="8"/>
      <c r="S461" s="7"/>
      <c r="T461" s="9"/>
      <c r="U461" s="7"/>
      <c r="V461" s="8"/>
      <c r="W461" s="7"/>
      <c r="X461" s="7"/>
      <c r="Y461" s="8"/>
      <c r="Z461" s="7"/>
      <c r="AA461" s="8"/>
    </row>
    <row r="462" spans="4:27" ht="15" thickTop="1" thickBot="1">
      <c r="D462" s="65"/>
      <c r="F462" s="7"/>
      <c r="G462" s="8"/>
      <c r="H462" s="7"/>
      <c r="I462" s="6"/>
      <c r="J462" s="7"/>
      <c r="K462" s="8"/>
      <c r="L462" s="7"/>
      <c r="M462" s="8"/>
      <c r="N462" s="7"/>
      <c r="O462" s="8"/>
      <c r="P462" s="7"/>
      <c r="Q462" s="7"/>
      <c r="R462" s="8"/>
      <c r="S462" s="7"/>
      <c r="T462" s="9"/>
      <c r="U462" s="7"/>
      <c r="V462" s="8"/>
      <c r="W462" s="7"/>
      <c r="X462" s="7"/>
      <c r="Y462" s="8"/>
      <c r="Z462" s="7"/>
      <c r="AA462" s="8"/>
    </row>
    <row r="463" spans="4:27" ht="15" thickTop="1" thickBot="1">
      <c r="D463" s="65"/>
      <c r="F463" s="7"/>
      <c r="G463" s="8"/>
      <c r="H463" s="7"/>
      <c r="I463" s="6"/>
      <c r="J463" s="7"/>
      <c r="K463" s="8"/>
      <c r="L463" s="7"/>
      <c r="M463" s="8"/>
      <c r="N463" s="7"/>
      <c r="O463" s="8"/>
      <c r="P463" s="7"/>
      <c r="Q463" s="7"/>
      <c r="R463" s="8"/>
      <c r="S463" s="7"/>
      <c r="T463" s="9"/>
      <c r="U463" s="7"/>
      <c r="V463" s="8"/>
      <c r="W463" s="7"/>
      <c r="X463" s="7"/>
      <c r="Y463" s="8"/>
      <c r="Z463" s="7"/>
      <c r="AA463" s="8"/>
    </row>
    <row r="464" spans="4:27" ht="15" thickTop="1" thickBot="1">
      <c r="D464" s="65"/>
      <c r="F464" s="7"/>
      <c r="G464" s="8"/>
      <c r="H464" s="7"/>
      <c r="I464" s="6"/>
      <c r="J464" s="7"/>
      <c r="K464" s="8"/>
      <c r="L464" s="7"/>
      <c r="M464" s="8"/>
      <c r="N464" s="7"/>
      <c r="O464" s="8"/>
      <c r="P464" s="7"/>
      <c r="Q464" s="7"/>
      <c r="R464" s="8"/>
      <c r="S464" s="7"/>
      <c r="T464" s="9"/>
      <c r="U464" s="7"/>
      <c r="V464" s="8"/>
      <c r="W464" s="7"/>
      <c r="X464" s="7"/>
      <c r="Y464" s="8"/>
      <c r="Z464" s="7"/>
      <c r="AA464" s="8"/>
    </row>
    <row r="465" spans="4:27" ht="15" thickTop="1" thickBot="1">
      <c r="D465" s="65"/>
      <c r="F465" s="7"/>
      <c r="G465" s="8"/>
      <c r="H465" s="7"/>
      <c r="I465" s="6"/>
      <c r="J465" s="7"/>
      <c r="K465" s="8"/>
      <c r="L465" s="7"/>
      <c r="M465" s="8"/>
      <c r="N465" s="7"/>
      <c r="O465" s="8"/>
      <c r="P465" s="7"/>
      <c r="Q465" s="7"/>
      <c r="R465" s="8"/>
      <c r="S465" s="7"/>
      <c r="T465" s="9"/>
      <c r="U465" s="7"/>
      <c r="V465" s="8"/>
      <c r="W465" s="7"/>
      <c r="X465" s="7"/>
      <c r="Y465" s="8"/>
      <c r="Z465" s="7"/>
      <c r="AA465" s="8"/>
    </row>
    <row r="466" spans="4:27" ht="15" thickTop="1" thickBot="1">
      <c r="D466" s="65"/>
      <c r="F466" s="7"/>
      <c r="G466" s="8"/>
      <c r="H466" s="7"/>
      <c r="I466" s="6"/>
      <c r="J466" s="7"/>
      <c r="K466" s="8"/>
      <c r="L466" s="7"/>
      <c r="M466" s="8"/>
      <c r="N466" s="7"/>
      <c r="O466" s="8"/>
      <c r="P466" s="7"/>
      <c r="Q466" s="7"/>
      <c r="R466" s="8"/>
      <c r="S466" s="7"/>
      <c r="T466" s="9"/>
      <c r="U466" s="7"/>
      <c r="V466" s="8"/>
      <c r="W466" s="7"/>
      <c r="X466" s="7"/>
      <c r="Y466" s="8"/>
      <c r="Z466" s="7"/>
      <c r="AA466" s="8"/>
    </row>
    <row r="467" spans="4:27" ht="15" thickTop="1" thickBot="1">
      <c r="D467" s="65"/>
      <c r="F467" s="7"/>
      <c r="G467" s="8"/>
      <c r="H467" s="7"/>
      <c r="I467" s="6"/>
      <c r="J467" s="7"/>
      <c r="K467" s="8"/>
      <c r="L467" s="7"/>
      <c r="M467" s="8"/>
      <c r="N467" s="7"/>
      <c r="O467" s="8"/>
      <c r="P467" s="7"/>
      <c r="Q467" s="7"/>
      <c r="R467" s="8"/>
      <c r="S467" s="7"/>
      <c r="T467" s="9"/>
      <c r="U467" s="7"/>
      <c r="V467" s="8"/>
      <c r="W467" s="7"/>
      <c r="X467" s="7"/>
      <c r="Y467" s="8"/>
      <c r="Z467" s="7"/>
      <c r="AA467" s="8"/>
    </row>
    <row r="468" spans="4:27" ht="15" thickTop="1" thickBot="1">
      <c r="D468" s="65"/>
      <c r="F468" s="7"/>
      <c r="G468" s="8"/>
      <c r="H468" s="7"/>
      <c r="I468" s="6"/>
      <c r="J468" s="7"/>
      <c r="K468" s="8"/>
      <c r="L468" s="7"/>
      <c r="M468" s="8"/>
      <c r="N468" s="7"/>
      <c r="O468" s="8"/>
      <c r="P468" s="7"/>
      <c r="Q468" s="7"/>
      <c r="R468" s="8"/>
      <c r="S468" s="7"/>
      <c r="T468" s="9"/>
      <c r="U468" s="7"/>
      <c r="V468" s="8"/>
      <c r="W468" s="7"/>
      <c r="X468" s="7"/>
      <c r="Y468" s="8"/>
      <c r="Z468" s="7"/>
      <c r="AA468" s="8"/>
    </row>
    <row r="469" spans="4:27" ht="15" thickTop="1" thickBot="1">
      <c r="D469" s="65"/>
      <c r="F469" s="7"/>
      <c r="G469" s="8"/>
      <c r="H469" s="7"/>
      <c r="I469" s="6"/>
      <c r="J469" s="7"/>
      <c r="K469" s="8"/>
      <c r="L469" s="7"/>
      <c r="M469" s="8"/>
      <c r="N469" s="7"/>
      <c r="O469" s="8"/>
      <c r="P469" s="7"/>
      <c r="Q469" s="7"/>
      <c r="R469" s="8"/>
      <c r="S469" s="7"/>
      <c r="T469" s="9"/>
      <c r="U469" s="7"/>
      <c r="V469" s="8"/>
      <c r="W469" s="7"/>
      <c r="X469" s="7"/>
      <c r="Y469" s="8"/>
      <c r="Z469" s="7"/>
      <c r="AA469" s="8"/>
    </row>
    <row r="470" spans="4:27" ht="15" thickTop="1" thickBot="1">
      <c r="D470" s="65"/>
      <c r="F470" s="7"/>
      <c r="G470" s="8"/>
      <c r="H470" s="7"/>
      <c r="I470" s="6"/>
      <c r="J470" s="7"/>
      <c r="K470" s="8"/>
      <c r="L470" s="7"/>
      <c r="M470" s="8"/>
      <c r="N470" s="7"/>
      <c r="O470" s="8"/>
      <c r="P470" s="7"/>
      <c r="Q470" s="7"/>
      <c r="R470" s="8"/>
      <c r="S470" s="7"/>
      <c r="T470" s="9"/>
      <c r="U470" s="7"/>
      <c r="V470" s="8"/>
      <c r="W470" s="7"/>
      <c r="X470" s="7"/>
      <c r="Y470" s="8"/>
      <c r="Z470" s="7"/>
      <c r="AA470" s="8"/>
    </row>
    <row r="471" spans="4:27" ht="15" thickTop="1" thickBot="1">
      <c r="D471" s="65"/>
      <c r="F471" s="7"/>
      <c r="G471" s="8"/>
      <c r="H471" s="7"/>
      <c r="I471" s="6"/>
      <c r="J471" s="7"/>
      <c r="K471" s="8"/>
      <c r="L471" s="7"/>
      <c r="M471" s="8"/>
      <c r="N471" s="7"/>
      <c r="O471" s="8"/>
      <c r="P471" s="7"/>
      <c r="Q471" s="7"/>
      <c r="R471" s="8"/>
      <c r="S471" s="7"/>
      <c r="T471" s="9"/>
      <c r="U471" s="7"/>
      <c r="V471" s="8"/>
      <c r="W471" s="7"/>
      <c r="X471" s="7"/>
      <c r="Y471" s="8"/>
      <c r="Z471" s="7"/>
      <c r="AA471" s="8"/>
    </row>
    <row r="472" spans="4:27" ht="15" thickTop="1" thickBot="1">
      <c r="D472" s="65"/>
      <c r="F472" s="7"/>
      <c r="G472" s="8"/>
      <c r="H472" s="7"/>
      <c r="I472" s="6"/>
      <c r="J472" s="7"/>
      <c r="K472" s="8"/>
      <c r="L472" s="7"/>
      <c r="M472" s="8"/>
      <c r="N472" s="7"/>
      <c r="O472" s="8"/>
      <c r="P472" s="7"/>
      <c r="Q472" s="7"/>
      <c r="R472" s="8"/>
      <c r="S472" s="7"/>
      <c r="T472" s="9"/>
      <c r="U472" s="7"/>
      <c r="V472" s="8"/>
      <c r="W472" s="7"/>
      <c r="X472" s="7"/>
      <c r="Y472" s="8"/>
      <c r="Z472" s="7"/>
      <c r="AA472" s="8"/>
    </row>
    <row r="473" spans="4:27" ht="15" thickTop="1" thickBot="1">
      <c r="D473" s="65"/>
      <c r="F473" s="7"/>
      <c r="G473" s="8"/>
      <c r="H473" s="7"/>
      <c r="I473" s="6"/>
      <c r="J473" s="7"/>
      <c r="K473" s="8"/>
      <c r="L473" s="7"/>
      <c r="M473" s="8"/>
      <c r="N473" s="7"/>
      <c r="O473" s="8"/>
      <c r="P473" s="7"/>
      <c r="Q473" s="7"/>
      <c r="R473" s="8"/>
      <c r="S473" s="7"/>
      <c r="T473" s="9"/>
      <c r="U473" s="7"/>
      <c r="V473" s="8"/>
      <c r="W473" s="7"/>
      <c r="X473" s="7"/>
      <c r="Y473" s="8"/>
      <c r="Z473" s="7"/>
      <c r="AA473" s="8"/>
    </row>
    <row r="474" spans="4:27" ht="15" thickTop="1" thickBot="1">
      <c r="D474" s="65"/>
      <c r="F474" s="7"/>
      <c r="G474" s="8"/>
      <c r="H474" s="7"/>
      <c r="I474" s="6"/>
      <c r="J474" s="7"/>
      <c r="K474" s="8"/>
      <c r="L474" s="7"/>
      <c r="M474" s="8"/>
      <c r="N474" s="7"/>
      <c r="O474" s="8"/>
      <c r="P474" s="7"/>
      <c r="Q474" s="7"/>
      <c r="R474" s="8"/>
      <c r="S474" s="7"/>
      <c r="T474" s="9"/>
      <c r="U474" s="7"/>
      <c r="V474" s="8"/>
      <c r="W474" s="7"/>
      <c r="X474" s="7"/>
      <c r="Y474" s="8"/>
      <c r="Z474" s="7"/>
      <c r="AA474" s="8"/>
    </row>
    <row r="475" spans="4:27" ht="15" thickTop="1" thickBot="1">
      <c r="D475" s="65"/>
      <c r="F475" s="7"/>
      <c r="G475" s="8"/>
      <c r="H475" s="7"/>
      <c r="I475" s="6"/>
      <c r="J475" s="7"/>
      <c r="K475" s="8"/>
      <c r="L475" s="7"/>
      <c r="M475" s="8"/>
      <c r="N475" s="7"/>
      <c r="O475" s="8"/>
      <c r="P475" s="7"/>
      <c r="Q475" s="7"/>
      <c r="R475" s="8"/>
      <c r="S475" s="7"/>
      <c r="T475" s="9"/>
      <c r="U475" s="7"/>
      <c r="V475" s="8"/>
      <c r="W475" s="7"/>
      <c r="X475" s="7"/>
      <c r="Y475" s="8"/>
      <c r="Z475" s="7"/>
      <c r="AA475" s="8"/>
    </row>
    <row r="476" spans="4:27" ht="15" thickTop="1" thickBot="1">
      <c r="D476" s="65"/>
      <c r="F476" s="7"/>
      <c r="G476" s="8"/>
      <c r="H476" s="7"/>
      <c r="I476" s="6"/>
      <c r="J476" s="7"/>
      <c r="K476" s="8"/>
      <c r="L476" s="7"/>
      <c r="M476" s="8"/>
      <c r="N476" s="7"/>
      <c r="O476" s="8"/>
      <c r="P476" s="7"/>
      <c r="Q476" s="7"/>
      <c r="R476" s="8"/>
      <c r="S476" s="7"/>
      <c r="T476" s="9"/>
      <c r="U476" s="7"/>
      <c r="V476" s="8"/>
      <c r="W476" s="7"/>
      <c r="X476" s="7"/>
      <c r="Y476" s="8"/>
      <c r="Z476" s="7"/>
      <c r="AA476" s="8"/>
    </row>
    <row r="477" spans="4:27" ht="15" thickTop="1" thickBot="1">
      <c r="D477" s="65"/>
      <c r="F477" s="7"/>
      <c r="G477" s="8"/>
      <c r="H477" s="7"/>
      <c r="I477" s="6"/>
      <c r="J477" s="7"/>
      <c r="K477" s="8"/>
      <c r="L477" s="7"/>
      <c r="M477" s="8"/>
      <c r="N477" s="7"/>
      <c r="O477" s="8"/>
      <c r="P477" s="7"/>
      <c r="Q477" s="7"/>
      <c r="R477" s="8"/>
      <c r="S477" s="7"/>
      <c r="T477" s="9"/>
      <c r="U477" s="7"/>
      <c r="V477" s="8"/>
      <c r="W477" s="7"/>
      <c r="X477" s="7"/>
      <c r="Y477" s="8"/>
      <c r="Z477" s="7"/>
      <c r="AA477" s="8"/>
    </row>
    <row r="478" spans="4:27" ht="15" thickTop="1" thickBot="1">
      <c r="D478" s="65"/>
      <c r="F478" s="7"/>
      <c r="G478" s="8"/>
      <c r="H478" s="7"/>
      <c r="I478" s="6"/>
      <c r="J478" s="7"/>
      <c r="K478" s="8"/>
      <c r="L478" s="7"/>
      <c r="M478" s="8"/>
      <c r="N478" s="7"/>
      <c r="O478" s="8"/>
      <c r="P478" s="7"/>
      <c r="Q478" s="7"/>
      <c r="R478" s="8"/>
      <c r="S478" s="7"/>
      <c r="T478" s="9"/>
      <c r="U478" s="7"/>
      <c r="V478" s="8"/>
      <c r="W478" s="7"/>
      <c r="X478" s="7"/>
      <c r="Y478" s="8"/>
      <c r="Z478" s="7"/>
      <c r="AA478" s="8"/>
    </row>
    <row r="479" spans="4:27" ht="15" thickTop="1" thickBot="1">
      <c r="D479" s="65"/>
      <c r="F479" s="7"/>
      <c r="G479" s="8"/>
      <c r="H479" s="7"/>
      <c r="I479" s="6"/>
      <c r="J479" s="7"/>
      <c r="K479" s="8"/>
      <c r="L479" s="7"/>
      <c r="M479" s="8"/>
      <c r="N479" s="7"/>
      <c r="O479" s="8"/>
      <c r="P479" s="7"/>
      <c r="Q479" s="7"/>
      <c r="R479" s="8"/>
      <c r="S479" s="7"/>
      <c r="T479" s="9"/>
      <c r="U479" s="7"/>
      <c r="V479" s="8"/>
      <c r="W479" s="7"/>
      <c r="X479" s="7"/>
      <c r="Y479" s="8"/>
      <c r="Z479" s="7"/>
      <c r="AA479" s="8"/>
    </row>
    <row r="480" spans="4:27" ht="15" thickTop="1" thickBot="1">
      <c r="D480" s="65"/>
      <c r="F480" s="7"/>
      <c r="G480" s="8"/>
      <c r="H480" s="7"/>
      <c r="I480" s="6"/>
      <c r="J480" s="7"/>
      <c r="K480" s="8"/>
      <c r="L480" s="7"/>
      <c r="M480" s="8"/>
      <c r="N480" s="7"/>
      <c r="O480" s="8"/>
      <c r="P480" s="7"/>
      <c r="Q480" s="7"/>
      <c r="R480" s="8"/>
      <c r="S480" s="7"/>
      <c r="T480" s="9"/>
      <c r="U480" s="7"/>
      <c r="V480" s="8"/>
      <c r="W480" s="7"/>
      <c r="X480" s="7"/>
      <c r="Y480" s="8"/>
      <c r="Z480" s="7"/>
      <c r="AA480" s="8"/>
    </row>
    <row r="481" spans="4:27" ht="15" thickTop="1" thickBot="1">
      <c r="D481" s="65"/>
      <c r="F481" s="7"/>
      <c r="G481" s="8"/>
      <c r="H481" s="7"/>
      <c r="I481" s="6"/>
      <c r="J481" s="7"/>
      <c r="K481" s="8"/>
      <c r="L481" s="7"/>
      <c r="M481" s="8"/>
      <c r="N481" s="7"/>
      <c r="O481" s="8"/>
      <c r="P481" s="7"/>
      <c r="Q481" s="7"/>
      <c r="R481" s="8"/>
      <c r="S481" s="7"/>
      <c r="T481" s="9"/>
      <c r="U481" s="7"/>
      <c r="V481" s="8"/>
      <c r="W481" s="7"/>
      <c r="X481" s="7"/>
      <c r="Y481" s="8"/>
      <c r="Z481" s="7"/>
      <c r="AA481" s="8"/>
    </row>
    <row r="482" spans="4:27" ht="15" thickTop="1" thickBot="1">
      <c r="D482" s="65"/>
      <c r="F482" s="7"/>
      <c r="G482" s="8"/>
      <c r="H482" s="7"/>
      <c r="I482" s="6"/>
      <c r="J482" s="7"/>
      <c r="K482" s="8"/>
      <c r="L482" s="7"/>
      <c r="M482" s="8"/>
      <c r="N482" s="7"/>
      <c r="O482" s="8"/>
      <c r="P482" s="7"/>
      <c r="Q482" s="7"/>
      <c r="R482" s="8"/>
      <c r="S482" s="7"/>
      <c r="T482" s="9"/>
      <c r="U482" s="7"/>
      <c r="V482" s="8"/>
      <c r="W482" s="7"/>
      <c r="X482" s="7"/>
      <c r="Y482" s="8"/>
      <c r="Z482" s="7"/>
      <c r="AA482" s="8"/>
    </row>
    <row r="483" spans="4:27" ht="15" thickTop="1" thickBot="1">
      <c r="D483" s="65"/>
      <c r="F483" s="7"/>
      <c r="G483" s="8"/>
      <c r="H483" s="7"/>
      <c r="I483" s="6"/>
      <c r="J483" s="7"/>
      <c r="K483" s="8"/>
      <c r="L483" s="7"/>
      <c r="M483" s="8"/>
      <c r="N483" s="7"/>
      <c r="O483" s="8"/>
      <c r="P483" s="7"/>
      <c r="Q483" s="7"/>
      <c r="R483" s="8"/>
      <c r="S483" s="7"/>
      <c r="T483" s="9"/>
      <c r="U483" s="7"/>
      <c r="V483" s="8"/>
      <c r="W483" s="7"/>
      <c r="X483" s="7"/>
      <c r="Y483" s="8"/>
      <c r="Z483" s="7"/>
      <c r="AA483" s="8"/>
    </row>
    <row r="484" spans="4:27" ht="14.4" thickBot="1">
      <c r="D484" s="65"/>
      <c r="U484" s="7"/>
      <c r="V484" s="8"/>
    </row>
    <row r="485" spans="4:27">
      <c r="D485" s="65"/>
    </row>
    <row r="486" spans="4:27">
      <c r="D486" s="65"/>
    </row>
    <row r="487" spans="4:27">
      <c r="D487" s="65"/>
    </row>
    <row r="488" spans="4:27">
      <c r="D488" s="65"/>
    </row>
    <row r="489" spans="4:27">
      <c r="D489" s="65"/>
    </row>
    <row r="490" spans="4:27">
      <c r="D490" s="65"/>
    </row>
    <row r="491" spans="4:27">
      <c r="D491" s="65"/>
    </row>
    <row r="492" spans="4:27">
      <c r="D492" s="65"/>
    </row>
    <row r="493" spans="4:27">
      <c r="D493" s="65"/>
    </row>
    <row r="494" spans="4:27">
      <c r="D494" s="65"/>
    </row>
    <row r="495" spans="4:27">
      <c r="D495" s="65"/>
    </row>
    <row r="496" spans="4:27">
      <c r="D496" s="65"/>
    </row>
    <row r="497" spans="4:4">
      <c r="D497" s="65"/>
    </row>
    <row r="498" spans="4:4">
      <c r="D498" s="65"/>
    </row>
    <row r="499" spans="4:4">
      <c r="D499" s="65"/>
    </row>
    <row r="500" spans="4:4">
      <c r="D500" s="65"/>
    </row>
    <row r="501" spans="4:4">
      <c r="D501" s="65"/>
    </row>
    <row r="502" spans="4:4">
      <c r="D502" s="65"/>
    </row>
    <row r="503" spans="4:4">
      <c r="D503" s="65"/>
    </row>
    <row r="504" spans="4:4">
      <c r="D504" s="65"/>
    </row>
    <row r="505" spans="4:4">
      <c r="D505" s="65"/>
    </row>
    <row r="506" spans="4:4">
      <c r="D506" s="65"/>
    </row>
    <row r="507" spans="4:4">
      <c r="D507" s="65"/>
    </row>
    <row r="508" spans="4:4">
      <c r="D508" s="65"/>
    </row>
    <row r="509" spans="4:4">
      <c r="D509" s="65"/>
    </row>
    <row r="510" spans="4:4">
      <c r="D510" s="65"/>
    </row>
    <row r="511" spans="4:4">
      <c r="D511" s="65"/>
    </row>
    <row r="512" spans="4:4">
      <c r="D512" s="65"/>
    </row>
    <row r="513" spans="4:4">
      <c r="D513" s="65"/>
    </row>
    <row r="514" spans="4:4">
      <c r="D514" s="65"/>
    </row>
    <row r="515" spans="4:4">
      <c r="D515" s="65"/>
    </row>
    <row r="516" spans="4:4">
      <c r="D516" s="65"/>
    </row>
    <row r="517" spans="4:4">
      <c r="D517" s="65"/>
    </row>
    <row r="518" spans="4:4">
      <c r="D518" s="65"/>
    </row>
    <row r="519" spans="4:4">
      <c r="D519" s="65"/>
    </row>
    <row r="520" spans="4:4">
      <c r="D520" s="65"/>
    </row>
    <row r="521" spans="4:4">
      <c r="D521" s="65"/>
    </row>
    <row r="522" spans="4:4">
      <c r="D522" s="65"/>
    </row>
    <row r="523" spans="4:4">
      <c r="D523" s="65"/>
    </row>
    <row r="524" spans="4:4">
      <c r="D524" s="65"/>
    </row>
    <row r="525" spans="4:4">
      <c r="D525" s="65"/>
    </row>
    <row r="526" spans="4:4">
      <c r="D526" s="65"/>
    </row>
    <row r="527" spans="4:4">
      <c r="D527" s="65"/>
    </row>
    <row r="528" spans="4:4">
      <c r="D528" s="65"/>
    </row>
    <row r="529" spans="4:4">
      <c r="D529" s="65"/>
    </row>
    <row r="530" spans="4:4">
      <c r="D530" s="65"/>
    </row>
    <row r="531" spans="4:4">
      <c r="D531" s="65"/>
    </row>
    <row r="532" spans="4:4">
      <c r="D532" s="65"/>
    </row>
    <row r="533" spans="4:4">
      <c r="D533" s="65"/>
    </row>
    <row r="534" spans="4:4">
      <c r="D534" s="65"/>
    </row>
    <row r="535" spans="4:4">
      <c r="D535" s="65"/>
    </row>
    <row r="536" spans="4:4">
      <c r="D536" s="65"/>
    </row>
    <row r="537" spans="4:4">
      <c r="D537" s="65"/>
    </row>
    <row r="538" spans="4:4">
      <c r="D538" s="65"/>
    </row>
    <row r="539" spans="4:4">
      <c r="D539" s="65"/>
    </row>
    <row r="540" spans="4:4">
      <c r="D540" s="65"/>
    </row>
    <row r="541" spans="4:4">
      <c r="D541" s="65"/>
    </row>
    <row r="542" spans="4:4">
      <c r="D542" s="65"/>
    </row>
    <row r="543" spans="4:4">
      <c r="D543" s="65"/>
    </row>
    <row r="544" spans="4:4">
      <c r="D544" s="65"/>
    </row>
    <row r="545" spans="4:4">
      <c r="D545" s="65"/>
    </row>
    <row r="546" spans="4:4">
      <c r="D546" s="65"/>
    </row>
    <row r="547" spans="4:4">
      <c r="D547" s="65"/>
    </row>
    <row r="548" spans="4:4">
      <c r="D548" s="65"/>
    </row>
    <row r="549" spans="4:4">
      <c r="D549" s="65"/>
    </row>
    <row r="550" spans="4:4">
      <c r="D550" s="65"/>
    </row>
    <row r="551" spans="4:4">
      <c r="D551" s="65"/>
    </row>
    <row r="552" spans="4:4">
      <c r="D552" s="65"/>
    </row>
    <row r="553" spans="4:4">
      <c r="D553" s="65"/>
    </row>
    <row r="554" spans="4:4">
      <c r="D554" s="65"/>
    </row>
    <row r="555" spans="4:4">
      <c r="D555" s="65"/>
    </row>
    <row r="556" spans="4:4">
      <c r="D556" s="65"/>
    </row>
    <row r="557" spans="4:4">
      <c r="D557" s="65"/>
    </row>
    <row r="558" spans="4:4">
      <c r="D558" s="65"/>
    </row>
    <row r="559" spans="4:4">
      <c r="D559" s="65"/>
    </row>
    <row r="560" spans="4:4">
      <c r="D560" s="65"/>
    </row>
    <row r="561" spans="4:4">
      <c r="D561" s="65"/>
    </row>
    <row r="562" spans="4:4">
      <c r="D562" s="65"/>
    </row>
    <row r="563" spans="4:4">
      <c r="D563" s="65"/>
    </row>
    <row r="564" spans="4:4">
      <c r="D564" s="65"/>
    </row>
    <row r="565" spans="4:4">
      <c r="D565" s="65"/>
    </row>
    <row r="566" spans="4:4">
      <c r="D566" s="65"/>
    </row>
    <row r="567" spans="4:4">
      <c r="D567" s="65"/>
    </row>
    <row r="568" spans="4:4">
      <c r="D568" s="65"/>
    </row>
    <row r="569" spans="4:4">
      <c r="D569" s="65"/>
    </row>
    <row r="570" spans="4:4">
      <c r="D570" s="65"/>
    </row>
    <row r="571" spans="4:4">
      <c r="D571" s="65"/>
    </row>
    <row r="572" spans="4:4">
      <c r="D572" s="65"/>
    </row>
    <row r="573" spans="4:4">
      <c r="D573" s="65"/>
    </row>
    <row r="574" spans="4:4">
      <c r="D574" s="65"/>
    </row>
    <row r="575" spans="4:4">
      <c r="D575" s="65"/>
    </row>
    <row r="576" spans="4:4">
      <c r="D576" s="65"/>
    </row>
    <row r="577" spans="4:4">
      <c r="D577" s="65"/>
    </row>
    <row r="578" spans="4:4">
      <c r="D578" s="65"/>
    </row>
    <row r="579" spans="4:4">
      <c r="D579" s="65"/>
    </row>
    <row r="580" spans="4:4">
      <c r="D580" s="65"/>
    </row>
    <row r="581" spans="4:4">
      <c r="D581" s="65"/>
    </row>
    <row r="582" spans="4:4">
      <c r="D582" s="65"/>
    </row>
    <row r="583" spans="4:4">
      <c r="D583" s="65"/>
    </row>
    <row r="584" spans="4:4">
      <c r="D584" s="65"/>
    </row>
    <row r="585" spans="4:4">
      <c r="D585" s="65"/>
    </row>
    <row r="586" spans="4:4">
      <c r="D586" s="65"/>
    </row>
    <row r="587" spans="4:4">
      <c r="D587" s="65"/>
    </row>
    <row r="588" spans="4:4">
      <c r="D588" s="65"/>
    </row>
    <row r="589" spans="4:4">
      <c r="D589" s="65"/>
    </row>
    <row r="590" spans="4:4">
      <c r="D590" s="65"/>
    </row>
    <row r="591" spans="4:4">
      <c r="D591" s="65"/>
    </row>
    <row r="592" spans="4:4">
      <c r="D592" s="65"/>
    </row>
    <row r="593" spans="4:4">
      <c r="D593" s="65"/>
    </row>
    <row r="594" spans="4:4">
      <c r="D594" s="65"/>
    </row>
    <row r="595" spans="4:4">
      <c r="D595" s="65"/>
    </row>
    <row r="596" spans="4:4">
      <c r="D596" s="65"/>
    </row>
    <row r="597" spans="4:4">
      <c r="D597" s="65"/>
    </row>
    <row r="598" spans="4:4">
      <c r="D598" s="65"/>
    </row>
    <row r="599" spans="4:4">
      <c r="D599" s="65"/>
    </row>
    <row r="600" spans="4:4">
      <c r="D600" s="65"/>
    </row>
    <row r="601" spans="4:4">
      <c r="D601" s="65"/>
    </row>
    <row r="602" spans="4:4">
      <c r="D602" s="65"/>
    </row>
    <row r="603" spans="4:4">
      <c r="D603" s="65"/>
    </row>
    <row r="604" spans="4:4">
      <c r="D604" s="65"/>
    </row>
    <row r="605" spans="4:4">
      <c r="D605" s="65"/>
    </row>
    <row r="606" spans="4:4">
      <c r="D606" s="65"/>
    </row>
    <row r="607" spans="4:4">
      <c r="D607" s="65"/>
    </row>
    <row r="608" spans="4:4">
      <c r="D608" s="65"/>
    </row>
    <row r="609" spans="4:4">
      <c r="D609" s="65"/>
    </row>
    <row r="610" spans="4:4">
      <c r="D610" s="65"/>
    </row>
    <row r="611" spans="4:4">
      <c r="D611" s="65"/>
    </row>
    <row r="612" spans="4:4">
      <c r="D612" s="65"/>
    </row>
    <row r="613" spans="4:4">
      <c r="D613" s="65"/>
    </row>
    <row r="614" spans="4:4">
      <c r="D614" s="65"/>
    </row>
    <row r="615" spans="4:4">
      <c r="D615" s="65"/>
    </row>
    <row r="616" spans="4:4">
      <c r="D616" s="65"/>
    </row>
    <row r="617" spans="4:4">
      <c r="D617" s="65"/>
    </row>
    <row r="618" spans="4:4">
      <c r="D618" s="65"/>
    </row>
    <row r="619" spans="4:4">
      <c r="D619" s="65"/>
    </row>
    <row r="620" spans="4:4">
      <c r="D620" s="65"/>
    </row>
    <row r="621" spans="4:4">
      <c r="D621" s="65"/>
    </row>
    <row r="622" spans="4:4">
      <c r="D622" s="65"/>
    </row>
    <row r="623" spans="4:4">
      <c r="D623" s="65"/>
    </row>
    <row r="624" spans="4:4">
      <c r="D624" s="65"/>
    </row>
    <row r="625" spans="4:4">
      <c r="D625" s="65"/>
    </row>
    <row r="626" spans="4:4">
      <c r="D626" s="65"/>
    </row>
    <row r="627" spans="4:4">
      <c r="D627" s="65"/>
    </row>
    <row r="628" spans="4:4">
      <c r="D628" s="65"/>
    </row>
    <row r="629" spans="4:4">
      <c r="D629" s="65"/>
    </row>
    <row r="630" spans="4:4">
      <c r="D630" s="65"/>
    </row>
    <row r="631" spans="4:4">
      <c r="D631" s="65"/>
    </row>
    <row r="632" spans="4:4">
      <c r="D632" s="65"/>
    </row>
    <row r="633" spans="4:4">
      <c r="D633" s="65"/>
    </row>
    <row r="634" spans="4:4">
      <c r="D634" s="65"/>
    </row>
    <row r="635" spans="4:4">
      <c r="D635" s="65"/>
    </row>
    <row r="636" spans="4:4">
      <c r="D636" s="65"/>
    </row>
    <row r="637" spans="4:4">
      <c r="D637" s="65"/>
    </row>
    <row r="638" spans="4:4">
      <c r="D638" s="65"/>
    </row>
    <row r="639" spans="4:4">
      <c r="D639" s="65"/>
    </row>
    <row r="640" spans="4:4">
      <c r="D640" s="65"/>
    </row>
    <row r="641" spans="4:4">
      <c r="D641" s="65"/>
    </row>
    <row r="642" spans="4:4">
      <c r="D642" s="65"/>
    </row>
    <row r="643" spans="4:4">
      <c r="D643" s="65"/>
    </row>
    <row r="644" spans="4:4">
      <c r="D644" s="65"/>
    </row>
    <row r="645" spans="4:4">
      <c r="D645" s="65"/>
    </row>
    <row r="646" spans="4:4">
      <c r="D646" s="65"/>
    </row>
    <row r="647" spans="4:4">
      <c r="D647" s="65"/>
    </row>
    <row r="648" spans="4:4">
      <c r="D648" s="65"/>
    </row>
    <row r="649" spans="4:4">
      <c r="D649" s="65"/>
    </row>
    <row r="650" spans="4:4">
      <c r="D650" s="65"/>
    </row>
    <row r="651" spans="4:4">
      <c r="D651" s="65"/>
    </row>
    <row r="652" spans="4:4">
      <c r="D652" s="65"/>
    </row>
    <row r="653" spans="4:4">
      <c r="D653" s="65"/>
    </row>
    <row r="654" spans="4:4">
      <c r="D654" s="65"/>
    </row>
    <row r="655" spans="4:4">
      <c r="D655" s="65"/>
    </row>
    <row r="656" spans="4:4">
      <c r="D656" s="65"/>
    </row>
    <row r="657" spans="4:4">
      <c r="D657" s="65"/>
    </row>
    <row r="658" spans="4:4">
      <c r="D658" s="65"/>
    </row>
    <row r="659" spans="4:4">
      <c r="D659" s="65"/>
    </row>
    <row r="660" spans="4:4">
      <c r="D660" s="65"/>
    </row>
    <row r="661" spans="4:4">
      <c r="D661" s="65"/>
    </row>
    <row r="662" spans="4:4">
      <c r="D662" s="65"/>
    </row>
    <row r="663" spans="4:4">
      <c r="D663" s="65"/>
    </row>
    <row r="664" spans="4:4">
      <c r="D664" s="65"/>
    </row>
    <row r="665" spans="4:4">
      <c r="D665" s="65"/>
    </row>
    <row r="666" spans="4:4">
      <c r="D666" s="65"/>
    </row>
    <row r="667" spans="4:4">
      <c r="D667" s="65"/>
    </row>
    <row r="668" spans="4:4">
      <c r="D668" s="65"/>
    </row>
    <row r="669" spans="4:4">
      <c r="D669" s="65"/>
    </row>
    <row r="670" spans="4:4">
      <c r="D670" s="65"/>
    </row>
    <row r="671" spans="4:4">
      <c r="D671" s="65"/>
    </row>
    <row r="672" spans="4:4">
      <c r="D672" s="65"/>
    </row>
    <row r="673" spans="4:4">
      <c r="D673" s="65"/>
    </row>
    <row r="674" spans="4:4">
      <c r="D674" s="65"/>
    </row>
    <row r="675" spans="4:4">
      <c r="D675" s="65"/>
    </row>
    <row r="676" spans="4:4">
      <c r="D676" s="65"/>
    </row>
    <row r="677" spans="4:4">
      <c r="D677" s="65"/>
    </row>
    <row r="678" spans="4:4">
      <c r="D678" s="65"/>
    </row>
    <row r="679" spans="4:4">
      <c r="D679" s="65"/>
    </row>
    <row r="680" spans="4:4">
      <c r="D680" s="65"/>
    </row>
    <row r="681" spans="4:4">
      <c r="D681" s="65"/>
    </row>
    <row r="682" spans="4:4">
      <c r="D682" s="65"/>
    </row>
    <row r="683" spans="4:4">
      <c r="D683" s="65"/>
    </row>
    <row r="684" spans="4:4">
      <c r="D684" s="65"/>
    </row>
    <row r="685" spans="4:4">
      <c r="D685" s="65"/>
    </row>
    <row r="686" spans="4:4">
      <c r="D686" s="65"/>
    </row>
    <row r="687" spans="4:4">
      <c r="D687" s="65"/>
    </row>
    <row r="688" spans="4:4">
      <c r="D688" s="65"/>
    </row>
    <row r="689" spans="4:4">
      <c r="D689" s="65"/>
    </row>
    <row r="690" spans="4:4">
      <c r="D690" s="65"/>
    </row>
    <row r="691" spans="4:4">
      <c r="D691" s="65"/>
    </row>
    <row r="692" spans="4:4">
      <c r="D692" s="65"/>
    </row>
    <row r="693" spans="4:4">
      <c r="D693" s="65"/>
    </row>
    <row r="694" spans="4:4">
      <c r="D694" s="65"/>
    </row>
    <row r="695" spans="4:4">
      <c r="D695" s="65"/>
    </row>
    <row r="696" spans="4:4">
      <c r="D696" s="65"/>
    </row>
    <row r="697" spans="4:4">
      <c r="D697" s="65"/>
    </row>
    <row r="698" spans="4:4">
      <c r="D698" s="65"/>
    </row>
    <row r="699" spans="4:4">
      <c r="D699" s="65"/>
    </row>
    <row r="700" spans="4:4">
      <c r="D700" s="65"/>
    </row>
    <row r="701" spans="4:4">
      <c r="D701" s="65"/>
    </row>
    <row r="702" spans="4:4">
      <c r="D702" s="65"/>
    </row>
    <row r="703" spans="4:4">
      <c r="D703" s="65"/>
    </row>
    <row r="704" spans="4:4">
      <c r="D704" s="65"/>
    </row>
    <row r="705" spans="4:4">
      <c r="D705" s="65"/>
    </row>
    <row r="706" spans="4:4">
      <c r="D706" s="65"/>
    </row>
    <row r="707" spans="4:4">
      <c r="D707" s="65"/>
    </row>
    <row r="708" spans="4:4">
      <c r="D708" s="65"/>
    </row>
    <row r="709" spans="4:4">
      <c r="D709" s="65"/>
    </row>
    <row r="710" spans="4:4">
      <c r="D710" s="65"/>
    </row>
    <row r="711" spans="4:4">
      <c r="D711" s="65"/>
    </row>
    <row r="712" spans="4:4">
      <c r="D712" s="65"/>
    </row>
    <row r="713" spans="4:4">
      <c r="D713" s="65"/>
    </row>
    <row r="714" spans="4:4">
      <c r="D714" s="65"/>
    </row>
    <row r="715" spans="4:4">
      <c r="D715" s="65"/>
    </row>
    <row r="716" spans="4:4">
      <c r="D716" s="65"/>
    </row>
    <row r="717" spans="4:4">
      <c r="D717" s="65"/>
    </row>
    <row r="718" spans="4:4">
      <c r="D718" s="65"/>
    </row>
    <row r="719" spans="4:4">
      <c r="D719" s="65"/>
    </row>
    <row r="720" spans="4:4">
      <c r="D720" s="65"/>
    </row>
    <row r="721" spans="4:4">
      <c r="D721" s="65"/>
    </row>
    <row r="722" spans="4:4">
      <c r="D722" s="65"/>
    </row>
    <row r="723" spans="4:4">
      <c r="D723" s="65"/>
    </row>
    <row r="724" spans="4:4">
      <c r="D724" s="65"/>
    </row>
    <row r="725" spans="4:4">
      <c r="D725" s="65"/>
    </row>
    <row r="726" spans="4:4">
      <c r="D726" s="65"/>
    </row>
    <row r="727" spans="4:4">
      <c r="D727" s="65"/>
    </row>
    <row r="728" spans="4:4">
      <c r="D728" s="65"/>
    </row>
    <row r="729" spans="4:4">
      <c r="D729" s="65"/>
    </row>
    <row r="730" spans="4:4">
      <c r="D730" s="65"/>
    </row>
    <row r="731" spans="4:4">
      <c r="D731" s="65"/>
    </row>
    <row r="732" spans="4:4">
      <c r="D732" s="65"/>
    </row>
    <row r="733" spans="4:4">
      <c r="D733" s="65"/>
    </row>
    <row r="734" spans="4:4">
      <c r="D734" s="65"/>
    </row>
    <row r="735" spans="4:4">
      <c r="D735" s="65"/>
    </row>
    <row r="736" spans="4:4">
      <c r="D736" s="65"/>
    </row>
    <row r="737" spans="4:4">
      <c r="D737" s="65"/>
    </row>
    <row r="738" spans="4:4">
      <c r="D738" s="65"/>
    </row>
    <row r="739" spans="4:4">
      <c r="D739" s="65"/>
    </row>
    <row r="740" spans="4:4">
      <c r="D740" s="65"/>
    </row>
    <row r="741" spans="4:4">
      <c r="D741" s="65"/>
    </row>
    <row r="742" spans="4:4">
      <c r="D742" s="65"/>
    </row>
    <row r="743" spans="4:4">
      <c r="D743" s="65"/>
    </row>
    <row r="744" spans="4:4">
      <c r="D744" s="65"/>
    </row>
    <row r="745" spans="4:4">
      <c r="D745" s="65"/>
    </row>
    <row r="746" spans="4:4">
      <c r="D746" s="65"/>
    </row>
    <row r="747" spans="4:4">
      <c r="D747" s="65"/>
    </row>
    <row r="748" spans="4:4">
      <c r="D748" s="65"/>
    </row>
    <row r="749" spans="4:4">
      <c r="D749" s="65"/>
    </row>
    <row r="750" spans="4:4">
      <c r="D750" s="65"/>
    </row>
    <row r="751" spans="4:4">
      <c r="D751" s="65"/>
    </row>
    <row r="752" spans="4:4">
      <c r="D752" s="65"/>
    </row>
    <row r="753" spans="4:4">
      <c r="D753" s="65"/>
    </row>
    <row r="754" spans="4:4">
      <c r="D754" s="65"/>
    </row>
    <row r="755" spans="4:4">
      <c r="D755" s="65"/>
    </row>
    <row r="756" spans="4:4">
      <c r="D756" s="65"/>
    </row>
    <row r="757" spans="4:4">
      <c r="D757" s="65"/>
    </row>
    <row r="758" spans="4:4">
      <c r="D758" s="65"/>
    </row>
    <row r="759" spans="4:4">
      <c r="D759" s="65"/>
    </row>
    <row r="760" spans="4:4">
      <c r="D760" s="65"/>
    </row>
    <row r="761" spans="4:4">
      <c r="D761" s="65"/>
    </row>
    <row r="762" spans="4:4">
      <c r="D762" s="65"/>
    </row>
    <row r="763" spans="4:4">
      <c r="D763" s="65"/>
    </row>
    <row r="764" spans="4:4">
      <c r="D764" s="65"/>
    </row>
    <row r="765" spans="4:4">
      <c r="D765" s="65"/>
    </row>
    <row r="766" spans="4:4">
      <c r="D766" s="65"/>
    </row>
    <row r="767" spans="4:4">
      <c r="D767" s="65"/>
    </row>
    <row r="768" spans="4:4">
      <c r="D768" s="65"/>
    </row>
    <row r="769" spans="4:4">
      <c r="D769" s="65"/>
    </row>
    <row r="770" spans="4:4">
      <c r="D770" s="65"/>
    </row>
    <row r="771" spans="4:4">
      <c r="D771" s="65"/>
    </row>
    <row r="772" spans="4:4">
      <c r="D772" s="65"/>
    </row>
    <row r="773" spans="4:4">
      <c r="D773" s="65"/>
    </row>
    <row r="774" spans="4:4">
      <c r="D774" s="65"/>
    </row>
    <row r="775" spans="4:4">
      <c r="D775" s="65"/>
    </row>
    <row r="776" spans="4:4">
      <c r="D776" s="65"/>
    </row>
    <row r="777" spans="4:4">
      <c r="D777" s="65"/>
    </row>
    <row r="778" spans="4:4">
      <c r="D778" s="65"/>
    </row>
    <row r="779" spans="4:4">
      <c r="D779" s="65"/>
    </row>
    <row r="780" spans="4:4">
      <c r="D780" s="65"/>
    </row>
    <row r="781" spans="4:4">
      <c r="D781" s="65"/>
    </row>
    <row r="782" spans="4:4">
      <c r="D782" s="65"/>
    </row>
    <row r="783" spans="4:4">
      <c r="D783" s="65"/>
    </row>
    <row r="784" spans="4:4">
      <c r="D784" s="65"/>
    </row>
    <row r="785" spans="4:4">
      <c r="D785" s="65"/>
    </row>
    <row r="786" spans="4:4">
      <c r="D786" s="65"/>
    </row>
    <row r="787" spans="4:4">
      <c r="D787" s="65"/>
    </row>
    <row r="788" spans="4:4">
      <c r="D788" s="65"/>
    </row>
    <row r="789" spans="4:4">
      <c r="D789" s="65"/>
    </row>
    <row r="790" spans="4:4">
      <c r="D790" s="65"/>
    </row>
    <row r="791" spans="4:4">
      <c r="D791" s="65"/>
    </row>
    <row r="792" spans="4:4">
      <c r="D792" s="65"/>
    </row>
    <row r="793" spans="4:4">
      <c r="D793" s="65"/>
    </row>
    <row r="794" spans="4:4">
      <c r="D794" s="65"/>
    </row>
    <row r="795" spans="4:4">
      <c r="D795" s="65"/>
    </row>
    <row r="796" spans="4:4">
      <c r="D796" s="65"/>
    </row>
    <row r="797" spans="4:4">
      <c r="D797" s="65"/>
    </row>
    <row r="798" spans="4:4">
      <c r="D798" s="65"/>
    </row>
    <row r="799" spans="4:4">
      <c r="D799" s="65"/>
    </row>
    <row r="800" spans="4:4">
      <c r="D800" s="65"/>
    </row>
    <row r="801" spans="4:4">
      <c r="D801" s="65"/>
    </row>
    <row r="802" spans="4:4">
      <c r="D802" s="65"/>
    </row>
    <row r="803" spans="4:4">
      <c r="D803" s="65"/>
    </row>
    <row r="804" spans="4:4">
      <c r="D804" s="65"/>
    </row>
    <row r="805" spans="4:4">
      <c r="D805" s="65"/>
    </row>
    <row r="806" spans="4:4">
      <c r="D806" s="65"/>
    </row>
    <row r="807" spans="4:4">
      <c r="D807" s="65"/>
    </row>
    <row r="808" spans="4:4">
      <c r="D808" s="65"/>
    </row>
    <row r="809" spans="4:4">
      <c r="D809" s="65"/>
    </row>
    <row r="810" spans="4:4">
      <c r="D810" s="65"/>
    </row>
    <row r="811" spans="4:4">
      <c r="D811" s="65"/>
    </row>
    <row r="812" spans="4:4">
      <c r="D812" s="65"/>
    </row>
    <row r="813" spans="4:4">
      <c r="D813" s="65"/>
    </row>
    <row r="814" spans="4:4">
      <c r="D814" s="65"/>
    </row>
    <row r="815" spans="4:4">
      <c r="D815" s="65"/>
    </row>
    <row r="816" spans="4:4">
      <c r="D816" s="65"/>
    </row>
    <row r="817" spans="4:4">
      <c r="D817" s="65"/>
    </row>
    <row r="818" spans="4:4">
      <c r="D818" s="65"/>
    </row>
    <row r="819" spans="4:4">
      <c r="D819" s="65"/>
    </row>
    <row r="820" spans="4:4">
      <c r="D820" s="65"/>
    </row>
    <row r="821" spans="4:4">
      <c r="D821" s="65"/>
    </row>
    <row r="822" spans="4:4">
      <c r="D822" s="65"/>
    </row>
    <row r="823" spans="4:4">
      <c r="D823" s="65"/>
    </row>
    <row r="824" spans="4:4">
      <c r="D824" s="65"/>
    </row>
    <row r="825" spans="4:4">
      <c r="D825" s="65"/>
    </row>
    <row r="826" spans="4:4">
      <c r="D826" s="65"/>
    </row>
    <row r="827" spans="4:4">
      <c r="D827" s="65"/>
    </row>
    <row r="828" spans="4:4">
      <c r="D828" s="65"/>
    </row>
    <row r="829" spans="4:4">
      <c r="D829" s="65"/>
    </row>
    <row r="830" spans="4:4">
      <c r="D830" s="65"/>
    </row>
    <row r="831" spans="4:4">
      <c r="D831" s="65"/>
    </row>
    <row r="832" spans="4:4">
      <c r="D832" s="65"/>
    </row>
    <row r="833" spans="4:4">
      <c r="D833" s="65"/>
    </row>
    <row r="834" spans="4:4">
      <c r="D834" s="65"/>
    </row>
    <row r="835" spans="4:4">
      <c r="D835" s="65"/>
    </row>
    <row r="836" spans="4:4">
      <c r="D836" s="65"/>
    </row>
    <row r="837" spans="4:4">
      <c r="D837" s="65"/>
    </row>
    <row r="838" spans="4:4">
      <c r="D838" s="65"/>
    </row>
    <row r="839" spans="4:4">
      <c r="D839" s="65"/>
    </row>
    <row r="840" spans="4:4">
      <c r="D840" s="65"/>
    </row>
    <row r="841" spans="4:4">
      <c r="D841" s="65"/>
    </row>
    <row r="842" spans="4:4">
      <c r="D842" s="65"/>
    </row>
    <row r="843" spans="4:4">
      <c r="D843" s="65"/>
    </row>
    <row r="844" spans="4:4">
      <c r="D844" s="65"/>
    </row>
    <row r="845" spans="4:4">
      <c r="D845" s="65"/>
    </row>
    <row r="846" spans="4:4">
      <c r="D846" s="65"/>
    </row>
    <row r="847" spans="4:4">
      <c r="D847" s="65"/>
    </row>
    <row r="848" spans="4:4">
      <c r="D848" s="65"/>
    </row>
    <row r="849" spans="4:4">
      <c r="D849" s="65"/>
    </row>
    <row r="850" spans="4:4">
      <c r="D850" s="65"/>
    </row>
    <row r="851" spans="4:4">
      <c r="D851" s="65"/>
    </row>
    <row r="852" spans="4:4">
      <c r="D852" s="65"/>
    </row>
    <row r="853" spans="4:4">
      <c r="D853" s="65"/>
    </row>
    <row r="854" spans="4:4">
      <c r="D854" s="65"/>
    </row>
    <row r="855" spans="4:4">
      <c r="D855" s="65"/>
    </row>
    <row r="856" spans="4:4">
      <c r="D856" s="65"/>
    </row>
    <row r="857" spans="4:4">
      <c r="D857" s="65"/>
    </row>
    <row r="858" spans="4:4">
      <c r="D858" s="65"/>
    </row>
    <row r="859" spans="4:4">
      <c r="D859" s="65"/>
    </row>
    <row r="860" spans="4:4">
      <c r="D860" s="65"/>
    </row>
    <row r="861" spans="4:4">
      <c r="D861" s="65"/>
    </row>
    <row r="862" spans="4:4">
      <c r="D862" s="65"/>
    </row>
    <row r="863" spans="4:4">
      <c r="D863" s="65"/>
    </row>
    <row r="864" spans="4:4">
      <c r="D864" s="65"/>
    </row>
    <row r="865" spans="4:4">
      <c r="D865" s="65"/>
    </row>
    <row r="866" spans="4:4">
      <c r="D866" s="65"/>
    </row>
    <row r="867" spans="4:4">
      <c r="D867" s="65"/>
    </row>
    <row r="868" spans="4:4">
      <c r="D868" s="65"/>
    </row>
    <row r="869" spans="4:4">
      <c r="D869" s="65"/>
    </row>
    <row r="870" spans="4:4">
      <c r="D870" s="65"/>
    </row>
    <row r="871" spans="4:4">
      <c r="D871" s="65"/>
    </row>
    <row r="872" spans="4:4">
      <c r="D872" s="65"/>
    </row>
    <row r="873" spans="4:4">
      <c r="D873" s="65"/>
    </row>
    <row r="874" spans="4:4">
      <c r="D874" s="65"/>
    </row>
    <row r="875" spans="4:4">
      <c r="D875" s="65"/>
    </row>
    <row r="876" spans="4:4">
      <c r="D876" s="65"/>
    </row>
    <row r="877" spans="4:4">
      <c r="D877" s="65"/>
    </row>
    <row r="878" spans="4:4">
      <c r="D878" s="65"/>
    </row>
    <row r="879" spans="4:4">
      <c r="D879" s="65"/>
    </row>
    <row r="880" spans="4:4">
      <c r="D880" s="65"/>
    </row>
    <row r="881" spans="4:4">
      <c r="D881" s="65"/>
    </row>
    <row r="882" spans="4:4">
      <c r="D882" s="65"/>
    </row>
    <row r="883" spans="4:4">
      <c r="D883" s="65"/>
    </row>
    <row r="884" spans="4:4">
      <c r="D884" s="65"/>
    </row>
    <row r="885" spans="4:4">
      <c r="D885" s="65"/>
    </row>
    <row r="886" spans="4:4">
      <c r="D886" s="65"/>
    </row>
    <row r="887" spans="4:4">
      <c r="D887" s="65"/>
    </row>
    <row r="888" spans="4:4">
      <c r="D888" s="65"/>
    </row>
    <row r="889" spans="4:4">
      <c r="D889" s="65"/>
    </row>
    <row r="890" spans="4:4">
      <c r="D890" s="65"/>
    </row>
    <row r="891" spans="4:4">
      <c r="D891" s="65"/>
    </row>
    <row r="892" spans="4:4">
      <c r="D892" s="65"/>
    </row>
    <row r="893" spans="4:4">
      <c r="D893" s="65"/>
    </row>
    <row r="894" spans="4:4">
      <c r="D894" s="65"/>
    </row>
    <row r="895" spans="4:4">
      <c r="D895" s="65"/>
    </row>
    <row r="896" spans="4:4">
      <c r="D896" s="65"/>
    </row>
    <row r="897" spans="4:4">
      <c r="D897" s="65"/>
    </row>
    <row r="898" spans="4:4">
      <c r="D898" s="65"/>
    </row>
    <row r="899" spans="4:4">
      <c r="D899" s="65"/>
    </row>
    <row r="900" spans="4:4">
      <c r="D900" s="65"/>
    </row>
    <row r="901" spans="4:4">
      <c r="D901" s="65"/>
    </row>
    <row r="902" spans="4:4">
      <c r="D902" s="65"/>
    </row>
    <row r="903" spans="4:4">
      <c r="D903" s="65"/>
    </row>
    <row r="904" spans="4:4">
      <c r="D904" s="65"/>
    </row>
    <row r="905" spans="4:4">
      <c r="D905" s="65"/>
    </row>
    <row r="906" spans="4:4">
      <c r="D906" s="65"/>
    </row>
    <row r="907" spans="4:4">
      <c r="D907" s="65"/>
    </row>
    <row r="908" spans="4:4">
      <c r="D908" s="65"/>
    </row>
    <row r="909" spans="4:4">
      <c r="D909" s="65"/>
    </row>
    <row r="910" spans="4:4">
      <c r="D910" s="65"/>
    </row>
    <row r="911" spans="4:4">
      <c r="D911" s="65"/>
    </row>
    <row r="912" spans="4:4">
      <c r="D912" s="65"/>
    </row>
    <row r="913" spans="4:4">
      <c r="D913" s="65"/>
    </row>
    <row r="914" spans="4:4">
      <c r="D914" s="65"/>
    </row>
    <row r="915" spans="4:4">
      <c r="D915" s="65"/>
    </row>
    <row r="916" spans="4:4">
      <c r="D916" s="65"/>
    </row>
    <row r="917" spans="4:4">
      <c r="D917" s="65"/>
    </row>
    <row r="918" spans="4:4">
      <c r="D918" s="65"/>
    </row>
    <row r="919" spans="4:4">
      <c r="D919" s="65"/>
    </row>
    <row r="920" spans="4:4">
      <c r="D920" s="65"/>
    </row>
    <row r="921" spans="4:4">
      <c r="D921" s="65"/>
    </row>
    <row r="922" spans="4:4">
      <c r="D922" s="65"/>
    </row>
    <row r="923" spans="4:4">
      <c r="D923" s="65"/>
    </row>
    <row r="924" spans="4:4">
      <c r="D924" s="65"/>
    </row>
    <row r="925" spans="4:4">
      <c r="D925" s="65"/>
    </row>
    <row r="926" spans="4:4">
      <c r="D926" s="65"/>
    </row>
    <row r="927" spans="4:4">
      <c r="D927" s="65"/>
    </row>
    <row r="928" spans="4:4">
      <c r="D928" s="65"/>
    </row>
    <row r="929" spans="4:4">
      <c r="D929" s="65"/>
    </row>
    <row r="930" spans="4:4">
      <c r="D930" s="65"/>
    </row>
    <row r="931" spans="4:4">
      <c r="D931" s="65"/>
    </row>
    <row r="932" spans="4:4">
      <c r="D932" s="65"/>
    </row>
    <row r="933" spans="4:4">
      <c r="D933" s="65"/>
    </row>
    <row r="934" spans="4:4">
      <c r="D934" s="65"/>
    </row>
    <row r="935" spans="4:4">
      <c r="D935" s="65"/>
    </row>
    <row r="936" spans="4:4">
      <c r="D936" s="65"/>
    </row>
    <row r="937" spans="4:4">
      <c r="D937" s="65"/>
    </row>
    <row r="938" spans="4:4">
      <c r="D938" s="65"/>
    </row>
    <row r="939" spans="4:4">
      <c r="D939" s="65"/>
    </row>
    <row r="940" spans="4:4">
      <c r="D940" s="65"/>
    </row>
    <row r="941" spans="4:4">
      <c r="D941" s="65"/>
    </row>
    <row r="942" spans="4:4">
      <c r="D942" s="65"/>
    </row>
    <row r="943" spans="4:4">
      <c r="D943" s="65"/>
    </row>
    <row r="944" spans="4:4">
      <c r="D944" s="65"/>
    </row>
    <row r="945" spans="4:4">
      <c r="D945" s="65"/>
    </row>
    <row r="946" spans="4:4">
      <c r="D946" s="65"/>
    </row>
    <row r="947" spans="4:4">
      <c r="D947" s="65"/>
    </row>
    <row r="948" spans="4:4">
      <c r="D948" s="65"/>
    </row>
    <row r="949" spans="4:4">
      <c r="D949" s="65"/>
    </row>
    <row r="950" spans="4:4">
      <c r="D950" s="65"/>
    </row>
    <row r="951" spans="4:4">
      <c r="D951" s="65"/>
    </row>
    <row r="952" spans="4:4">
      <c r="D952" s="65"/>
    </row>
    <row r="953" spans="4:4">
      <c r="D953" s="65"/>
    </row>
    <row r="954" spans="4:4">
      <c r="D954" s="65"/>
    </row>
    <row r="955" spans="4:4">
      <c r="D955" s="65"/>
    </row>
    <row r="956" spans="4:4">
      <c r="D956" s="65"/>
    </row>
    <row r="957" spans="4:4">
      <c r="D957" s="65"/>
    </row>
    <row r="958" spans="4:4">
      <c r="D958" s="65"/>
    </row>
    <row r="959" spans="4:4">
      <c r="D959" s="65"/>
    </row>
    <row r="960" spans="4:4">
      <c r="D960" s="65"/>
    </row>
    <row r="961" spans="4:4">
      <c r="D961" s="65"/>
    </row>
    <row r="962" spans="4:4">
      <c r="D962" s="65"/>
    </row>
    <row r="963" spans="4:4">
      <c r="D963" s="65"/>
    </row>
    <row r="964" spans="4:4">
      <c r="D964" s="65"/>
    </row>
    <row r="965" spans="4:4">
      <c r="D965" s="65"/>
    </row>
    <row r="966" spans="4:4">
      <c r="D966" s="65"/>
    </row>
    <row r="967" spans="4:4">
      <c r="D967" s="65"/>
    </row>
    <row r="968" spans="4:4">
      <c r="D968" s="65"/>
    </row>
    <row r="969" spans="4:4">
      <c r="D969" s="65"/>
    </row>
    <row r="970" spans="4:4">
      <c r="D970" s="65"/>
    </row>
    <row r="971" spans="4:4">
      <c r="D971" s="65"/>
    </row>
    <row r="972" spans="4:4">
      <c r="D972" s="65"/>
    </row>
    <row r="973" spans="4:4">
      <c r="D973" s="65"/>
    </row>
    <row r="974" spans="4:4">
      <c r="D974" s="65"/>
    </row>
    <row r="975" spans="4:4">
      <c r="D975" s="65"/>
    </row>
    <row r="976" spans="4:4">
      <c r="D976" s="65"/>
    </row>
    <row r="977" spans="4:4">
      <c r="D977" s="65"/>
    </row>
    <row r="978" spans="4:4">
      <c r="D978" s="65"/>
    </row>
    <row r="979" spans="4:4">
      <c r="D979" s="65"/>
    </row>
    <row r="980" spans="4:4">
      <c r="D980" s="65"/>
    </row>
    <row r="981" spans="4:4">
      <c r="D981" s="65"/>
    </row>
    <row r="982" spans="4:4">
      <c r="D982" s="65"/>
    </row>
    <row r="983" spans="4:4">
      <c r="D983" s="65"/>
    </row>
    <row r="984" spans="4:4">
      <c r="D984" s="65"/>
    </row>
    <row r="985" spans="4:4">
      <c r="D985" s="65"/>
    </row>
    <row r="986" spans="4:4">
      <c r="D986" s="65"/>
    </row>
    <row r="987" spans="4:4">
      <c r="D987" s="65"/>
    </row>
    <row r="988" spans="4:4">
      <c r="D988" s="65"/>
    </row>
    <row r="989" spans="4:4">
      <c r="D989" s="65"/>
    </row>
    <row r="990" spans="4:4">
      <c r="D990" s="65"/>
    </row>
    <row r="991" spans="4:4">
      <c r="D991" s="65"/>
    </row>
    <row r="992" spans="4:4">
      <c r="D992" s="65"/>
    </row>
    <row r="993" spans="4:4">
      <c r="D993" s="65"/>
    </row>
    <row r="994" spans="4:4">
      <c r="D994" s="65"/>
    </row>
    <row r="995" spans="4:4">
      <c r="D995" s="65"/>
    </row>
    <row r="996" spans="4:4">
      <c r="D996" s="65"/>
    </row>
    <row r="997" spans="4:4">
      <c r="D997" s="65"/>
    </row>
    <row r="998" spans="4:4">
      <c r="D998" s="65"/>
    </row>
    <row r="999" spans="4:4">
      <c r="D999" s="65"/>
    </row>
    <row r="1000" spans="4:4">
      <c r="D1000" s="65"/>
    </row>
    <row r="1001" spans="4:4">
      <c r="D1001" s="65"/>
    </row>
    <row r="1002" spans="4:4">
      <c r="D1002" s="65"/>
    </row>
    <row r="1003" spans="4:4">
      <c r="D1003" s="65"/>
    </row>
    <row r="1004" spans="4:4">
      <c r="D1004" s="65"/>
    </row>
    <row r="1005" spans="4:4">
      <c r="D1005" s="65"/>
    </row>
    <row r="1006" spans="4:4">
      <c r="D1006" s="65"/>
    </row>
    <row r="1007" spans="4:4">
      <c r="D1007" s="65"/>
    </row>
    <row r="1008" spans="4:4">
      <c r="D1008" s="65"/>
    </row>
    <row r="1009" spans="4:4">
      <c r="D1009" s="65"/>
    </row>
    <row r="1010" spans="4:4">
      <c r="D1010" s="65"/>
    </row>
    <row r="1011" spans="4:4">
      <c r="D1011" s="65"/>
    </row>
    <row r="1012" spans="4:4">
      <c r="D1012" s="65"/>
    </row>
    <row r="1013" spans="4:4">
      <c r="D1013" s="65"/>
    </row>
    <row r="1014" spans="4:4">
      <c r="D1014" s="65"/>
    </row>
    <row r="1015" spans="4:4">
      <c r="D1015" s="65"/>
    </row>
    <row r="1016" spans="4:4">
      <c r="D1016" s="65"/>
    </row>
    <row r="1017" spans="4:4">
      <c r="D1017" s="65"/>
    </row>
    <row r="1018" spans="4:4">
      <c r="D1018" s="65"/>
    </row>
    <row r="1019" spans="4:4">
      <c r="D1019" s="65"/>
    </row>
    <row r="1020" spans="4:4">
      <c r="D1020" s="65"/>
    </row>
    <row r="1021" spans="4:4">
      <c r="D1021" s="65"/>
    </row>
    <row r="1022" spans="4:4">
      <c r="D1022" s="65"/>
    </row>
    <row r="1023" spans="4:4">
      <c r="D1023" s="65"/>
    </row>
    <row r="1024" spans="4:4">
      <c r="D1024" s="65"/>
    </row>
    <row r="1025" spans="4:4">
      <c r="D1025" s="65"/>
    </row>
    <row r="1026" spans="4:4">
      <c r="D1026" s="65"/>
    </row>
    <row r="1027" spans="4:4">
      <c r="D1027" s="65"/>
    </row>
    <row r="1028" spans="4:4">
      <c r="D1028" s="65"/>
    </row>
    <row r="1029" spans="4:4">
      <c r="D1029" s="65"/>
    </row>
    <row r="1030" spans="4:4">
      <c r="D1030" s="65"/>
    </row>
    <row r="1031" spans="4:4">
      <c r="D1031" s="65"/>
    </row>
    <row r="1032" spans="4:4">
      <c r="D1032" s="65"/>
    </row>
    <row r="1033" spans="4:4">
      <c r="D1033" s="65"/>
    </row>
    <row r="1034" spans="4:4">
      <c r="D1034" s="65"/>
    </row>
    <row r="1035" spans="4:4">
      <c r="D1035" s="65"/>
    </row>
    <row r="1036" spans="4:4">
      <c r="D1036" s="65"/>
    </row>
    <row r="1037" spans="4:4">
      <c r="D1037" s="65"/>
    </row>
    <row r="1038" spans="4:4">
      <c r="D1038" s="65"/>
    </row>
    <row r="1039" spans="4:4">
      <c r="D1039" s="65"/>
    </row>
    <row r="1040" spans="4:4">
      <c r="D1040" s="65"/>
    </row>
    <row r="1041" spans="4:4">
      <c r="D1041" s="65"/>
    </row>
    <row r="1042" spans="4:4">
      <c r="D1042" s="65"/>
    </row>
    <row r="1043" spans="4:4">
      <c r="D1043" s="65"/>
    </row>
    <row r="1044" spans="4:4">
      <c r="D1044" s="65"/>
    </row>
    <row r="1045" spans="4:4">
      <c r="D1045" s="65"/>
    </row>
    <row r="1046" spans="4:4">
      <c r="D1046" s="65"/>
    </row>
    <row r="1047" spans="4:4">
      <c r="D1047" s="65"/>
    </row>
    <row r="1048" spans="4:4">
      <c r="D1048" s="65"/>
    </row>
    <row r="1049" spans="4:4">
      <c r="D1049" s="65"/>
    </row>
    <row r="1050" spans="4:4">
      <c r="D1050" s="65"/>
    </row>
    <row r="1051" spans="4:4">
      <c r="D1051" s="65"/>
    </row>
    <row r="1052" spans="4:4">
      <c r="D1052" s="65"/>
    </row>
    <row r="1053" spans="4:4">
      <c r="D1053" s="65"/>
    </row>
    <row r="1054" spans="4:4">
      <c r="D1054" s="65"/>
    </row>
    <row r="1055" spans="4:4">
      <c r="D1055" s="65"/>
    </row>
    <row r="1056" spans="4:4">
      <c r="D1056" s="65"/>
    </row>
    <row r="1057" spans="4:4">
      <c r="D1057" s="65"/>
    </row>
    <row r="1058" spans="4:4">
      <c r="D1058" s="65"/>
    </row>
    <row r="1059" spans="4:4">
      <c r="D1059" s="65"/>
    </row>
    <row r="1060" spans="4:4">
      <c r="D1060" s="65"/>
    </row>
    <row r="1061" spans="4:4">
      <c r="D1061" s="65"/>
    </row>
    <row r="1062" spans="4:4">
      <c r="D1062" s="65"/>
    </row>
    <row r="1063" spans="4:4">
      <c r="D1063" s="65"/>
    </row>
    <row r="1064" spans="4:4">
      <c r="D1064" s="65"/>
    </row>
    <row r="1065" spans="4:4">
      <c r="D1065" s="65"/>
    </row>
    <row r="1066" spans="4:4">
      <c r="D1066" s="65"/>
    </row>
    <row r="1067" spans="4:4">
      <c r="D1067" s="65"/>
    </row>
    <row r="1068" spans="4:4">
      <c r="D1068" s="65"/>
    </row>
    <row r="1069" spans="4:4">
      <c r="D1069" s="65"/>
    </row>
    <row r="1070" spans="4:4">
      <c r="D1070" s="65"/>
    </row>
    <row r="1071" spans="4:4">
      <c r="D1071" s="65"/>
    </row>
    <row r="1072" spans="4:4">
      <c r="D1072" s="65"/>
    </row>
    <row r="1073" spans="4:4">
      <c r="D1073" s="65"/>
    </row>
    <row r="1074" spans="4:4">
      <c r="D1074" s="65"/>
    </row>
    <row r="1075" spans="4:4">
      <c r="D1075" s="65"/>
    </row>
    <row r="1076" spans="4:4">
      <c r="D1076" s="65"/>
    </row>
    <row r="1077" spans="4:4">
      <c r="D1077" s="65"/>
    </row>
    <row r="1078" spans="4:4">
      <c r="D1078" s="65"/>
    </row>
    <row r="1079" spans="4:4">
      <c r="D1079" s="65"/>
    </row>
    <row r="1080" spans="4:4">
      <c r="D1080" s="65"/>
    </row>
    <row r="1081" spans="4:4">
      <c r="D1081" s="65"/>
    </row>
    <row r="1082" spans="4:4">
      <c r="D1082" s="65"/>
    </row>
    <row r="1083" spans="4:4">
      <c r="D1083" s="65"/>
    </row>
    <row r="1084" spans="4:4">
      <c r="D1084" s="65"/>
    </row>
    <row r="1085" spans="4:4">
      <c r="D1085" s="65"/>
    </row>
    <row r="1086" spans="4:4">
      <c r="D1086" s="65"/>
    </row>
    <row r="1087" spans="4:4">
      <c r="D1087" s="65"/>
    </row>
    <row r="1088" spans="4:4">
      <c r="D1088" s="65"/>
    </row>
    <row r="1089" spans="4:4">
      <c r="D1089" s="65"/>
    </row>
    <row r="1090" spans="4:4">
      <c r="D1090" s="65"/>
    </row>
    <row r="1091" spans="4:4">
      <c r="D1091" s="65"/>
    </row>
    <row r="1092" spans="4:4">
      <c r="D1092" s="65"/>
    </row>
    <row r="1093" spans="4:4">
      <c r="D1093" s="65"/>
    </row>
    <row r="1094" spans="4:4">
      <c r="D1094" s="65"/>
    </row>
    <row r="1095" spans="4:4">
      <c r="D1095" s="65"/>
    </row>
    <row r="1096" spans="4:4">
      <c r="D1096" s="65"/>
    </row>
    <row r="1097" spans="4:4">
      <c r="D1097" s="65"/>
    </row>
    <row r="1098" spans="4:4">
      <c r="D1098" s="65"/>
    </row>
    <row r="1099" spans="4:4">
      <c r="D1099" s="65"/>
    </row>
    <row r="1100" spans="4:4">
      <c r="D1100" s="65"/>
    </row>
    <row r="1101" spans="4:4">
      <c r="D1101" s="65"/>
    </row>
    <row r="1102" spans="4:4">
      <c r="D1102" s="65"/>
    </row>
    <row r="1103" spans="4:4">
      <c r="D1103" s="65"/>
    </row>
    <row r="1104" spans="4:4">
      <c r="D1104" s="65"/>
    </row>
    <row r="1105" spans="4:4">
      <c r="D1105" s="65"/>
    </row>
    <row r="1106" spans="4:4">
      <c r="D1106" s="65"/>
    </row>
    <row r="1107" spans="4:4">
      <c r="D1107" s="65"/>
    </row>
    <row r="1108" spans="4:4">
      <c r="D1108" s="65"/>
    </row>
    <row r="1109" spans="4:4">
      <c r="D1109" s="65"/>
    </row>
    <row r="1110" spans="4:4">
      <c r="D1110" s="65"/>
    </row>
    <row r="1111" spans="4:4">
      <c r="D1111" s="65"/>
    </row>
    <row r="1112" spans="4:4">
      <c r="D1112" s="65"/>
    </row>
    <row r="1113" spans="4:4">
      <c r="D1113" s="65"/>
    </row>
    <row r="1114" spans="4:4">
      <c r="D1114" s="65"/>
    </row>
    <row r="1115" spans="4:4">
      <c r="D1115" s="65"/>
    </row>
    <row r="1116" spans="4:4">
      <c r="D1116" s="65"/>
    </row>
    <row r="1117" spans="4:4">
      <c r="D1117" s="65"/>
    </row>
    <row r="1118" spans="4:4">
      <c r="D1118" s="65"/>
    </row>
    <row r="1119" spans="4:4">
      <c r="D1119" s="65"/>
    </row>
    <row r="1120" spans="4:4">
      <c r="D1120" s="65"/>
    </row>
    <row r="1121" spans="4:4">
      <c r="D1121" s="65"/>
    </row>
    <row r="1122" spans="4:4">
      <c r="D1122" s="65"/>
    </row>
    <row r="1123" spans="4:4">
      <c r="D1123" s="65"/>
    </row>
    <row r="1124" spans="4:4">
      <c r="D1124" s="65"/>
    </row>
    <row r="1125" spans="4:4">
      <c r="D1125" s="65"/>
    </row>
    <row r="1126" spans="4:4">
      <c r="D1126" s="65"/>
    </row>
    <row r="1127" spans="4:4">
      <c r="D1127" s="65"/>
    </row>
    <row r="1128" spans="4:4">
      <c r="D1128" s="65"/>
    </row>
    <row r="1129" spans="4:4">
      <c r="D1129" s="65"/>
    </row>
    <row r="1130" spans="4:4">
      <c r="D1130" s="65"/>
    </row>
    <row r="1131" spans="4:4">
      <c r="D1131" s="65"/>
    </row>
    <row r="1132" spans="4:4">
      <c r="D1132" s="65"/>
    </row>
    <row r="1133" spans="4:4">
      <c r="D1133" s="65"/>
    </row>
    <row r="1134" spans="4:4">
      <c r="D1134" s="65"/>
    </row>
    <row r="1135" spans="4:4">
      <c r="D1135" s="65"/>
    </row>
    <row r="1136" spans="4:4">
      <c r="D1136" s="65"/>
    </row>
    <row r="1137" spans="4:4">
      <c r="D1137" s="65"/>
    </row>
    <row r="1138" spans="4:4">
      <c r="D1138" s="65"/>
    </row>
    <row r="1139" spans="4:4">
      <c r="D1139" s="65"/>
    </row>
    <row r="1140" spans="4:4">
      <c r="D1140" s="65"/>
    </row>
    <row r="1141" spans="4:4">
      <c r="D1141" s="65"/>
    </row>
    <row r="1142" spans="4:4">
      <c r="D1142" s="65"/>
    </row>
    <row r="1143" spans="4:4">
      <c r="D1143" s="65"/>
    </row>
    <row r="1144" spans="4:4">
      <c r="D1144" s="65"/>
    </row>
    <row r="1145" spans="4:4">
      <c r="D1145" s="65"/>
    </row>
    <row r="1146" spans="4:4">
      <c r="D1146" s="65"/>
    </row>
    <row r="1147" spans="4:4">
      <c r="D1147" s="65"/>
    </row>
    <row r="1148" spans="4:4">
      <c r="D1148" s="65"/>
    </row>
    <row r="1149" spans="4:4">
      <c r="D1149" s="65"/>
    </row>
    <row r="1150" spans="4:4">
      <c r="D1150" s="65"/>
    </row>
    <row r="1151" spans="4:4">
      <c r="D1151" s="65"/>
    </row>
    <row r="1152" spans="4:4">
      <c r="D1152" s="65"/>
    </row>
    <row r="1153" spans="4:4">
      <c r="D1153" s="65"/>
    </row>
    <row r="1154" spans="4:4">
      <c r="D1154" s="65"/>
    </row>
    <row r="1155" spans="4:4">
      <c r="D1155" s="65"/>
    </row>
    <row r="1156" spans="4:4">
      <c r="D1156" s="65"/>
    </row>
    <row r="1157" spans="4:4">
      <c r="D1157" s="65"/>
    </row>
    <row r="1158" spans="4:4">
      <c r="D1158" s="65"/>
    </row>
    <row r="1159" spans="4:4">
      <c r="D1159" s="65"/>
    </row>
    <row r="1160" spans="4:4">
      <c r="D1160" s="65"/>
    </row>
    <row r="1161" spans="4:4">
      <c r="D1161" s="65"/>
    </row>
    <row r="1162" spans="4:4">
      <c r="D1162" s="65"/>
    </row>
    <row r="1163" spans="4:4">
      <c r="D1163" s="65"/>
    </row>
    <row r="1164" spans="4:4">
      <c r="D1164" s="65"/>
    </row>
    <row r="1165" spans="4:4">
      <c r="D1165" s="65"/>
    </row>
    <row r="1166" spans="4:4">
      <c r="D1166" s="65"/>
    </row>
    <row r="1167" spans="4:4">
      <c r="D1167" s="65"/>
    </row>
    <row r="1168" spans="4:4">
      <c r="D1168" s="65"/>
    </row>
    <row r="1169" spans="4:4">
      <c r="D1169" s="65"/>
    </row>
    <row r="1170" spans="4:4">
      <c r="D1170" s="65"/>
    </row>
    <row r="1171" spans="4:4">
      <c r="D1171" s="65"/>
    </row>
    <row r="1172" spans="4:4">
      <c r="D1172" s="65"/>
    </row>
    <row r="1173" spans="4:4">
      <c r="D1173" s="65"/>
    </row>
    <row r="1174" spans="4:4">
      <c r="D1174" s="65"/>
    </row>
    <row r="1175" spans="4:4">
      <c r="D1175" s="65"/>
    </row>
    <row r="1176" spans="4:4">
      <c r="D1176" s="65"/>
    </row>
    <row r="1177" spans="4:4">
      <c r="D1177" s="65"/>
    </row>
    <row r="1178" spans="4:4">
      <c r="D1178" s="65"/>
    </row>
    <row r="1179" spans="4:4">
      <c r="D1179" s="65"/>
    </row>
    <row r="1180" spans="4:4">
      <c r="D1180" s="65"/>
    </row>
    <row r="1181" spans="4:4">
      <c r="D1181" s="65"/>
    </row>
    <row r="1182" spans="4:4">
      <c r="D1182" s="65"/>
    </row>
    <row r="1183" spans="4:4">
      <c r="D1183" s="65"/>
    </row>
    <row r="1184" spans="4:4">
      <c r="D1184" s="65"/>
    </row>
    <row r="1185" spans="4:4">
      <c r="D1185" s="65"/>
    </row>
    <row r="1186" spans="4:4">
      <c r="D1186" s="65"/>
    </row>
    <row r="1187" spans="4:4">
      <c r="D1187" s="65"/>
    </row>
    <row r="1188" spans="4:4">
      <c r="D1188" s="65"/>
    </row>
    <row r="1189" spans="4:4">
      <c r="D1189" s="65"/>
    </row>
    <row r="1190" spans="4:4">
      <c r="D1190" s="65"/>
    </row>
    <row r="1191" spans="4:4">
      <c r="D1191" s="65"/>
    </row>
    <row r="1192" spans="4:4">
      <c r="D1192" s="65"/>
    </row>
    <row r="1193" spans="4:4">
      <c r="D1193" s="65"/>
    </row>
    <row r="1194" spans="4:4">
      <c r="D1194" s="65"/>
    </row>
    <row r="1195" spans="4:4">
      <c r="D1195" s="65"/>
    </row>
    <row r="1196" spans="4:4">
      <c r="D1196" s="65"/>
    </row>
    <row r="1197" spans="4:4">
      <c r="D1197" s="65"/>
    </row>
    <row r="1198" spans="4:4">
      <c r="D1198" s="65"/>
    </row>
    <row r="1199" spans="4:4">
      <c r="D1199" s="65"/>
    </row>
    <row r="1200" spans="4:4">
      <c r="D1200" s="65"/>
    </row>
    <row r="1201" spans="4:4">
      <c r="D1201" s="65"/>
    </row>
    <row r="1202" spans="4:4">
      <c r="D1202" s="65"/>
    </row>
    <row r="1203" spans="4:4">
      <c r="D1203" s="65"/>
    </row>
    <row r="1204" spans="4:4">
      <c r="D1204" s="65"/>
    </row>
    <row r="1205" spans="4:4">
      <c r="D1205" s="65"/>
    </row>
    <row r="1206" spans="4:4">
      <c r="D1206" s="65"/>
    </row>
    <row r="1207" spans="4:4">
      <c r="D1207" s="65"/>
    </row>
    <row r="1208" spans="4:4">
      <c r="D1208" s="65"/>
    </row>
    <row r="1209" spans="4:4">
      <c r="D1209" s="65"/>
    </row>
    <row r="1210" spans="4:4">
      <c r="D1210" s="65"/>
    </row>
    <row r="1211" spans="4:4">
      <c r="D1211" s="65"/>
    </row>
    <row r="1212" spans="4:4">
      <c r="D1212" s="65"/>
    </row>
    <row r="1213" spans="4:4">
      <c r="D1213" s="65"/>
    </row>
    <row r="1214" spans="4:4">
      <c r="D1214" s="65"/>
    </row>
    <row r="1215" spans="4:4">
      <c r="D1215" s="65"/>
    </row>
    <row r="1216" spans="4:4">
      <c r="D1216" s="65"/>
    </row>
    <row r="1217" spans="4:4">
      <c r="D1217" s="65"/>
    </row>
    <row r="1218" spans="4:4">
      <c r="D1218" s="65"/>
    </row>
    <row r="1219" spans="4:4">
      <c r="D1219" s="65"/>
    </row>
    <row r="1220" spans="4:4">
      <c r="D1220" s="65"/>
    </row>
    <row r="1221" spans="4:4">
      <c r="D1221" s="65"/>
    </row>
    <row r="1222" spans="4:4">
      <c r="D1222" s="65"/>
    </row>
    <row r="1223" spans="4:4">
      <c r="D1223" s="65"/>
    </row>
    <row r="1224" spans="4:4">
      <c r="D1224" s="65"/>
    </row>
    <row r="1225" spans="4:4">
      <c r="D1225" s="65"/>
    </row>
    <row r="1226" spans="4:4">
      <c r="D1226" s="65"/>
    </row>
    <row r="1227" spans="4:4">
      <c r="D1227" s="65"/>
    </row>
    <row r="1228" spans="4:4">
      <c r="D1228" s="65"/>
    </row>
    <row r="1229" spans="4:4">
      <c r="D1229" s="65"/>
    </row>
    <row r="1230" spans="4:4">
      <c r="D1230" s="65"/>
    </row>
    <row r="1231" spans="4:4">
      <c r="D1231" s="65"/>
    </row>
    <row r="1232" spans="4:4">
      <c r="D1232" s="65"/>
    </row>
    <row r="1233" spans="4:4">
      <c r="D1233" s="65"/>
    </row>
    <row r="1234" spans="4:4">
      <c r="D1234" s="65"/>
    </row>
    <row r="1235" spans="4:4">
      <c r="D1235" s="65"/>
    </row>
    <row r="1236" spans="4:4">
      <c r="D1236" s="65"/>
    </row>
    <row r="1237" spans="4:4">
      <c r="D1237" s="65"/>
    </row>
    <row r="1238" spans="4:4">
      <c r="D1238" s="65"/>
    </row>
    <row r="1239" spans="4:4">
      <c r="D1239" s="65"/>
    </row>
    <row r="1240" spans="4:4">
      <c r="D1240" s="65"/>
    </row>
    <row r="1241" spans="4:4">
      <c r="D1241" s="65"/>
    </row>
    <row r="1242" spans="4:4">
      <c r="D1242" s="65"/>
    </row>
    <row r="1243" spans="4:4">
      <c r="D1243" s="65"/>
    </row>
    <row r="1244" spans="4:4">
      <c r="D1244" s="65"/>
    </row>
    <row r="1245" spans="4:4">
      <c r="D1245" s="65"/>
    </row>
    <row r="1246" spans="4:4">
      <c r="D1246" s="65"/>
    </row>
    <row r="1247" spans="4:4">
      <c r="D1247" s="65"/>
    </row>
    <row r="1248" spans="4:4">
      <c r="D1248" s="65"/>
    </row>
    <row r="1249" spans="4:4">
      <c r="D1249" s="65"/>
    </row>
    <row r="1250" spans="4:4">
      <c r="D1250" s="65"/>
    </row>
    <row r="1251" spans="4:4">
      <c r="D1251" s="65"/>
    </row>
    <row r="1252" spans="4:4">
      <c r="D1252" s="65"/>
    </row>
    <row r="1253" spans="4:4">
      <c r="D1253" s="65"/>
    </row>
    <row r="1254" spans="4:4">
      <c r="D1254" s="65"/>
    </row>
    <row r="1255" spans="4:4">
      <c r="D1255" s="65"/>
    </row>
    <row r="1256" spans="4:4">
      <c r="D1256" s="65"/>
    </row>
    <row r="1257" spans="4:4">
      <c r="D1257" s="65"/>
    </row>
    <row r="1258" spans="4:4">
      <c r="D1258" s="65"/>
    </row>
    <row r="1259" spans="4:4">
      <c r="D1259" s="65"/>
    </row>
    <row r="1260" spans="4:4">
      <c r="D1260" s="65"/>
    </row>
    <row r="1261" spans="4:4">
      <c r="D1261" s="65"/>
    </row>
    <row r="1262" spans="4:4">
      <c r="D1262" s="65"/>
    </row>
    <row r="1263" spans="4:4">
      <c r="D1263" s="65"/>
    </row>
    <row r="1264" spans="4:4">
      <c r="D1264" s="65"/>
    </row>
    <row r="1265" spans="4:4">
      <c r="D1265" s="65"/>
    </row>
    <row r="1266" spans="4:4">
      <c r="D1266" s="65"/>
    </row>
    <row r="1267" spans="4:4">
      <c r="D1267" s="65"/>
    </row>
    <row r="1268" spans="4:4">
      <c r="D1268" s="65"/>
    </row>
    <row r="1269" spans="4:4">
      <c r="D1269" s="65"/>
    </row>
    <row r="1270" spans="4:4">
      <c r="D1270" s="65"/>
    </row>
    <row r="1271" spans="4:4">
      <c r="D1271" s="65"/>
    </row>
    <row r="1272" spans="4:4">
      <c r="D1272" s="65"/>
    </row>
    <row r="1273" spans="4:4">
      <c r="D1273" s="65"/>
    </row>
    <row r="1274" spans="4:4">
      <c r="D1274" s="65"/>
    </row>
    <row r="1275" spans="4:4">
      <c r="D1275" s="65"/>
    </row>
    <row r="1276" spans="4:4">
      <c r="D1276" s="65"/>
    </row>
    <row r="1277" spans="4:4">
      <c r="D1277" s="65"/>
    </row>
    <row r="1278" spans="4:4">
      <c r="D1278" s="65"/>
    </row>
    <row r="1279" spans="4:4">
      <c r="D1279" s="65"/>
    </row>
    <row r="1280" spans="4:4">
      <c r="D1280" s="65"/>
    </row>
    <row r="1281" spans="4:4">
      <c r="D1281" s="65"/>
    </row>
    <row r="1282" spans="4:4">
      <c r="D1282" s="65"/>
    </row>
    <row r="1283" spans="4:4">
      <c r="D1283" s="65"/>
    </row>
    <row r="1284" spans="4:4">
      <c r="D1284" s="65"/>
    </row>
    <row r="1285" spans="4:4">
      <c r="D1285" s="65"/>
    </row>
    <row r="1286" spans="4:4">
      <c r="D1286" s="65"/>
    </row>
    <row r="1287" spans="4:4">
      <c r="D1287" s="65"/>
    </row>
    <row r="1288" spans="4:4">
      <c r="D1288" s="65"/>
    </row>
    <row r="1289" spans="4:4">
      <c r="D1289" s="65"/>
    </row>
    <row r="1290" spans="4:4">
      <c r="D1290" s="65"/>
    </row>
    <row r="1291" spans="4:4">
      <c r="D1291" s="65"/>
    </row>
    <row r="1292" spans="4:4">
      <c r="D1292" s="65"/>
    </row>
    <row r="1293" spans="4:4">
      <c r="D1293" s="65"/>
    </row>
    <row r="1294" spans="4:4">
      <c r="D1294" s="65"/>
    </row>
    <row r="1295" spans="4:4">
      <c r="D1295" s="65"/>
    </row>
    <row r="1296" spans="4:4">
      <c r="D1296" s="65"/>
    </row>
    <row r="1297" spans="4:4">
      <c r="D1297" s="65"/>
    </row>
    <row r="1298" spans="4:4">
      <c r="D1298" s="65"/>
    </row>
    <row r="1299" spans="4:4">
      <c r="D1299" s="65"/>
    </row>
    <row r="1300" spans="4:4">
      <c r="D1300" s="65"/>
    </row>
    <row r="1301" spans="4:4">
      <c r="D1301" s="65"/>
    </row>
    <row r="1302" spans="4:4">
      <c r="D1302" s="65"/>
    </row>
    <row r="1303" spans="4:4">
      <c r="D1303" s="65"/>
    </row>
    <row r="1304" spans="4:4">
      <c r="D1304" s="65"/>
    </row>
    <row r="1305" spans="4:4">
      <c r="D1305" s="65"/>
    </row>
    <row r="1306" spans="4:4">
      <c r="D1306" s="65"/>
    </row>
    <row r="1307" spans="4:4">
      <c r="D1307" s="65"/>
    </row>
    <row r="1308" spans="4:4">
      <c r="D1308" s="65"/>
    </row>
    <row r="1309" spans="4:4">
      <c r="D1309" s="65"/>
    </row>
    <row r="1310" spans="4:4">
      <c r="D1310" s="65"/>
    </row>
    <row r="1311" spans="4:4">
      <c r="D1311" s="65"/>
    </row>
    <row r="1312" spans="4:4">
      <c r="D1312" s="65"/>
    </row>
    <row r="1313" spans="4:4">
      <c r="D1313" s="65"/>
    </row>
    <row r="1314" spans="4:4">
      <c r="D1314" s="65"/>
    </row>
    <row r="1315" spans="4:4">
      <c r="D1315" s="65"/>
    </row>
    <row r="1316" spans="4:4">
      <c r="D1316" s="65"/>
    </row>
    <row r="1317" spans="4:4">
      <c r="D1317" s="65"/>
    </row>
    <row r="1318" spans="4:4">
      <c r="D1318" s="65"/>
    </row>
    <row r="1319" spans="4:4">
      <c r="D1319" s="65"/>
    </row>
    <row r="1320" spans="4:4">
      <c r="D1320" s="65"/>
    </row>
    <row r="1321" spans="4:4">
      <c r="D1321" s="65"/>
    </row>
    <row r="1322" spans="4:4">
      <c r="D1322" s="65"/>
    </row>
    <row r="1323" spans="4:4">
      <c r="D1323" s="65"/>
    </row>
    <row r="1324" spans="4:4">
      <c r="D1324" s="65"/>
    </row>
    <row r="1325" spans="4:4">
      <c r="D1325" s="65"/>
    </row>
    <row r="1326" spans="4:4">
      <c r="D1326" s="65"/>
    </row>
    <row r="1327" spans="4:4">
      <c r="D1327" s="65"/>
    </row>
    <row r="1328" spans="4:4">
      <c r="D1328" s="65"/>
    </row>
    <row r="1329" spans="4:4">
      <c r="D1329" s="65"/>
    </row>
    <row r="1330" spans="4:4">
      <c r="D1330" s="65"/>
    </row>
    <row r="1331" spans="4:4">
      <c r="D1331" s="65"/>
    </row>
    <row r="1332" spans="4:4">
      <c r="D1332" s="65"/>
    </row>
    <row r="1333" spans="4:4">
      <c r="D1333" s="65"/>
    </row>
    <row r="1334" spans="4:4">
      <c r="D1334" s="65"/>
    </row>
    <row r="1335" spans="4:4">
      <c r="D1335" s="65"/>
    </row>
    <row r="1336" spans="4:4">
      <c r="D1336" s="65"/>
    </row>
    <row r="1337" spans="4:4">
      <c r="D1337" s="65"/>
    </row>
    <row r="1338" spans="4:4">
      <c r="D1338" s="65"/>
    </row>
    <row r="1339" spans="4:4">
      <c r="D1339" s="65"/>
    </row>
    <row r="1340" spans="4:4">
      <c r="D1340" s="65"/>
    </row>
    <row r="1341" spans="4:4">
      <c r="D1341" s="65"/>
    </row>
    <row r="1342" spans="4:4">
      <c r="D1342" s="65"/>
    </row>
    <row r="1343" spans="4:4">
      <c r="D1343" s="65"/>
    </row>
    <row r="1344" spans="4:4">
      <c r="D1344" s="65"/>
    </row>
    <row r="1345" spans="4:4">
      <c r="D1345" s="65"/>
    </row>
    <row r="1346" spans="4:4">
      <c r="D1346" s="65"/>
    </row>
    <row r="1347" spans="4:4">
      <c r="D1347" s="65"/>
    </row>
    <row r="1348" spans="4:4">
      <c r="D1348" s="65"/>
    </row>
    <row r="1349" spans="4:4">
      <c r="D1349" s="65"/>
    </row>
    <row r="1350" spans="4:4">
      <c r="D1350" s="65"/>
    </row>
    <row r="1351" spans="4:4">
      <c r="D1351" s="65"/>
    </row>
    <row r="1352" spans="4:4">
      <c r="D1352" s="65"/>
    </row>
    <row r="1353" spans="4:4">
      <c r="D1353" s="65"/>
    </row>
    <row r="1354" spans="4:4">
      <c r="D1354" s="65"/>
    </row>
    <row r="1355" spans="4:4">
      <c r="D1355" s="65"/>
    </row>
    <row r="1356" spans="4:4">
      <c r="D1356" s="65"/>
    </row>
    <row r="1357" spans="4:4">
      <c r="D1357" s="65"/>
    </row>
    <row r="1358" spans="4:4">
      <c r="D1358" s="65"/>
    </row>
    <row r="1359" spans="4:4">
      <c r="D1359" s="65"/>
    </row>
    <row r="1360" spans="4:4">
      <c r="D1360" s="65"/>
    </row>
    <row r="1361" spans="4:4">
      <c r="D1361" s="65"/>
    </row>
    <row r="1362" spans="4:4">
      <c r="D1362" s="65"/>
    </row>
    <row r="1363" spans="4:4">
      <c r="D1363" s="65"/>
    </row>
    <row r="1364" spans="4:4">
      <c r="D1364" s="65"/>
    </row>
    <row r="1365" spans="4:4">
      <c r="D1365" s="65"/>
    </row>
    <row r="1366" spans="4:4">
      <c r="D1366" s="65"/>
    </row>
    <row r="1367" spans="4:4">
      <c r="D1367" s="65"/>
    </row>
    <row r="1368" spans="4:4">
      <c r="D1368" s="65"/>
    </row>
    <row r="1369" spans="4:4">
      <c r="D1369" s="65"/>
    </row>
    <row r="1370" spans="4:4">
      <c r="D1370" s="65"/>
    </row>
    <row r="1371" spans="4:4">
      <c r="D1371" s="65"/>
    </row>
    <row r="1372" spans="4:4">
      <c r="D1372" s="65"/>
    </row>
    <row r="1373" spans="4:4">
      <c r="D1373" s="65"/>
    </row>
    <row r="1374" spans="4:4">
      <c r="D1374" s="65"/>
    </row>
    <row r="1375" spans="4:4">
      <c r="D1375" s="65"/>
    </row>
    <row r="1376" spans="4:4">
      <c r="D1376" s="65"/>
    </row>
    <row r="1377" spans="4:4">
      <c r="D1377" s="65"/>
    </row>
    <row r="1378" spans="4:4">
      <c r="D1378" s="65"/>
    </row>
    <row r="1379" spans="4:4">
      <c r="D1379" s="65"/>
    </row>
    <row r="1380" spans="4:4">
      <c r="D1380" s="65"/>
    </row>
    <row r="1381" spans="4:4">
      <c r="D1381" s="65"/>
    </row>
    <row r="1382" spans="4:4">
      <c r="D1382" s="65"/>
    </row>
    <row r="1383" spans="4:4">
      <c r="D1383" s="65"/>
    </row>
    <row r="1384" spans="4:4">
      <c r="D1384" s="65"/>
    </row>
    <row r="1385" spans="4:4">
      <c r="D1385" s="65"/>
    </row>
    <row r="1386" spans="4:4">
      <c r="D1386" s="65"/>
    </row>
    <row r="1387" spans="4:4">
      <c r="D1387" s="65"/>
    </row>
    <row r="1388" spans="4:4">
      <c r="D1388" s="65"/>
    </row>
    <row r="1389" spans="4:4">
      <c r="D1389" s="65"/>
    </row>
    <row r="1390" spans="4:4">
      <c r="D1390" s="65"/>
    </row>
    <row r="1391" spans="4:4">
      <c r="D1391" s="65"/>
    </row>
    <row r="1392" spans="4:4">
      <c r="D1392" s="65"/>
    </row>
    <row r="1393" spans="4:4">
      <c r="D1393" s="65"/>
    </row>
    <row r="1394" spans="4:4">
      <c r="D1394" s="65"/>
    </row>
    <row r="1395" spans="4:4">
      <c r="D1395" s="65"/>
    </row>
    <row r="1396" spans="4:4">
      <c r="D1396" s="65"/>
    </row>
    <row r="1397" spans="4:4">
      <c r="D1397" s="65"/>
    </row>
    <row r="1398" spans="4:4">
      <c r="D1398" s="65"/>
    </row>
    <row r="1399" spans="4:4">
      <c r="D1399" s="65"/>
    </row>
    <row r="1400" spans="4:4">
      <c r="D1400" s="65"/>
    </row>
    <row r="1401" spans="4:4">
      <c r="D1401" s="65"/>
    </row>
    <row r="1402" spans="4:4">
      <c r="D1402" s="65"/>
    </row>
    <row r="1403" spans="4:4">
      <c r="D1403" s="65"/>
    </row>
    <row r="1404" spans="4:4">
      <c r="D1404" s="65"/>
    </row>
    <row r="1405" spans="4:4">
      <c r="D1405" s="65"/>
    </row>
    <row r="1406" spans="4:4">
      <c r="D1406" s="65"/>
    </row>
    <row r="1407" spans="4:4">
      <c r="D1407" s="65"/>
    </row>
    <row r="1408" spans="4:4">
      <c r="D1408" s="65"/>
    </row>
    <row r="1409" spans="4:4">
      <c r="D1409" s="65"/>
    </row>
    <row r="1410" spans="4:4">
      <c r="D1410" s="65"/>
    </row>
    <row r="1411" spans="4:4">
      <c r="D1411" s="65"/>
    </row>
    <row r="1412" spans="4:4">
      <c r="D1412" s="65"/>
    </row>
    <row r="1413" spans="4:4">
      <c r="D1413" s="65"/>
    </row>
    <row r="1414" spans="4:4">
      <c r="D1414" s="65"/>
    </row>
    <row r="1415" spans="4:4">
      <c r="D1415" s="65"/>
    </row>
    <row r="1416" spans="4:4">
      <c r="D1416" s="65"/>
    </row>
    <row r="1417" spans="4:4">
      <c r="D1417" s="65"/>
    </row>
    <row r="1418" spans="4:4">
      <c r="D1418" s="65"/>
    </row>
    <row r="1419" spans="4:4">
      <c r="D1419" s="65"/>
    </row>
    <row r="1420" spans="4:4">
      <c r="D1420" s="65"/>
    </row>
    <row r="1421" spans="4:4">
      <c r="D1421" s="65"/>
    </row>
    <row r="1422" spans="4:4">
      <c r="D1422" s="65"/>
    </row>
    <row r="1423" spans="4:4">
      <c r="D1423" s="65"/>
    </row>
    <row r="1424" spans="4:4">
      <c r="D1424" s="65"/>
    </row>
    <row r="1425" spans="4:4">
      <c r="D1425" s="65"/>
    </row>
    <row r="1426" spans="4:4">
      <c r="D1426" s="65"/>
    </row>
    <row r="1427" spans="4:4">
      <c r="D1427" s="65"/>
    </row>
    <row r="1428" spans="4:4">
      <c r="D1428" s="65"/>
    </row>
    <row r="1429" spans="4:4">
      <c r="D1429" s="65"/>
    </row>
    <row r="1430" spans="4:4">
      <c r="D1430" s="65"/>
    </row>
    <row r="1431" spans="4:4">
      <c r="D1431" s="65"/>
    </row>
    <row r="1432" spans="4:4">
      <c r="D1432" s="65"/>
    </row>
    <row r="1433" spans="4:4">
      <c r="D1433" s="65"/>
    </row>
    <row r="1434" spans="4:4">
      <c r="D1434" s="65"/>
    </row>
    <row r="1435" spans="4:4">
      <c r="D1435" s="65"/>
    </row>
    <row r="1436" spans="4:4">
      <c r="D1436" s="65"/>
    </row>
    <row r="1437" spans="4:4">
      <c r="D1437" s="65"/>
    </row>
    <row r="1438" spans="4:4">
      <c r="D1438" s="65"/>
    </row>
    <row r="1439" spans="4:4">
      <c r="D1439" s="65"/>
    </row>
    <row r="1440" spans="4:4">
      <c r="D1440" s="65"/>
    </row>
    <row r="1441" spans="4:4">
      <c r="D1441" s="65"/>
    </row>
    <row r="1442" spans="4:4">
      <c r="D1442" s="65"/>
    </row>
    <row r="1443" spans="4:4">
      <c r="D1443" s="65"/>
    </row>
    <row r="1444" spans="4:4">
      <c r="D1444" s="65"/>
    </row>
    <row r="1445" spans="4:4">
      <c r="D1445" s="65"/>
    </row>
    <row r="1446" spans="4:4">
      <c r="D1446" s="65"/>
    </row>
    <row r="1447" spans="4:4">
      <c r="D1447" s="65"/>
    </row>
    <row r="1448" spans="4:4">
      <c r="D1448" s="65"/>
    </row>
    <row r="1449" spans="4:4">
      <c r="D1449" s="65"/>
    </row>
    <row r="1450" spans="4:4">
      <c r="D1450" s="65"/>
    </row>
    <row r="1451" spans="4:4">
      <c r="D1451" s="65"/>
    </row>
    <row r="1452" spans="4:4">
      <c r="D1452" s="65"/>
    </row>
    <row r="1453" spans="4:4">
      <c r="D1453" s="65"/>
    </row>
    <row r="1454" spans="4:4">
      <c r="D1454" s="65"/>
    </row>
    <row r="1455" spans="4:4">
      <c r="D1455" s="65"/>
    </row>
    <row r="1456" spans="4:4">
      <c r="D1456" s="65"/>
    </row>
    <row r="1457" spans="4:4">
      <c r="D1457" s="65"/>
    </row>
    <row r="1458" spans="4:4">
      <c r="D1458" s="65"/>
    </row>
    <row r="1459" spans="4:4">
      <c r="D1459" s="65"/>
    </row>
    <row r="1460" spans="4:4">
      <c r="D1460" s="65"/>
    </row>
    <row r="1461" spans="4:4">
      <c r="D1461" s="65"/>
    </row>
    <row r="1462" spans="4:4">
      <c r="D1462" s="65"/>
    </row>
    <row r="1463" spans="4:4">
      <c r="D1463" s="65"/>
    </row>
    <row r="1464" spans="4:4">
      <c r="D1464" s="65"/>
    </row>
    <row r="1465" spans="4:4">
      <c r="D1465" s="65"/>
    </row>
    <row r="1466" spans="4:4">
      <c r="D1466" s="65"/>
    </row>
    <row r="1467" spans="4:4">
      <c r="D1467" s="65"/>
    </row>
    <row r="1468" spans="4:4">
      <c r="D1468" s="65"/>
    </row>
    <row r="1469" spans="4:4">
      <c r="D1469" s="65"/>
    </row>
    <row r="1470" spans="4:4">
      <c r="D1470" s="65"/>
    </row>
    <row r="1471" spans="4:4">
      <c r="D1471" s="65"/>
    </row>
    <row r="1472" spans="4:4">
      <c r="D1472" s="65"/>
    </row>
    <row r="1473" spans="4:4">
      <c r="D1473" s="65"/>
    </row>
    <row r="1474" spans="4:4">
      <c r="D1474" s="65"/>
    </row>
    <row r="1475" spans="4:4">
      <c r="D1475" s="65"/>
    </row>
    <row r="1476" spans="4:4">
      <c r="D1476" s="65"/>
    </row>
    <row r="1477" spans="4:4">
      <c r="D1477" s="65"/>
    </row>
    <row r="1478" spans="4:4">
      <c r="D1478" s="65"/>
    </row>
    <row r="1479" spans="4:4">
      <c r="D1479" s="65"/>
    </row>
    <row r="1480" spans="4:4">
      <c r="D1480" s="65"/>
    </row>
    <row r="1481" spans="4:4">
      <c r="D1481" s="65"/>
    </row>
    <row r="1482" spans="4:4">
      <c r="D1482" s="65"/>
    </row>
    <row r="1483" spans="4:4">
      <c r="D1483" s="65"/>
    </row>
    <row r="1484" spans="4:4">
      <c r="D1484" s="65"/>
    </row>
    <row r="1485" spans="4:4">
      <c r="D1485" s="65"/>
    </row>
    <row r="1486" spans="4:4">
      <c r="D1486" s="65"/>
    </row>
    <row r="1487" spans="4:4">
      <c r="D1487" s="65"/>
    </row>
    <row r="1488" spans="4:4">
      <c r="D1488" s="65"/>
    </row>
    <row r="1489" spans="4:4">
      <c r="D1489" s="65"/>
    </row>
    <row r="1490" spans="4:4">
      <c r="D1490" s="65"/>
    </row>
    <row r="1491" spans="4:4">
      <c r="D1491" s="65"/>
    </row>
    <row r="1492" spans="4:4">
      <c r="D1492" s="65"/>
    </row>
    <row r="1493" spans="4:4">
      <c r="D1493" s="65"/>
    </row>
    <row r="1494" spans="4:4">
      <c r="D1494" s="65"/>
    </row>
    <row r="1495" spans="4:4">
      <c r="D1495" s="65"/>
    </row>
    <row r="1496" spans="4:4">
      <c r="D1496" s="65"/>
    </row>
    <row r="1497" spans="4:4">
      <c r="D1497" s="65"/>
    </row>
    <row r="1498" spans="4:4">
      <c r="D1498" s="65"/>
    </row>
    <row r="1499" spans="4:4">
      <c r="D1499" s="65"/>
    </row>
    <row r="1500" spans="4:4">
      <c r="D1500" s="65"/>
    </row>
    <row r="1501" spans="4:4">
      <c r="D1501" s="65"/>
    </row>
    <row r="1502" spans="4:4">
      <c r="D1502" s="65"/>
    </row>
    <row r="1503" spans="4:4">
      <c r="D1503" s="65"/>
    </row>
    <row r="1504" spans="4:4">
      <c r="D1504" s="65"/>
    </row>
    <row r="1505" spans="4:4">
      <c r="D1505" s="65"/>
    </row>
    <row r="1506" spans="4:4">
      <c r="D1506" s="65"/>
    </row>
    <row r="1507" spans="4:4">
      <c r="D1507" s="65"/>
    </row>
    <row r="1508" spans="4:4">
      <c r="D1508" s="65"/>
    </row>
    <row r="1509" spans="4:4">
      <c r="D1509" s="65"/>
    </row>
    <row r="1510" spans="4:4">
      <c r="D1510" s="65"/>
    </row>
    <row r="1511" spans="4:4">
      <c r="D1511" s="65"/>
    </row>
    <row r="1512" spans="4:4">
      <c r="D1512" s="65"/>
    </row>
    <row r="1513" spans="4:4">
      <c r="D1513" s="65"/>
    </row>
    <row r="1514" spans="4:4">
      <c r="D1514" s="65"/>
    </row>
    <row r="1515" spans="4:4">
      <c r="D1515" s="65"/>
    </row>
    <row r="1516" spans="4:4">
      <c r="D1516" s="65"/>
    </row>
    <row r="1517" spans="4:4">
      <c r="D1517" s="65"/>
    </row>
    <row r="1518" spans="4:4">
      <c r="D1518" s="65"/>
    </row>
    <row r="1519" spans="4:4">
      <c r="D1519" s="65"/>
    </row>
    <row r="1520" spans="4:4">
      <c r="D1520" s="65"/>
    </row>
    <row r="1521" spans="4:4">
      <c r="D1521" s="65"/>
    </row>
    <row r="1522" spans="4:4">
      <c r="D1522" s="65"/>
    </row>
    <row r="1523" spans="4:4">
      <c r="D1523" s="65"/>
    </row>
    <row r="1524" spans="4:4">
      <c r="D1524" s="65"/>
    </row>
    <row r="1525" spans="4:4">
      <c r="D1525" s="65"/>
    </row>
    <row r="1526" spans="4:4">
      <c r="D1526" s="65"/>
    </row>
    <row r="1527" spans="4:4">
      <c r="D1527" s="65"/>
    </row>
    <row r="1528" spans="4:4">
      <c r="D1528" s="65"/>
    </row>
    <row r="1529" spans="4:4">
      <c r="D1529" s="65"/>
    </row>
    <row r="1530" spans="4:4">
      <c r="D1530" s="65"/>
    </row>
    <row r="1531" spans="4:4">
      <c r="D1531" s="65"/>
    </row>
    <row r="1532" spans="4:4">
      <c r="D1532" s="65"/>
    </row>
    <row r="1533" spans="4:4">
      <c r="D1533" s="65"/>
    </row>
    <row r="1534" spans="4:4">
      <c r="D1534" s="65"/>
    </row>
    <row r="1535" spans="4:4">
      <c r="D1535" s="65"/>
    </row>
    <row r="1536" spans="4:4">
      <c r="D1536" s="65"/>
    </row>
    <row r="1537" spans="4:4">
      <c r="D1537" s="65"/>
    </row>
    <row r="1538" spans="4:4">
      <c r="D1538" s="65"/>
    </row>
    <row r="1539" spans="4:4">
      <c r="D1539" s="65"/>
    </row>
    <row r="1540" spans="4:4">
      <c r="D1540" s="65"/>
    </row>
    <row r="1541" spans="4:4">
      <c r="D1541" s="65"/>
    </row>
    <row r="1542" spans="4:4">
      <c r="D1542" s="65"/>
    </row>
    <row r="1543" spans="4:4">
      <c r="D1543" s="65"/>
    </row>
    <row r="1544" spans="4:4">
      <c r="D1544" s="65"/>
    </row>
    <row r="1545" spans="4:4">
      <c r="D1545" s="65"/>
    </row>
    <row r="1546" spans="4:4">
      <c r="D1546" s="65"/>
    </row>
    <row r="1547" spans="4:4">
      <c r="D1547" s="65"/>
    </row>
    <row r="1548" spans="4:4">
      <c r="D1548" s="65"/>
    </row>
    <row r="1549" spans="4:4">
      <c r="D1549" s="65"/>
    </row>
    <row r="1550" spans="4:4">
      <c r="D1550" s="65"/>
    </row>
    <row r="1551" spans="4:4">
      <c r="D1551" s="65"/>
    </row>
    <row r="1552" spans="4:4">
      <c r="D1552" s="65"/>
    </row>
    <row r="1553" spans="4:4">
      <c r="D1553" s="65"/>
    </row>
    <row r="1554" spans="4:4">
      <c r="D1554" s="65"/>
    </row>
    <row r="1555" spans="4:4">
      <c r="D1555" s="65"/>
    </row>
    <row r="1556" spans="4:4">
      <c r="D1556" s="65"/>
    </row>
    <row r="1557" spans="4:4">
      <c r="D1557" s="65"/>
    </row>
    <row r="1558" spans="4:4">
      <c r="D1558" s="65"/>
    </row>
    <row r="1559" spans="4:4">
      <c r="D1559" s="65"/>
    </row>
    <row r="1560" spans="4:4">
      <c r="D1560" s="65"/>
    </row>
    <row r="1561" spans="4:4">
      <c r="D1561" s="65"/>
    </row>
    <row r="1562" spans="4:4">
      <c r="D1562" s="65"/>
    </row>
    <row r="1563" spans="4:4">
      <c r="D1563" s="65"/>
    </row>
    <row r="1564" spans="4:4">
      <c r="D1564" s="65"/>
    </row>
    <row r="1565" spans="4:4">
      <c r="D1565" s="65"/>
    </row>
    <row r="1566" spans="4:4">
      <c r="D1566" s="65"/>
    </row>
    <row r="1567" spans="4:4">
      <c r="D1567" s="65"/>
    </row>
    <row r="1568" spans="4:4">
      <c r="D1568" s="65"/>
    </row>
    <row r="1569" spans="4:4">
      <c r="D1569" s="65"/>
    </row>
    <row r="1570" spans="4:4">
      <c r="D1570" s="65"/>
    </row>
    <row r="1571" spans="4:4">
      <c r="D1571" s="65"/>
    </row>
    <row r="1572" spans="4:4">
      <c r="D1572" s="65"/>
    </row>
    <row r="1573" spans="4:4">
      <c r="D1573" s="65"/>
    </row>
    <row r="1574" spans="4:4">
      <c r="D1574" s="65"/>
    </row>
    <row r="1575" spans="4:4">
      <c r="D1575" s="65"/>
    </row>
    <row r="1576" spans="4:4">
      <c r="D1576" s="65"/>
    </row>
    <row r="1577" spans="4:4">
      <c r="D1577" s="65"/>
    </row>
    <row r="1578" spans="4:4">
      <c r="D1578" s="65"/>
    </row>
    <row r="1579" spans="4:4">
      <c r="D1579" s="65"/>
    </row>
    <row r="1580" spans="4:4">
      <c r="D1580" s="65"/>
    </row>
    <row r="1581" spans="4:4">
      <c r="D1581" s="65"/>
    </row>
    <row r="1582" spans="4:4">
      <c r="D1582" s="65"/>
    </row>
    <row r="1583" spans="4:4">
      <c r="D1583" s="65"/>
    </row>
    <row r="1584" spans="4:4">
      <c r="D1584" s="65"/>
    </row>
    <row r="1585" spans="4:4">
      <c r="D1585" s="65"/>
    </row>
    <row r="1586" spans="4:4">
      <c r="D1586" s="65"/>
    </row>
    <row r="1587" spans="4:4">
      <c r="D1587" s="65"/>
    </row>
    <row r="1588" spans="4:4">
      <c r="D1588" s="65"/>
    </row>
    <row r="1589" spans="4:4">
      <c r="D1589" s="65"/>
    </row>
    <row r="1590" spans="4:4">
      <c r="D1590" s="65"/>
    </row>
    <row r="1591" spans="4:4">
      <c r="D1591" s="65"/>
    </row>
    <row r="1592" spans="4:4">
      <c r="D1592" s="65"/>
    </row>
    <row r="1593" spans="4:4">
      <c r="D1593" s="65"/>
    </row>
    <row r="1594" spans="4:4">
      <c r="D1594" s="65"/>
    </row>
    <row r="1595" spans="4:4">
      <c r="D1595" s="65"/>
    </row>
    <row r="1596" spans="4:4">
      <c r="D1596" s="65"/>
    </row>
    <row r="1597" spans="4:4">
      <c r="D1597" s="65"/>
    </row>
    <row r="1598" spans="4:4">
      <c r="D1598" s="65"/>
    </row>
    <row r="1599" spans="4:4">
      <c r="D1599" s="65"/>
    </row>
    <row r="1600" spans="4:4">
      <c r="D1600" s="65"/>
    </row>
    <row r="1601" spans="4:4">
      <c r="D1601" s="65"/>
    </row>
    <row r="1602" spans="4:4">
      <c r="D1602" s="65"/>
    </row>
    <row r="1603" spans="4:4">
      <c r="D1603" s="65"/>
    </row>
    <row r="1604" spans="4:4">
      <c r="D1604" s="65"/>
    </row>
    <row r="1605" spans="4:4">
      <c r="D1605" s="65"/>
    </row>
    <row r="1606" spans="4:4">
      <c r="D1606" s="65"/>
    </row>
    <row r="1607" spans="4:4">
      <c r="D1607" s="65"/>
    </row>
    <row r="1608" spans="4:4">
      <c r="D1608" s="65"/>
    </row>
    <row r="1609" spans="4:4">
      <c r="D1609" s="65"/>
    </row>
    <row r="1610" spans="4:4">
      <c r="D1610" s="65"/>
    </row>
    <row r="1611" spans="4:4">
      <c r="D1611" s="65"/>
    </row>
    <row r="1612" spans="4:4">
      <c r="D1612" s="65"/>
    </row>
    <row r="1613" spans="4:4">
      <c r="D1613" s="65"/>
    </row>
    <row r="1614" spans="4:4">
      <c r="D1614" s="65"/>
    </row>
    <row r="1615" spans="4:4">
      <c r="D1615" s="65"/>
    </row>
    <row r="1616" spans="4:4">
      <c r="D1616" s="65"/>
    </row>
    <row r="1617" spans="4:4">
      <c r="D1617" s="65"/>
    </row>
    <row r="1618" spans="4:4">
      <c r="D1618" s="65"/>
    </row>
    <row r="1619" spans="4:4">
      <c r="D1619" s="65"/>
    </row>
    <row r="1620" spans="4:4">
      <c r="D1620" s="65"/>
    </row>
    <row r="1621" spans="4:4">
      <c r="D1621" s="65"/>
    </row>
    <row r="1622" spans="4:4">
      <c r="D1622" s="65"/>
    </row>
    <row r="1623" spans="4:4">
      <c r="D1623" s="65"/>
    </row>
    <row r="1624" spans="4:4">
      <c r="D1624" s="65"/>
    </row>
    <row r="1625" spans="4:4">
      <c r="D1625" s="65"/>
    </row>
    <row r="1626" spans="4:4">
      <c r="D1626" s="65"/>
    </row>
    <row r="1627" spans="4:4">
      <c r="D1627" s="65"/>
    </row>
    <row r="1628" spans="4:4">
      <c r="D1628" s="65"/>
    </row>
    <row r="1629" spans="4:4">
      <c r="D1629" s="65"/>
    </row>
    <row r="1630" spans="4:4">
      <c r="D1630" s="65"/>
    </row>
    <row r="1631" spans="4:4">
      <c r="D1631" s="65"/>
    </row>
    <row r="1632" spans="4:4">
      <c r="D1632" s="65"/>
    </row>
    <row r="1633" spans="4:4">
      <c r="D1633" s="65"/>
    </row>
    <row r="1634" spans="4:4">
      <c r="D1634" s="65"/>
    </row>
    <row r="1635" spans="4:4">
      <c r="D1635" s="65"/>
    </row>
    <row r="1636" spans="4:4">
      <c r="D1636" s="65"/>
    </row>
    <row r="1637" spans="4:4">
      <c r="D1637" s="65"/>
    </row>
    <row r="1638" spans="4:4">
      <c r="D1638" s="65"/>
    </row>
    <row r="1639" spans="4:4">
      <c r="D1639" s="65"/>
    </row>
    <row r="1640" spans="4:4">
      <c r="D1640" s="65"/>
    </row>
    <row r="1641" spans="4:4">
      <c r="D1641" s="65"/>
    </row>
    <row r="1642" spans="4:4">
      <c r="D1642" s="65"/>
    </row>
    <row r="1643" spans="4:4">
      <c r="D1643" s="65"/>
    </row>
    <row r="1644" spans="4:4">
      <c r="D1644" s="65"/>
    </row>
    <row r="1645" spans="4:4">
      <c r="D1645" s="65"/>
    </row>
    <row r="1646" spans="4:4">
      <c r="D1646" s="65"/>
    </row>
    <row r="1647" spans="4:4">
      <c r="D1647" s="65"/>
    </row>
    <row r="1648" spans="4:4">
      <c r="D1648" s="65"/>
    </row>
    <row r="1649" spans="4:4">
      <c r="D1649" s="65"/>
    </row>
    <row r="1650" spans="4:4">
      <c r="D1650" s="65"/>
    </row>
    <row r="1651" spans="4:4">
      <c r="D1651" s="65"/>
    </row>
    <row r="1652" spans="4:4">
      <c r="D1652" s="65"/>
    </row>
    <row r="1653" spans="4:4">
      <c r="D1653" s="65"/>
    </row>
    <row r="1654" spans="4:4">
      <c r="D1654" s="65"/>
    </row>
    <row r="1655" spans="4:4">
      <c r="D1655" s="65"/>
    </row>
    <row r="1656" spans="4:4">
      <c r="D1656" s="65"/>
    </row>
    <row r="1657" spans="4:4">
      <c r="D1657" s="65"/>
    </row>
    <row r="1658" spans="4:4">
      <c r="D1658" s="65"/>
    </row>
    <row r="1659" spans="4:4">
      <c r="D1659" s="65"/>
    </row>
    <row r="1660" spans="4:4">
      <c r="D1660" s="65"/>
    </row>
    <row r="1661" spans="4:4">
      <c r="D1661" s="65"/>
    </row>
    <row r="1662" spans="4:4">
      <c r="D1662" s="65"/>
    </row>
    <row r="1663" spans="4:4">
      <c r="D1663" s="65"/>
    </row>
    <row r="1664" spans="4:4">
      <c r="D1664" s="65"/>
    </row>
    <row r="1665" spans="4:4">
      <c r="D1665" s="65"/>
    </row>
    <row r="1666" spans="4:4">
      <c r="D1666" s="65"/>
    </row>
    <row r="1667" spans="4:4">
      <c r="D1667" s="65"/>
    </row>
    <row r="1668" spans="4:4">
      <c r="D1668" s="65"/>
    </row>
    <row r="1669" spans="4:4">
      <c r="D1669" s="65"/>
    </row>
    <row r="1670" spans="4:4">
      <c r="D1670" s="65"/>
    </row>
    <row r="1671" spans="4:4">
      <c r="D1671" s="65"/>
    </row>
    <row r="1672" spans="4:4">
      <c r="D1672" s="65"/>
    </row>
    <row r="1673" spans="4:4">
      <c r="D1673" s="65"/>
    </row>
    <row r="1674" spans="4:4">
      <c r="D1674" s="65"/>
    </row>
    <row r="1675" spans="4:4">
      <c r="D1675" s="65"/>
    </row>
    <row r="1676" spans="4:4">
      <c r="D1676" s="65"/>
    </row>
    <row r="1677" spans="4:4">
      <c r="D1677" s="65"/>
    </row>
    <row r="1678" spans="4:4">
      <c r="D1678" s="65"/>
    </row>
    <row r="1679" spans="4:4">
      <c r="D1679" s="65"/>
    </row>
    <row r="1680" spans="4:4">
      <c r="D1680" s="65"/>
    </row>
    <row r="1681" spans="4:4">
      <c r="D1681" s="65"/>
    </row>
    <row r="1682" spans="4:4">
      <c r="D1682" s="65"/>
    </row>
    <row r="1683" spans="4:4">
      <c r="D1683" s="65"/>
    </row>
    <row r="1684" spans="4:4">
      <c r="D1684" s="65"/>
    </row>
    <row r="1685" spans="4:4">
      <c r="D1685" s="65"/>
    </row>
    <row r="1686" spans="4:4">
      <c r="D1686" s="65"/>
    </row>
    <row r="1687" spans="4:4">
      <c r="D1687" s="65"/>
    </row>
    <row r="1688" spans="4:4">
      <c r="D1688" s="65"/>
    </row>
    <row r="1689" spans="4:4">
      <c r="D1689" s="65"/>
    </row>
    <row r="1690" spans="4:4">
      <c r="D1690" s="65"/>
    </row>
    <row r="1691" spans="4:4">
      <c r="D1691" s="65"/>
    </row>
    <row r="1692" spans="4:4">
      <c r="D1692" s="65"/>
    </row>
    <row r="1693" spans="4:4">
      <c r="D1693" s="65"/>
    </row>
    <row r="1694" spans="4:4">
      <c r="D1694" s="65"/>
    </row>
    <row r="1695" spans="4:4">
      <c r="D1695" s="65"/>
    </row>
    <row r="1696" spans="4:4">
      <c r="D1696" s="65"/>
    </row>
    <row r="1697" spans="4:4">
      <c r="D1697" s="65"/>
    </row>
    <row r="1698" spans="4:4">
      <c r="D1698" s="65"/>
    </row>
    <row r="1699" spans="4:4">
      <c r="D1699" s="65"/>
    </row>
    <row r="1700" spans="4:4">
      <c r="D1700" s="65"/>
    </row>
    <row r="1701" spans="4:4">
      <c r="D1701" s="65"/>
    </row>
    <row r="1702" spans="4:4">
      <c r="D1702" s="65"/>
    </row>
    <row r="1703" spans="4:4">
      <c r="D1703" s="65"/>
    </row>
    <row r="1704" spans="4:4">
      <c r="D1704" s="65"/>
    </row>
    <row r="1705" spans="4:4">
      <c r="D1705" s="65"/>
    </row>
    <row r="1706" spans="4:4">
      <c r="D1706" s="65"/>
    </row>
    <row r="1707" spans="4:4">
      <c r="D1707" s="65"/>
    </row>
    <row r="1708" spans="4:4">
      <c r="D1708" s="65"/>
    </row>
    <row r="1709" spans="4:4">
      <c r="D1709" s="65"/>
    </row>
    <row r="1710" spans="4:4">
      <c r="D1710" s="65"/>
    </row>
    <row r="1711" spans="4:4">
      <c r="D1711" s="65"/>
    </row>
    <row r="1712" spans="4:4">
      <c r="D1712" s="65"/>
    </row>
    <row r="1713" spans="4:4">
      <c r="D1713" s="65"/>
    </row>
    <row r="1714" spans="4:4">
      <c r="D1714" s="65"/>
    </row>
    <row r="1715" spans="4:4">
      <c r="D1715" s="65"/>
    </row>
    <row r="1716" spans="4:4">
      <c r="D1716" s="65"/>
    </row>
    <row r="1717" spans="4:4">
      <c r="D1717" s="65"/>
    </row>
    <row r="1718" spans="4:4">
      <c r="D1718" s="65"/>
    </row>
    <row r="1719" spans="4:4">
      <c r="D1719" s="65"/>
    </row>
    <row r="1720" spans="4:4">
      <c r="D1720" s="65"/>
    </row>
    <row r="1721" spans="4:4">
      <c r="D1721" s="65"/>
    </row>
    <row r="1722" spans="4:4">
      <c r="D1722" s="65"/>
    </row>
    <row r="1723" spans="4:4">
      <c r="D1723" s="65"/>
    </row>
    <row r="1724" spans="4:4">
      <c r="D1724" s="65"/>
    </row>
    <row r="1725" spans="4:4">
      <c r="D1725" s="65"/>
    </row>
    <row r="1726" spans="4:4">
      <c r="D1726" s="65"/>
    </row>
    <row r="1727" spans="4:4">
      <c r="D1727" s="65"/>
    </row>
    <row r="1728" spans="4:4">
      <c r="D1728" s="65"/>
    </row>
    <row r="1729" spans="4:4">
      <c r="D1729" s="65"/>
    </row>
    <row r="1730" spans="4:4">
      <c r="D1730" s="65"/>
    </row>
    <row r="1731" spans="4:4">
      <c r="D1731" s="65"/>
    </row>
    <row r="1732" spans="4:4">
      <c r="D1732" s="65"/>
    </row>
    <row r="1733" spans="4:4">
      <c r="D1733" s="65"/>
    </row>
    <row r="1734" spans="4:4">
      <c r="D1734" s="65"/>
    </row>
    <row r="1735" spans="4:4">
      <c r="D1735" s="65"/>
    </row>
    <row r="1736" spans="4:4">
      <c r="D1736" s="65"/>
    </row>
    <row r="1737" spans="4:4">
      <c r="D1737" s="65"/>
    </row>
    <row r="1738" spans="4:4">
      <c r="D1738" s="65"/>
    </row>
    <row r="1739" spans="4:4">
      <c r="D1739" s="65"/>
    </row>
    <row r="1740" spans="4:4">
      <c r="D1740" s="65"/>
    </row>
    <row r="1741" spans="4:4">
      <c r="D1741" s="65"/>
    </row>
    <row r="1742" spans="4:4">
      <c r="D1742" s="65"/>
    </row>
    <row r="1743" spans="4:4">
      <c r="D1743" s="65"/>
    </row>
    <row r="1744" spans="4:4">
      <c r="D1744" s="65"/>
    </row>
    <row r="1745" spans="4:4">
      <c r="D1745" s="65"/>
    </row>
    <row r="1746" spans="4:4">
      <c r="D1746" s="65"/>
    </row>
    <row r="1747" spans="4:4">
      <c r="D1747" s="65"/>
    </row>
    <row r="1748" spans="4:4">
      <c r="D1748" s="65"/>
    </row>
    <row r="1749" spans="4:4">
      <c r="D1749" s="65"/>
    </row>
    <row r="1750" spans="4:4">
      <c r="D1750" s="65"/>
    </row>
    <row r="1751" spans="4:4">
      <c r="D1751" s="65"/>
    </row>
    <row r="1752" spans="4:4">
      <c r="D1752" s="65"/>
    </row>
    <row r="1753" spans="4:4">
      <c r="D1753" s="65"/>
    </row>
    <row r="1754" spans="4:4">
      <c r="D1754" s="65"/>
    </row>
    <row r="1755" spans="4:4">
      <c r="D1755" s="65"/>
    </row>
    <row r="1756" spans="4:4">
      <c r="D1756" s="65"/>
    </row>
    <row r="1757" spans="4:4">
      <c r="D1757" s="65"/>
    </row>
    <row r="1758" spans="4:4">
      <c r="D1758" s="65"/>
    </row>
    <row r="1759" spans="4:4">
      <c r="D1759" s="65"/>
    </row>
    <row r="1760" spans="4:4">
      <c r="D1760" s="65"/>
    </row>
    <row r="1761" spans="4:4">
      <c r="D1761" s="65"/>
    </row>
    <row r="1762" spans="4:4">
      <c r="D1762" s="65"/>
    </row>
    <row r="1763" spans="4:4">
      <c r="D1763" s="65"/>
    </row>
    <row r="1764" spans="4:4">
      <c r="D1764" s="65"/>
    </row>
    <row r="1765" spans="4:4">
      <c r="D1765" s="65"/>
    </row>
    <row r="1766" spans="4:4">
      <c r="D1766" s="65"/>
    </row>
    <row r="1767" spans="4:4">
      <c r="D1767" s="65"/>
    </row>
    <row r="1768" spans="4:4">
      <c r="D1768" s="65"/>
    </row>
    <row r="1769" spans="4:4">
      <c r="D1769" s="65"/>
    </row>
    <row r="1770" spans="4:4">
      <c r="D1770" s="65"/>
    </row>
    <row r="1771" spans="4:4">
      <c r="D1771" s="65"/>
    </row>
    <row r="1772" spans="4:4">
      <c r="D1772" s="65"/>
    </row>
    <row r="1773" spans="4:4">
      <c r="D1773" s="65"/>
    </row>
    <row r="1774" spans="4:4">
      <c r="D1774" s="65"/>
    </row>
    <row r="1775" spans="4:4">
      <c r="D1775" s="65"/>
    </row>
    <row r="1776" spans="4:4">
      <c r="D1776" s="65"/>
    </row>
    <row r="1777" spans="4:4">
      <c r="D1777" s="65"/>
    </row>
    <row r="1778" spans="4:4">
      <c r="D1778" s="65"/>
    </row>
    <row r="1779" spans="4:4">
      <c r="D1779" s="65"/>
    </row>
    <row r="1780" spans="4:4">
      <c r="D1780" s="65"/>
    </row>
    <row r="1781" spans="4:4">
      <c r="D1781" s="65"/>
    </row>
    <row r="1782" spans="4:4">
      <c r="D1782" s="65"/>
    </row>
    <row r="1783" spans="4:4">
      <c r="D1783" s="65"/>
    </row>
    <row r="1784" spans="4:4">
      <c r="D1784" s="65"/>
    </row>
    <row r="1785" spans="4:4">
      <c r="D1785" s="65"/>
    </row>
    <row r="1786" spans="4:4">
      <c r="D1786" s="65"/>
    </row>
    <row r="1787" spans="4:4">
      <c r="D1787" s="65"/>
    </row>
    <row r="1788" spans="4:4">
      <c r="D1788" s="65"/>
    </row>
    <row r="1789" spans="4:4">
      <c r="D1789" s="65"/>
    </row>
    <row r="1790" spans="4:4">
      <c r="D1790" s="65"/>
    </row>
    <row r="1791" spans="4:4">
      <c r="D1791" s="65"/>
    </row>
    <row r="1792" spans="4:4">
      <c r="D1792" s="65"/>
    </row>
    <row r="1793" spans="4:4">
      <c r="D1793" s="65"/>
    </row>
    <row r="1794" spans="4:4">
      <c r="D1794" s="65"/>
    </row>
    <row r="1795" spans="4:4">
      <c r="D1795" s="65"/>
    </row>
    <row r="1796" spans="4:4">
      <c r="D1796" s="65"/>
    </row>
    <row r="1797" spans="4:4">
      <c r="D1797" s="65"/>
    </row>
    <row r="1798" spans="4:4">
      <c r="D1798" s="65"/>
    </row>
    <row r="1799" spans="4:4">
      <c r="D1799" s="65"/>
    </row>
    <row r="1800" spans="4:4">
      <c r="D1800" s="65"/>
    </row>
    <row r="1801" spans="4:4">
      <c r="D1801" s="65"/>
    </row>
    <row r="1802" spans="4:4">
      <c r="D1802" s="65"/>
    </row>
    <row r="1803" spans="4:4">
      <c r="D1803" s="65"/>
    </row>
    <row r="1804" spans="4:4">
      <c r="D1804" s="65"/>
    </row>
    <row r="1805" spans="4:4">
      <c r="D1805" s="65"/>
    </row>
    <row r="1806" spans="4:4">
      <c r="D1806" s="65"/>
    </row>
    <row r="1807" spans="4:4">
      <c r="D1807" s="65"/>
    </row>
    <row r="1808" spans="4:4">
      <c r="D1808" s="65"/>
    </row>
    <row r="1809" spans="4:4">
      <c r="D1809" s="65"/>
    </row>
    <row r="1810" spans="4:4">
      <c r="D1810" s="65"/>
    </row>
    <row r="1811" spans="4:4">
      <c r="D1811" s="65"/>
    </row>
    <row r="1812" spans="4:4">
      <c r="D1812" s="65"/>
    </row>
    <row r="1813" spans="4:4">
      <c r="D1813" s="65"/>
    </row>
    <row r="1814" spans="4:4">
      <c r="D1814" s="65"/>
    </row>
    <row r="1815" spans="4:4">
      <c r="D1815" s="65"/>
    </row>
    <row r="1816" spans="4:4">
      <c r="D1816" s="65"/>
    </row>
    <row r="1817" spans="4:4">
      <c r="D1817" s="65"/>
    </row>
    <row r="1818" spans="4:4">
      <c r="D1818" s="65"/>
    </row>
    <row r="1819" spans="4:4">
      <c r="D1819" s="65"/>
    </row>
    <row r="1820" spans="4:4">
      <c r="D1820" s="65"/>
    </row>
    <row r="1821" spans="4:4">
      <c r="D1821" s="65"/>
    </row>
    <row r="1822" spans="4:4">
      <c r="D1822" s="65"/>
    </row>
    <row r="1823" spans="4:4">
      <c r="D1823" s="65"/>
    </row>
    <row r="1824" spans="4:4">
      <c r="D1824" s="65"/>
    </row>
    <row r="1825" spans="4:4">
      <c r="D1825" s="65"/>
    </row>
    <row r="1826" spans="4:4">
      <c r="D1826" s="65"/>
    </row>
    <row r="1827" spans="4:4">
      <c r="D1827" s="65"/>
    </row>
    <row r="1828" spans="4:4">
      <c r="D1828" s="65"/>
    </row>
    <row r="1829" spans="4:4">
      <c r="D1829" s="65"/>
    </row>
    <row r="1830" spans="4:4">
      <c r="D1830" s="65"/>
    </row>
    <row r="1831" spans="4:4">
      <c r="D1831" s="65"/>
    </row>
    <row r="1832" spans="4:4">
      <c r="D1832" s="65"/>
    </row>
    <row r="1833" spans="4:4">
      <c r="D1833" s="65"/>
    </row>
    <row r="1834" spans="4:4">
      <c r="D1834" s="65"/>
    </row>
    <row r="1835" spans="4:4">
      <c r="D1835" s="65"/>
    </row>
    <row r="1836" spans="4:4">
      <c r="D1836" s="65"/>
    </row>
    <row r="1837" spans="4:4">
      <c r="D1837" s="65"/>
    </row>
    <row r="1838" spans="4:4">
      <c r="D1838" s="65"/>
    </row>
    <row r="1839" spans="4:4">
      <c r="D1839" s="65"/>
    </row>
    <row r="1840" spans="4:4">
      <c r="D1840" s="65"/>
    </row>
    <row r="1841" spans="4:4">
      <c r="D1841" s="65"/>
    </row>
    <row r="1842" spans="4:4">
      <c r="D1842" s="65"/>
    </row>
    <row r="1843" spans="4:4">
      <c r="D1843" s="65"/>
    </row>
    <row r="1844" spans="4:4">
      <c r="D1844" s="65"/>
    </row>
    <row r="1845" spans="4:4">
      <c r="D1845" s="65"/>
    </row>
    <row r="1846" spans="4:4">
      <c r="D1846" s="65"/>
    </row>
    <row r="1847" spans="4:4">
      <c r="D1847" s="65"/>
    </row>
    <row r="1848" spans="4:4">
      <c r="D1848" s="65"/>
    </row>
    <row r="1849" spans="4:4">
      <c r="D1849" s="65"/>
    </row>
    <row r="1850" spans="4:4">
      <c r="D1850" s="65"/>
    </row>
    <row r="1851" spans="4:4">
      <c r="D1851" s="65"/>
    </row>
    <row r="1852" spans="4:4">
      <c r="D1852" s="65"/>
    </row>
    <row r="1853" spans="4:4">
      <c r="D1853" s="65"/>
    </row>
    <row r="1854" spans="4:4">
      <c r="D1854" s="65"/>
    </row>
    <row r="1855" spans="4:4">
      <c r="D1855" s="65"/>
    </row>
    <row r="1856" spans="4:4">
      <c r="D1856" s="65"/>
    </row>
    <row r="1857" spans="4:4">
      <c r="D1857" s="65"/>
    </row>
    <row r="1858" spans="4:4">
      <c r="D1858" s="65"/>
    </row>
    <row r="1859" spans="4:4">
      <c r="D1859" s="65"/>
    </row>
    <row r="1860" spans="4:4">
      <c r="D1860" s="65"/>
    </row>
    <row r="1861" spans="4:4">
      <c r="D1861" s="65"/>
    </row>
    <row r="1862" spans="4:4">
      <c r="D1862" s="65"/>
    </row>
    <row r="1863" spans="4:4">
      <c r="D1863" s="65"/>
    </row>
    <row r="1864" spans="4:4">
      <c r="D1864" s="65"/>
    </row>
    <row r="1865" spans="4:4">
      <c r="D1865" s="65"/>
    </row>
    <row r="1866" spans="4:4">
      <c r="D1866" s="65"/>
    </row>
    <row r="1867" spans="4:4">
      <c r="D1867" s="65"/>
    </row>
    <row r="1868" spans="4:4">
      <c r="D1868" s="65"/>
    </row>
    <row r="1869" spans="4:4">
      <c r="D1869" s="65"/>
    </row>
    <row r="1870" spans="4:4">
      <c r="D1870" s="65"/>
    </row>
    <row r="1871" spans="4:4">
      <c r="D1871" s="65"/>
    </row>
    <row r="1872" spans="4:4">
      <c r="D1872" s="65"/>
    </row>
    <row r="1873" spans="4:4">
      <c r="D1873" s="65"/>
    </row>
    <row r="1874" spans="4:4">
      <c r="D1874" s="65"/>
    </row>
    <row r="1875" spans="4:4">
      <c r="D1875" s="65"/>
    </row>
    <row r="1876" spans="4:4">
      <c r="D1876" s="65"/>
    </row>
    <row r="1877" spans="4:4">
      <c r="D1877" s="65"/>
    </row>
    <row r="1878" spans="4:4">
      <c r="D1878" s="65"/>
    </row>
    <row r="1879" spans="4:4">
      <c r="D1879" s="65"/>
    </row>
    <row r="1880" spans="4:4">
      <c r="D1880" s="65"/>
    </row>
    <row r="1881" spans="4:4">
      <c r="D1881" s="65"/>
    </row>
    <row r="1882" spans="4:4">
      <c r="D1882" s="65"/>
    </row>
    <row r="1883" spans="4:4">
      <c r="D1883" s="65"/>
    </row>
    <row r="1884" spans="4:4">
      <c r="D1884" s="65"/>
    </row>
    <row r="1885" spans="4:4">
      <c r="D1885" s="65"/>
    </row>
    <row r="1886" spans="4:4">
      <c r="D1886" s="65"/>
    </row>
    <row r="1887" spans="4:4">
      <c r="D1887" s="65"/>
    </row>
    <row r="1888" spans="4:4">
      <c r="D1888" s="65"/>
    </row>
    <row r="1889" spans="4:4">
      <c r="D1889" s="65"/>
    </row>
    <row r="1890" spans="4:4">
      <c r="D1890" s="65"/>
    </row>
    <row r="1891" spans="4:4">
      <c r="D1891" s="65"/>
    </row>
    <row r="1892" spans="4:4">
      <c r="D1892" s="65"/>
    </row>
    <row r="1893" spans="4:4">
      <c r="D1893" s="65"/>
    </row>
    <row r="1894" spans="4:4">
      <c r="D1894" s="65"/>
    </row>
    <row r="1895" spans="4:4">
      <c r="D1895" s="65"/>
    </row>
    <row r="1896" spans="4:4">
      <c r="D1896" s="65"/>
    </row>
    <row r="1897" spans="4:4">
      <c r="D1897" s="65"/>
    </row>
    <row r="1898" spans="4:4">
      <c r="D1898" s="65"/>
    </row>
    <row r="1899" spans="4:4">
      <c r="D1899" s="65"/>
    </row>
    <row r="1900" spans="4:4">
      <c r="D1900" s="65"/>
    </row>
    <row r="1901" spans="4:4">
      <c r="D1901" s="65"/>
    </row>
    <row r="1902" spans="4:4">
      <c r="D1902" s="65"/>
    </row>
    <row r="1903" spans="4:4">
      <c r="D1903" s="65"/>
    </row>
    <row r="1904" spans="4:4">
      <c r="D1904" s="65"/>
    </row>
    <row r="1905" spans="4:4">
      <c r="D1905" s="65"/>
    </row>
    <row r="1906" spans="4:4">
      <c r="D1906" s="65"/>
    </row>
    <row r="1907" spans="4:4">
      <c r="D1907" s="65"/>
    </row>
    <row r="1908" spans="4:4">
      <c r="D1908" s="65"/>
    </row>
    <row r="1909" spans="4:4">
      <c r="D1909" s="65"/>
    </row>
    <row r="1910" spans="4:4">
      <c r="D1910" s="65"/>
    </row>
    <row r="1911" spans="4:4">
      <c r="D1911" s="65"/>
    </row>
    <row r="1912" spans="4:4">
      <c r="D1912" s="65"/>
    </row>
    <row r="1913" spans="4:4">
      <c r="D1913" s="65"/>
    </row>
    <row r="1914" spans="4:4">
      <c r="D1914" s="65"/>
    </row>
    <row r="1915" spans="4:4">
      <c r="D1915" s="65"/>
    </row>
    <row r="1916" spans="4:4">
      <c r="D1916" s="65"/>
    </row>
    <row r="1917" spans="4:4">
      <c r="D1917" s="65"/>
    </row>
    <row r="1918" spans="4:4">
      <c r="D1918" s="65"/>
    </row>
    <row r="1919" spans="4:4">
      <c r="D1919" s="65"/>
    </row>
    <row r="1920" spans="4:4">
      <c r="D1920" s="65"/>
    </row>
    <row r="1921" spans="4:4">
      <c r="D1921" s="65"/>
    </row>
    <row r="1922" spans="4:4">
      <c r="D1922" s="65"/>
    </row>
    <row r="1923" spans="4:4">
      <c r="D1923" s="65"/>
    </row>
    <row r="1924" spans="4:4">
      <c r="D1924" s="65"/>
    </row>
    <row r="1925" spans="4:4">
      <c r="D1925" s="65"/>
    </row>
    <row r="1926" spans="4:4">
      <c r="D1926" s="65"/>
    </row>
    <row r="1927" spans="4:4">
      <c r="D1927" s="65"/>
    </row>
    <row r="1928" spans="4:4">
      <c r="D1928" s="65"/>
    </row>
    <row r="1929" spans="4:4">
      <c r="D1929" s="65"/>
    </row>
    <row r="1930" spans="4:4">
      <c r="D1930" s="65"/>
    </row>
    <row r="1931" spans="4:4">
      <c r="D1931" s="65"/>
    </row>
    <row r="1932" spans="4:4">
      <c r="D1932" s="65"/>
    </row>
    <row r="1933" spans="4:4">
      <c r="D1933" s="65"/>
    </row>
    <row r="1934" spans="4:4">
      <c r="D1934" s="65"/>
    </row>
    <row r="1935" spans="4:4">
      <c r="D1935" s="65"/>
    </row>
    <row r="1936" spans="4:4">
      <c r="D1936" s="65"/>
    </row>
    <row r="1937" spans="4:4">
      <c r="D1937" s="65"/>
    </row>
    <row r="1938" spans="4:4">
      <c r="D1938" s="65"/>
    </row>
    <row r="1939" spans="4:4">
      <c r="D1939" s="65"/>
    </row>
    <row r="1940" spans="4:4">
      <c r="D1940" s="65"/>
    </row>
    <row r="1941" spans="4:4">
      <c r="D1941" s="65"/>
    </row>
    <row r="1942" spans="4:4">
      <c r="D1942" s="65"/>
    </row>
    <row r="1943" spans="4:4">
      <c r="D1943" s="65"/>
    </row>
    <row r="1944" spans="4:4">
      <c r="D1944" s="65"/>
    </row>
    <row r="1945" spans="4:4">
      <c r="D1945" s="65"/>
    </row>
    <row r="1946" spans="4:4">
      <c r="D1946" s="65"/>
    </row>
    <row r="1947" spans="4:4">
      <c r="D1947" s="65"/>
    </row>
    <row r="1948" spans="4:4">
      <c r="D1948" s="65"/>
    </row>
    <row r="1949" spans="4:4">
      <c r="D1949" s="65"/>
    </row>
    <row r="1950" spans="4:4">
      <c r="D1950" s="65"/>
    </row>
    <row r="1951" spans="4:4">
      <c r="D1951" s="65"/>
    </row>
    <row r="1952" spans="4:4">
      <c r="D1952" s="65"/>
    </row>
    <row r="1953" spans="4:4">
      <c r="D1953" s="65"/>
    </row>
    <row r="1954" spans="4:4">
      <c r="D1954" s="65"/>
    </row>
    <row r="1955" spans="4:4">
      <c r="D1955" s="65"/>
    </row>
    <row r="1956" spans="4:4">
      <c r="D1956" s="65"/>
    </row>
    <row r="1957" spans="4:4">
      <c r="D1957" s="65"/>
    </row>
    <row r="1958" spans="4:4">
      <c r="D1958" s="65"/>
    </row>
    <row r="1959" spans="4:4">
      <c r="D1959" s="65"/>
    </row>
    <row r="1960" spans="4:4">
      <c r="D1960" s="65"/>
    </row>
    <row r="1961" spans="4:4">
      <c r="D1961" s="65"/>
    </row>
    <row r="1962" spans="4:4">
      <c r="D1962" s="65"/>
    </row>
    <row r="1963" spans="4:4">
      <c r="D1963" s="65"/>
    </row>
    <row r="1964" spans="4:4">
      <c r="D1964" s="65"/>
    </row>
    <row r="1965" spans="4:4">
      <c r="D1965" s="65"/>
    </row>
    <row r="1966" spans="4:4">
      <c r="D1966" s="65"/>
    </row>
    <row r="1967" spans="4:4">
      <c r="D1967" s="65"/>
    </row>
    <row r="1968" spans="4:4">
      <c r="D1968" s="65"/>
    </row>
    <row r="1969" spans="4:4">
      <c r="D1969" s="65"/>
    </row>
    <row r="1970" spans="4:4">
      <c r="D1970" s="65"/>
    </row>
    <row r="1971" spans="4:4">
      <c r="D1971" s="65"/>
    </row>
    <row r="1972" spans="4:4">
      <c r="D1972" s="65"/>
    </row>
    <row r="1973" spans="4:4">
      <c r="D1973" s="65"/>
    </row>
    <row r="1974" spans="4:4">
      <c r="D1974" s="65"/>
    </row>
    <row r="1975" spans="4:4">
      <c r="D1975" s="65"/>
    </row>
    <row r="1976" spans="4:4">
      <c r="D1976" s="65"/>
    </row>
    <row r="1977" spans="4:4">
      <c r="D1977" s="65"/>
    </row>
    <row r="1978" spans="4:4">
      <c r="D1978" s="65"/>
    </row>
    <row r="1979" spans="4:4">
      <c r="D1979" s="65"/>
    </row>
    <row r="1980" spans="4:4">
      <c r="D1980" s="65"/>
    </row>
    <row r="1981" spans="4:4">
      <c r="D1981" s="65"/>
    </row>
    <row r="1982" spans="4:4">
      <c r="D1982" s="65"/>
    </row>
    <row r="1983" spans="4:4">
      <c r="D1983" s="65"/>
    </row>
    <row r="1984" spans="4:4">
      <c r="D1984" s="65"/>
    </row>
    <row r="1985" spans="4:4">
      <c r="D1985" s="65"/>
    </row>
    <row r="1986" spans="4:4">
      <c r="D1986" s="65"/>
    </row>
    <row r="1987" spans="4:4">
      <c r="D1987" s="65"/>
    </row>
    <row r="1988" spans="4:4">
      <c r="D1988" s="65"/>
    </row>
    <row r="1989" spans="4:4">
      <c r="D1989" s="65"/>
    </row>
    <row r="1990" spans="4:4">
      <c r="D1990" s="65"/>
    </row>
    <row r="1991" spans="4:4">
      <c r="D1991" s="65"/>
    </row>
    <row r="1992" spans="4:4">
      <c r="D1992" s="65"/>
    </row>
    <row r="1993" spans="4:4">
      <c r="D1993" s="65"/>
    </row>
    <row r="1994" spans="4:4">
      <c r="D1994" s="65"/>
    </row>
    <row r="1995" spans="4:4">
      <c r="D1995" s="65"/>
    </row>
    <row r="1996" spans="4:4">
      <c r="D1996" s="65"/>
    </row>
    <row r="1997" spans="4:4">
      <c r="D1997" s="65"/>
    </row>
    <row r="1998" spans="4:4">
      <c r="D1998" s="65"/>
    </row>
    <row r="1999" spans="4:4">
      <c r="D1999" s="65"/>
    </row>
    <row r="2000" spans="4:4">
      <c r="D2000" s="65"/>
    </row>
    <row r="2001" spans="4:4">
      <c r="D2001" s="65"/>
    </row>
    <row r="2002" spans="4:4">
      <c r="D2002" s="65"/>
    </row>
    <row r="2003" spans="4:4">
      <c r="D2003" s="65"/>
    </row>
    <row r="2004" spans="4:4">
      <c r="D2004" s="65"/>
    </row>
    <row r="2005" spans="4:4">
      <c r="D2005" s="65"/>
    </row>
    <row r="2006" spans="4:4">
      <c r="D2006" s="65"/>
    </row>
    <row r="2007" spans="4:4">
      <c r="D2007" s="65"/>
    </row>
    <row r="2008" spans="4:4">
      <c r="D2008" s="65"/>
    </row>
    <row r="2009" spans="4:4">
      <c r="D2009" s="65"/>
    </row>
    <row r="2010" spans="4:4">
      <c r="D2010" s="65"/>
    </row>
    <row r="2011" spans="4:4">
      <c r="D2011" s="65"/>
    </row>
    <row r="2012" spans="4:4">
      <c r="D2012" s="65"/>
    </row>
    <row r="2013" spans="4:4">
      <c r="D2013" s="65"/>
    </row>
    <row r="2014" spans="4:4">
      <c r="D2014" s="65"/>
    </row>
    <row r="2015" spans="4:4">
      <c r="D2015" s="65"/>
    </row>
    <row r="2016" spans="4:4">
      <c r="D2016" s="65"/>
    </row>
    <row r="2017" spans="4:4">
      <c r="D2017" s="65"/>
    </row>
    <row r="2018" spans="4:4">
      <c r="D2018" s="65"/>
    </row>
    <row r="2019" spans="4:4">
      <c r="D2019" s="65"/>
    </row>
    <row r="2020" spans="4:4">
      <c r="D2020" s="65"/>
    </row>
    <row r="2021" spans="4:4">
      <c r="D2021" s="65"/>
    </row>
    <row r="2022" spans="4:4">
      <c r="D2022" s="65"/>
    </row>
    <row r="2023" spans="4:4">
      <c r="D2023" s="65"/>
    </row>
    <row r="2024" spans="4:4">
      <c r="D2024" s="65"/>
    </row>
    <row r="2025" spans="4:4">
      <c r="D2025" s="65"/>
    </row>
    <row r="2026" spans="4:4">
      <c r="D2026" s="65"/>
    </row>
    <row r="2027" spans="4:4">
      <c r="D2027" s="65"/>
    </row>
    <row r="2028" spans="4:4">
      <c r="D2028" s="65"/>
    </row>
    <row r="2029" spans="4:4">
      <c r="D2029" s="65"/>
    </row>
    <row r="2030" spans="4:4">
      <c r="D2030" s="65"/>
    </row>
    <row r="2031" spans="4:4">
      <c r="D2031" s="65"/>
    </row>
    <row r="2032" spans="4:4">
      <c r="D2032" s="65"/>
    </row>
    <row r="2033" spans="4:4">
      <c r="D2033" s="65"/>
    </row>
    <row r="2034" spans="4:4">
      <c r="D2034" s="65"/>
    </row>
    <row r="2035" spans="4:4">
      <c r="D2035" s="65"/>
    </row>
    <row r="2036" spans="4:4">
      <c r="D2036" s="65"/>
    </row>
    <row r="2037" spans="4:4">
      <c r="D2037" s="65"/>
    </row>
    <row r="2038" spans="4:4">
      <c r="D2038" s="65"/>
    </row>
    <row r="2039" spans="4:4">
      <c r="D2039" s="65"/>
    </row>
    <row r="2040" spans="4:4">
      <c r="D2040" s="65"/>
    </row>
    <row r="2041" spans="4:4">
      <c r="D2041" s="65"/>
    </row>
    <row r="2042" spans="4:4">
      <c r="D2042" s="65"/>
    </row>
    <row r="2043" spans="4:4">
      <c r="D2043" s="65"/>
    </row>
    <row r="2044" spans="4:4">
      <c r="D2044" s="65"/>
    </row>
    <row r="2045" spans="4:4">
      <c r="D2045" s="65"/>
    </row>
    <row r="2046" spans="4:4">
      <c r="D2046" s="65"/>
    </row>
    <row r="2047" spans="4:4">
      <c r="D2047" s="65"/>
    </row>
    <row r="2048" spans="4:4">
      <c r="D2048" s="65"/>
    </row>
    <row r="2049" spans="4:4">
      <c r="D2049" s="65"/>
    </row>
    <row r="2050" spans="4:4">
      <c r="D2050" s="65"/>
    </row>
    <row r="2051" spans="4:4">
      <c r="D2051" s="65"/>
    </row>
    <row r="2052" spans="4:4">
      <c r="D2052" s="65"/>
    </row>
    <row r="2053" spans="4:4">
      <c r="D2053" s="65"/>
    </row>
    <row r="2054" spans="4:4">
      <c r="D2054" s="65"/>
    </row>
    <row r="2055" spans="4:4">
      <c r="D2055" s="65"/>
    </row>
    <row r="2056" spans="4:4">
      <c r="D2056" s="65"/>
    </row>
    <row r="2057" spans="4:4">
      <c r="D2057" s="65"/>
    </row>
    <row r="2058" spans="4:4">
      <c r="D2058" s="65"/>
    </row>
    <row r="2059" spans="4:4">
      <c r="D2059" s="65"/>
    </row>
    <row r="2060" spans="4:4">
      <c r="D2060" s="65"/>
    </row>
    <row r="2061" spans="4:4">
      <c r="D2061" s="65"/>
    </row>
    <row r="2062" spans="4:4">
      <c r="D2062" s="65"/>
    </row>
    <row r="2063" spans="4:4">
      <c r="D2063" s="65"/>
    </row>
    <row r="2064" spans="4:4">
      <c r="D2064" s="65"/>
    </row>
    <row r="2065" spans="4:4">
      <c r="D2065" s="65"/>
    </row>
    <row r="2066" spans="4:4">
      <c r="D2066" s="65"/>
    </row>
    <row r="2067" spans="4:4">
      <c r="D2067" s="65"/>
    </row>
    <row r="2068" spans="4:4">
      <c r="D2068" s="65"/>
    </row>
    <row r="2069" spans="4:4">
      <c r="D2069" s="65"/>
    </row>
    <row r="2070" spans="4:4">
      <c r="D2070" s="65"/>
    </row>
    <row r="2071" spans="4:4">
      <c r="D2071" s="65"/>
    </row>
    <row r="2072" spans="4:4">
      <c r="D2072" s="65"/>
    </row>
    <row r="2073" spans="4:4">
      <c r="D2073" s="65"/>
    </row>
    <row r="2074" spans="4:4">
      <c r="D2074" s="65"/>
    </row>
    <row r="2075" spans="4:4">
      <c r="D2075" s="65"/>
    </row>
    <row r="2076" spans="4:4">
      <c r="D2076" s="65"/>
    </row>
    <row r="2077" spans="4:4">
      <c r="D2077" s="65"/>
    </row>
    <row r="2078" spans="4:4">
      <c r="D2078" s="65"/>
    </row>
    <row r="2079" spans="4:4">
      <c r="D2079" s="65"/>
    </row>
    <row r="2080" spans="4:4">
      <c r="D2080" s="65"/>
    </row>
    <row r="2081" spans="4:4">
      <c r="D2081" s="65"/>
    </row>
    <row r="2082" spans="4:4">
      <c r="D2082" s="65"/>
    </row>
    <row r="2083" spans="4:4">
      <c r="D2083" s="65"/>
    </row>
    <row r="2084" spans="4:4">
      <c r="D2084" s="65"/>
    </row>
    <row r="2085" spans="4:4">
      <c r="D2085" s="65"/>
    </row>
    <row r="2086" spans="4:4">
      <c r="D2086" s="65"/>
    </row>
    <row r="2087" spans="4:4">
      <c r="D2087" s="65"/>
    </row>
    <row r="2088" spans="4:4">
      <c r="D2088" s="65"/>
    </row>
    <row r="2089" spans="4:4">
      <c r="D2089" s="65"/>
    </row>
    <row r="2090" spans="4:4">
      <c r="D2090" s="65"/>
    </row>
    <row r="2091" spans="4:4">
      <c r="D2091" s="65"/>
    </row>
    <row r="2092" spans="4:4">
      <c r="D2092" s="65"/>
    </row>
    <row r="2093" spans="4:4">
      <c r="D2093" s="65"/>
    </row>
    <row r="2094" spans="4:4">
      <c r="D2094" s="65"/>
    </row>
    <row r="2095" spans="4:4">
      <c r="D2095" s="65"/>
    </row>
    <row r="2096" spans="4:4">
      <c r="D2096" s="65"/>
    </row>
    <row r="2097" spans="4:4">
      <c r="D2097" s="65"/>
    </row>
    <row r="2098" spans="4:4">
      <c r="D2098" s="65"/>
    </row>
    <row r="2099" spans="4:4">
      <c r="D2099" s="65"/>
    </row>
    <row r="2100" spans="4:4">
      <c r="D2100" s="65"/>
    </row>
    <row r="2101" spans="4:4">
      <c r="D2101" s="65"/>
    </row>
    <row r="2102" spans="4:4">
      <c r="D2102" s="65"/>
    </row>
    <row r="2103" spans="4:4">
      <c r="D2103" s="65"/>
    </row>
    <row r="2104" spans="4:4">
      <c r="D2104" s="65"/>
    </row>
    <row r="2105" spans="4:4">
      <c r="D2105" s="65"/>
    </row>
    <row r="2106" spans="4:4">
      <c r="D2106" s="65"/>
    </row>
    <row r="2107" spans="4:4">
      <c r="D2107" s="65"/>
    </row>
    <row r="2108" spans="4:4">
      <c r="D2108" s="65"/>
    </row>
    <row r="2109" spans="4:4">
      <c r="D2109" s="65"/>
    </row>
    <row r="2110" spans="4:4">
      <c r="D2110" s="65"/>
    </row>
    <row r="2111" spans="4:4">
      <c r="D2111" s="65"/>
    </row>
    <row r="2112" spans="4:4">
      <c r="D2112" s="65"/>
    </row>
    <row r="2113" spans="4:4">
      <c r="D2113" s="65"/>
    </row>
    <row r="2114" spans="4:4">
      <c r="D2114" s="65"/>
    </row>
    <row r="2115" spans="4:4">
      <c r="D2115" s="65"/>
    </row>
    <row r="2116" spans="4:4">
      <c r="D2116" s="65"/>
    </row>
    <row r="2117" spans="4:4">
      <c r="D2117" s="65"/>
    </row>
    <row r="2118" spans="4:4">
      <c r="D2118" s="65"/>
    </row>
    <row r="2119" spans="4:4">
      <c r="D2119" s="65"/>
    </row>
    <row r="2120" spans="4:4">
      <c r="D2120" s="65"/>
    </row>
    <row r="2121" spans="4:4">
      <c r="D2121" s="65"/>
    </row>
    <row r="2122" spans="4:4">
      <c r="D2122" s="65"/>
    </row>
    <row r="2123" spans="4:4">
      <c r="D2123" s="65"/>
    </row>
    <row r="2124" spans="4:4">
      <c r="D2124" s="65"/>
    </row>
    <row r="2125" spans="4:4">
      <c r="D2125" s="65"/>
    </row>
    <row r="2126" spans="4:4">
      <c r="D2126" s="65"/>
    </row>
    <row r="2127" spans="4:4">
      <c r="D2127" s="65"/>
    </row>
    <row r="2128" spans="4:4">
      <c r="D2128" s="65"/>
    </row>
    <row r="2129" spans="4:4">
      <c r="D2129" s="65"/>
    </row>
    <row r="2130" spans="4:4">
      <c r="D2130" s="65"/>
    </row>
    <row r="2131" spans="4:4">
      <c r="D2131" s="65"/>
    </row>
    <row r="2132" spans="4:4">
      <c r="D2132" s="65"/>
    </row>
    <row r="2133" spans="4:4">
      <c r="D2133" s="65"/>
    </row>
    <row r="2134" spans="4:4">
      <c r="D2134" s="65"/>
    </row>
    <row r="2135" spans="4:4">
      <c r="D2135" s="65"/>
    </row>
    <row r="2136" spans="4:4">
      <c r="D2136" s="65"/>
    </row>
    <row r="2137" spans="4:4">
      <c r="D2137" s="65"/>
    </row>
    <row r="2138" spans="4:4">
      <c r="D2138" s="65"/>
    </row>
    <row r="2139" spans="4:4">
      <c r="D2139" s="65"/>
    </row>
    <row r="2140" spans="4:4">
      <c r="D2140" s="65"/>
    </row>
    <row r="2141" spans="4:4">
      <c r="D2141" s="65"/>
    </row>
    <row r="2142" spans="4:4">
      <c r="D2142" s="65"/>
    </row>
    <row r="2143" spans="4:4">
      <c r="D2143" s="65"/>
    </row>
    <row r="2144" spans="4:4">
      <c r="D2144" s="65"/>
    </row>
    <row r="2145" spans="4:4">
      <c r="D2145" s="65"/>
    </row>
    <row r="2146" spans="4:4">
      <c r="D2146" s="65"/>
    </row>
    <row r="2147" spans="4:4">
      <c r="D2147" s="65"/>
    </row>
    <row r="2148" spans="4:4">
      <c r="D2148" s="65"/>
    </row>
    <row r="2149" spans="4:4">
      <c r="D2149" s="65"/>
    </row>
    <row r="2150" spans="4:4">
      <c r="D2150" s="65"/>
    </row>
    <row r="2151" spans="4:4">
      <c r="D2151" s="65"/>
    </row>
    <row r="2152" spans="4:4">
      <c r="D2152" s="65"/>
    </row>
    <row r="2153" spans="4:4">
      <c r="D2153" s="65"/>
    </row>
    <row r="2154" spans="4:4">
      <c r="D2154" s="65"/>
    </row>
    <row r="2155" spans="4:4">
      <c r="D2155" s="65"/>
    </row>
    <row r="2156" spans="4:4">
      <c r="D2156" s="65"/>
    </row>
    <row r="2157" spans="4:4">
      <c r="D2157" s="65"/>
    </row>
    <row r="2158" spans="4:4">
      <c r="D2158" s="65"/>
    </row>
    <row r="2159" spans="4:4">
      <c r="D2159" s="65"/>
    </row>
    <row r="2160" spans="4:4">
      <c r="D2160" s="65"/>
    </row>
    <row r="2161" spans="4:4">
      <c r="D2161" s="65"/>
    </row>
    <row r="2162" spans="4:4">
      <c r="D2162" s="65"/>
    </row>
    <row r="2163" spans="4:4">
      <c r="D2163" s="65"/>
    </row>
    <row r="2164" spans="4:4">
      <c r="D2164" s="65"/>
    </row>
    <row r="2165" spans="4:4">
      <c r="D2165" s="65"/>
    </row>
    <row r="2166" spans="4:4">
      <c r="D2166" s="65"/>
    </row>
    <row r="2167" spans="4:4">
      <c r="D2167" s="65"/>
    </row>
    <row r="2168" spans="4:4">
      <c r="D2168" s="65"/>
    </row>
    <row r="2169" spans="4:4">
      <c r="D2169" s="65"/>
    </row>
    <row r="2170" spans="4:4">
      <c r="D2170" s="65"/>
    </row>
    <row r="2171" spans="4:4">
      <c r="D2171" s="65"/>
    </row>
    <row r="2172" spans="4:4">
      <c r="D2172" s="65"/>
    </row>
    <row r="2173" spans="4:4">
      <c r="D2173" s="65"/>
    </row>
    <row r="2174" spans="4:4">
      <c r="D2174" s="65"/>
    </row>
    <row r="2175" spans="4:4">
      <c r="D2175" s="65"/>
    </row>
    <row r="2176" spans="4:4">
      <c r="D2176" s="65"/>
    </row>
    <row r="2177" spans="4:4">
      <c r="D2177" s="65"/>
    </row>
    <row r="2178" spans="4:4">
      <c r="D2178" s="65"/>
    </row>
    <row r="2179" spans="4:4">
      <c r="D2179" s="65"/>
    </row>
    <row r="2180" spans="4:4">
      <c r="D2180" s="65"/>
    </row>
    <row r="2181" spans="4:4">
      <c r="D2181" s="65"/>
    </row>
    <row r="2182" spans="4:4">
      <c r="D2182" s="65"/>
    </row>
    <row r="2183" spans="4:4">
      <c r="D2183" s="65"/>
    </row>
    <row r="2184" spans="4:4">
      <c r="D2184" s="65"/>
    </row>
    <row r="2185" spans="4:4">
      <c r="D2185" s="65"/>
    </row>
    <row r="2186" spans="4:4">
      <c r="D2186" s="65"/>
    </row>
    <row r="2187" spans="4:4">
      <c r="D2187" s="65"/>
    </row>
    <row r="2188" spans="4:4">
      <c r="D2188" s="65"/>
    </row>
    <row r="2189" spans="4:4">
      <c r="D2189" s="65"/>
    </row>
    <row r="2190" spans="4:4">
      <c r="D2190" s="65"/>
    </row>
    <row r="2191" spans="4:4">
      <c r="D2191" s="65"/>
    </row>
    <row r="2192" spans="4:4">
      <c r="D2192" s="65"/>
    </row>
    <row r="2193" spans="4:4">
      <c r="D2193" s="65"/>
    </row>
    <row r="2194" spans="4:4">
      <c r="D2194" s="65"/>
    </row>
    <row r="2195" spans="4:4">
      <c r="D2195" s="65"/>
    </row>
    <row r="2196" spans="4:4">
      <c r="D2196" s="65"/>
    </row>
    <row r="2197" spans="4:4">
      <c r="D2197" s="65"/>
    </row>
    <row r="2198" spans="4:4">
      <c r="D2198" s="65"/>
    </row>
    <row r="2199" spans="4:4">
      <c r="D2199" s="65"/>
    </row>
    <row r="2200" spans="4:4">
      <c r="D2200" s="65"/>
    </row>
    <row r="2201" spans="4:4">
      <c r="D2201" s="65"/>
    </row>
    <row r="2202" spans="4:4">
      <c r="D2202" s="65"/>
    </row>
    <row r="2203" spans="4:4">
      <c r="D2203" s="65"/>
    </row>
    <row r="2204" spans="4:4">
      <c r="D2204" s="65"/>
    </row>
    <row r="2205" spans="4:4">
      <c r="D2205" s="65"/>
    </row>
    <row r="2206" spans="4:4">
      <c r="D2206" s="65"/>
    </row>
    <row r="2207" spans="4:4">
      <c r="D2207" s="65"/>
    </row>
    <row r="2208" spans="4:4">
      <c r="D2208" s="65"/>
    </row>
    <row r="2209" spans="4:4">
      <c r="D2209" s="65"/>
    </row>
    <row r="2210" spans="4:4">
      <c r="D2210" s="65"/>
    </row>
    <row r="2211" spans="4:4">
      <c r="D2211" s="65"/>
    </row>
    <row r="2212" spans="4:4">
      <c r="D2212" s="65"/>
    </row>
    <row r="2213" spans="4:4">
      <c r="D2213" s="65"/>
    </row>
    <row r="2214" spans="4:4">
      <c r="D2214" s="65"/>
    </row>
    <row r="2215" spans="4:4">
      <c r="D2215" s="65"/>
    </row>
    <row r="2216" spans="4:4">
      <c r="D2216" s="65"/>
    </row>
    <row r="2217" spans="4:4">
      <c r="D2217" s="65"/>
    </row>
    <row r="2218" spans="4:4">
      <c r="D2218" s="65"/>
    </row>
    <row r="2219" spans="4:4">
      <c r="D2219" s="65"/>
    </row>
    <row r="2220" spans="4:4">
      <c r="D2220" s="65"/>
    </row>
    <row r="2221" spans="4:4">
      <c r="D2221" s="65"/>
    </row>
    <row r="2222" spans="4:4">
      <c r="D2222" s="65"/>
    </row>
    <row r="2223" spans="4:4">
      <c r="D2223" s="65"/>
    </row>
    <row r="2224" spans="4:4">
      <c r="D2224" s="65"/>
    </row>
    <row r="2225" spans="4:4">
      <c r="D2225" s="65"/>
    </row>
    <row r="2226" spans="4:4">
      <c r="D2226" s="65"/>
    </row>
    <row r="2227" spans="4:4">
      <c r="D2227" s="65"/>
    </row>
    <row r="2228" spans="4:4">
      <c r="D2228" s="65"/>
    </row>
    <row r="2229" spans="4:4">
      <c r="D2229" s="65"/>
    </row>
    <row r="2230" spans="4:4">
      <c r="D2230" s="65"/>
    </row>
    <row r="2231" spans="4:4">
      <c r="D2231" s="65"/>
    </row>
    <row r="2232" spans="4:4">
      <c r="D2232" s="65"/>
    </row>
    <row r="2233" spans="4:4">
      <c r="D2233" s="65"/>
    </row>
    <row r="2234" spans="4:4">
      <c r="D2234" s="65"/>
    </row>
    <row r="2235" spans="4:4">
      <c r="D2235" s="65"/>
    </row>
    <row r="2236" spans="4:4">
      <c r="D2236" s="65"/>
    </row>
    <row r="2237" spans="4:4">
      <c r="D2237" s="65"/>
    </row>
    <row r="2238" spans="4:4">
      <c r="D2238" s="65"/>
    </row>
    <row r="2239" spans="4:4">
      <c r="D2239" s="65"/>
    </row>
    <row r="2240" spans="4:4">
      <c r="D2240" s="65"/>
    </row>
    <row r="2241" spans="4:4">
      <c r="D2241" s="65"/>
    </row>
    <row r="2242" spans="4:4">
      <c r="D2242" s="65"/>
    </row>
    <row r="2243" spans="4:4">
      <c r="D2243" s="65"/>
    </row>
    <row r="2244" spans="4:4">
      <c r="D2244" s="65"/>
    </row>
    <row r="2245" spans="4:4">
      <c r="D2245" s="65"/>
    </row>
    <row r="2246" spans="4:4">
      <c r="D2246" s="65"/>
    </row>
    <row r="2247" spans="4:4">
      <c r="D2247" s="65"/>
    </row>
    <row r="2248" spans="4:4">
      <c r="D2248" s="65"/>
    </row>
    <row r="2249" spans="4:4">
      <c r="D2249" s="65"/>
    </row>
    <row r="2250" spans="4:4">
      <c r="D2250" s="65"/>
    </row>
    <row r="2251" spans="4:4">
      <c r="D2251" s="65"/>
    </row>
    <row r="2252" spans="4:4">
      <c r="D2252" s="65"/>
    </row>
    <row r="2253" spans="4:4">
      <c r="D2253" s="65"/>
    </row>
    <row r="2254" spans="4:4">
      <c r="D2254" s="65"/>
    </row>
    <row r="2255" spans="4:4">
      <c r="D2255" s="65"/>
    </row>
    <row r="2256" spans="4:4">
      <c r="D2256" s="65"/>
    </row>
    <row r="2257" spans="4:4">
      <c r="D2257" s="65"/>
    </row>
    <row r="2258" spans="4:4">
      <c r="D2258" s="65"/>
    </row>
    <row r="2259" spans="4:4">
      <c r="D2259" s="65"/>
    </row>
    <row r="2260" spans="4:4">
      <c r="D2260" s="65"/>
    </row>
    <row r="2261" spans="4:4">
      <c r="D2261" s="65"/>
    </row>
    <row r="2262" spans="4:4">
      <c r="D2262" s="65"/>
    </row>
    <row r="2263" spans="4:4">
      <c r="D2263" s="65"/>
    </row>
    <row r="2264" spans="4:4">
      <c r="D2264" s="65"/>
    </row>
    <row r="2265" spans="4:4">
      <c r="D2265" s="65"/>
    </row>
    <row r="2266" spans="4:4">
      <c r="D2266" s="65"/>
    </row>
    <row r="2267" spans="4:4">
      <c r="D2267" s="65"/>
    </row>
    <row r="2268" spans="4:4">
      <c r="D2268" s="65"/>
    </row>
    <row r="2269" spans="4:4">
      <c r="D2269" s="65"/>
    </row>
    <row r="2270" spans="4:4">
      <c r="D2270" s="65"/>
    </row>
    <row r="2271" spans="4:4">
      <c r="D2271" s="65"/>
    </row>
    <row r="2272" spans="4:4">
      <c r="D2272" s="65"/>
    </row>
    <row r="2273" spans="4:4">
      <c r="D2273" s="65"/>
    </row>
    <row r="2274" spans="4:4">
      <c r="D2274" s="65"/>
    </row>
    <row r="2275" spans="4:4">
      <c r="D2275" s="65"/>
    </row>
    <row r="2276" spans="4:4">
      <c r="D2276" s="65"/>
    </row>
    <row r="2277" spans="4:4">
      <c r="D2277" s="65"/>
    </row>
    <row r="2278" spans="4:4">
      <c r="D2278" s="65"/>
    </row>
    <row r="2279" spans="4:4">
      <c r="D2279" s="65"/>
    </row>
    <row r="2280" spans="4:4">
      <c r="D2280" s="65"/>
    </row>
    <row r="2281" spans="4:4">
      <c r="D2281" s="65"/>
    </row>
    <row r="2282" spans="4:4">
      <c r="D2282" s="65"/>
    </row>
    <row r="2283" spans="4:4">
      <c r="D2283" s="65"/>
    </row>
    <row r="2284" spans="4:4">
      <c r="D2284" s="65"/>
    </row>
    <row r="2285" spans="4:4">
      <c r="D2285" s="65"/>
    </row>
    <row r="2286" spans="4:4">
      <c r="D2286" s="65"/>
    </row>
    <row r="2287" spans="4:4">
      <c r="D2287" s="65"/>
    </row>
    <row r="2288" spans="4:4">
      <c r="D2288" s="65"/>
    </row>
    <row r="2289" spans="4:4">
      <c r="D2289" s="65"/>
    </row>
    <row r="2290" spans="4:4">
      <c r="D2290" s="65"/>
    </row>
    <row r="2291" spans="4:4">
      <c r="D2291" s="65"/>
    </row>
    <row r="2292" spans="4:4">
      <c r="D2292" s="65"/>
    </row>
    <row r="2293" spans="4:4">
      <c r="D2293" s="65"/>
    </row>
    <row r="2294" spans="4:4">
      <c r="D2294" s="65"/>
    </row>
    <row r="2295" spans="4:4">
      <c r="D2295" s="65"/>
    </row>
    <row r="2296" spans="4:4">
      <c r="D2296" s="65"/>
    </row>
    <row r="2297" spans="4:4">
      <c r="D2297" s="65"/>
    </row>
    <row r="2298" spans="4:4">
      <c r="D2298" s="65"/>
    </row>
    <row r="2299" spans="4:4">
      <c r="D2299" s="65"/>
    </row>
    <row r="2300" spans="4:4">
      <c r="D2300" s="65"/>
    </row>
    <row r="2301" spans="4:4">
      <c r="D2301" s="65"/>
    </row>
    <row r="2302" spans="4:4">
      <c r="D2302" s="65"/>
    </row>
    <row r="2303" spans="4:4">
      <c r="D2303" s="65"/>
    </row>
    <row r="2304" spans="4:4">
      <c r="D2304" s="65"/>
    </row>
    <row r="2305" spans="4:4">
      <c r="D2305" s="65"/>
    </row>
    <row r="2306" spans="4:4">
      <c r="D2306" s="65"/>
    </row>
    <row r="2307" spans="4:4">
      <c r="D2307" s="65"/>
    </row>
    <row r="2308" spans="4:4">
      <c r="D2308" s="65"/>
    </row>
    <row r="2309" spans="4:4">
      <c r="D2309" s="65"/>
    </row>
    <row r="2310" spans="4:4">
      <c r="D2310" s="65"/>
    </row>
    <row r="2311" spans="4:4">
      <c r="D2311" s="65"/>
    </row>
    <row r="2312" spans="4:4">
      <c r="D2312" s="65"/>
    </row>
    <row r="2313" spans="4:4">
      <c r="D2313" s="65"/>
    </row>
    <row r="2314" spans="4:4">
      <c r="D2314" s="65"/>
    </row>
    <row r="2315" spans="4:4">
      <c r="D2315" s="65"/>
    </row>
    <row r="2316" spans="4:4">
      <c r="D2316" s="65"/>
    </row>
    <row r="2317" spans="4:4">
      <c r="D2317" s="65"/>
    </row>
    <row r="2318" spans="4:4">
      <c r="D2318" s="65"/>
    </row>
    <row r="2319" spans="4:4">
      <c r="D2319" s="65"/>
    </row>
    <row r="2320" spans="4:4">
      <c r="D2320" s="65"/>
    </row>
    <row r="2321" spans="4:4">
      <c r="D2321" s="65"/>
    </row>
    <row r="2322" spans="4:4">
      <c r="D2322" s="65"/>
    </row>
    <row r="2323" spans="4:4">
      <c r="D2323" s="65"/>
    </row>
    <row r="2324" spans="4:4">
      <c r="D2324" s="65"/>
    </row>
    <row r="2325" spans="4:4">
      <c r="D2325" s="65"/>
    </row>
    <row r="2326" spans="4:4">
      <c r="D2326" s="65"/>
    </row>
    <row r="2327" spans="4:4">
      <c r="D2327" s="65"/>
    </row>
    <row r="2328" spans="4:4">
      <c r="D2328" s="65"/>
    </row>
    <row r="2329" spans="4:4">
      <c r="D2329" s="65"/>
    </row>
    <row r="2330" spans="4:4">
      <c r="D2330" s="65"/>
    </row>
    <row r="2331" spans="4:4">
      <c r="D2331" s="65"/>
    </row>
    <row r="2332" spans="4:4">
      <c r="D2332" s="65"/>
    </row>
    <row r="2333" spans="4:4">
      <c r="D2333" s="65"/>
    </row>
    <row r="2334" spans="4:4">
      <c r="D2334" s="65"/>
    </row>
    <row r="2335" spans="4:4">
      <c r="D2335" s="65"/>
    </row>
    <row r="2336" spans="4:4">
      <c r="D2336" s="65"/>
    </row>
    <row r="2337" spans="4:4">
      <c r="D2337" s="65"/>
    </row>
    <row r="2338" spans="4:4">
      <c r="D2338" s="65"/>
    </row>
    <row r="2339" spans="4:4">
      <c r="D2339" s="65"/>
    </row>
    <row r="2340" spans="4:4">
      <c r="D2340" s="65"/>
    </row>
    <row r="2341" spans="4:4">
      <c r="D2341" s="65"/>
    </row>
    <row r="2342" spans="4:4">
      <c r="D2342" s="65"/>
    </row>
    <row r="2343" spans="4:4">
      <c r="D2343" s="65"/>
    </row>
    <row r="2344" spans="4:4">
      <c r="D2344" s="65"/>
    </row>
    <row r="2345" spans="4:4">
      <c r="D2345" s="65"/>
    </row>
    <row r="2346" spans="4:4">
      <c r="D2346" s="65"/>
    </row>
    <row r="2347" spans="4:4">
      <c r="D2347" s="65"/>
    </row>
    <row r="2348" spans="4:4">
      <c r="D2348" s="65"/>
    </row>
    <row r="2349" spans="4:4">
      <c r="D2349" s="65"/>
    </row>
    <row r="2350" spans="4:4">
      <c r="D2350" s="65"/>
    </row>
    <row r="2351" spans="4:4">
      <c r="D2351" s="65"/>
    </row>
    <row r="2352" spans="4:4">
      <c r="D2352" s="65"/>
    </row>
    <row r="2353" spans="4:4">
      <c r="D2353" s="65"/>
    </row>
    <row r="2354" spans="4:4">
      <c r="D2354" s="65"/>
    </row>
    <row r="2355" spans="4:4">
      <c r="D2355" s="65"/>
    </row>
    <row r="2356" spans="4:4">
      <c r="D2356" s="65"/>
    </row>
    <row r="2357" spans="4:4">
      <c r="D2357" s="65"/>
    </row>
    <row r="2358" spans="4:4">
      <c r="D2358" s="65"/>
    </row>
    <row r="2359" spans="4:4">
      <c r="D2359" s="65"/>
    </row>
    <row r="2360" spans="4:4">
      <c r="D2360" s="65"/>
    </row>
    <row r="2361" spans="4:4">
      <c r="D2361" s="65"/>
    </row>
    <row r="2362" spans="4:4">
      <c r="D2362" s="65"/>
    </row>
    <row r="2363" spans="4:4">
      <c r="D2363" s="65"/>
    </row>
    <row r="2364" spans="4:4">
      <c r="D2364" s="65"/>
    </row>
    <row r="2365" spans="4:4">
      <c r="D2365" s="65"/>
    </row>
    <row r="2366" spans="4:4">
      <c r="D2366" s="65"/>
    </row>
    <row r="2367" spans="4:4">
      <c r="D2367" s="65"/>
    </row>
    <row r="2368" spans="4:4">
      <c r="D2368" s="65"/>
    </row>
    <row r="2369" spans="4:4">
      <c r="D2369" s="65"/>
    </row>
    <row r="2370" spans="4:4">
      <c r="D2370" s="65"/>
    </row>
    <row r="2371" spans="4:4">
      <c r="D2371" s="65"/>
    </row>
    <row r="2372" spans="4:4">
      <c r="D2372" s="65"/>
    </row>
    <row r="2373" spans="4:4">
      <c r="D2373" s="65"/>
    </row>
    <row r="2374" spans="4:4">
      <c r="D2374" s="65"/>
    </row>
    <row r="2375" spans="4:4">
      <c r="D2375" s="65"/>
    </row>
    <row r="2376" spans="4:4">
      <c r="D2376" s="65"/>
    </row>
    <row r="2377" spans="4:4">
      <c r="D2377" s="65"/>
    </row>
    <row r="2378" spans="4:4">
      <c r="D2378" s="65"/>
    </row>
    <row r="2379" spans="4:4">
      <c r="D2379" s="65"/>
    </row>
    <row r="2380" spans="4:4">
      <c r="D2380" s="65"/>
    </row>
    <row r="2381" spans="4:4">
      <c r="D2381" s="65"/>
    </row>
    <row r="2382" spans="4:4">
      <c r="D2382" s="65"/>
    </row>
    <row r="2383" spans="4:4">
      <c r="D2383" s="65"/>
    </row>
    <row r="2384" spans="4:4">
      <c r="D2384" s="65"/>
    </row>
    <row r="2385" spans="4:4">
      <c r="D2385" s="65"/>
    </row>
    <row r="2386" spans="4:4">
      <c r="D2386" s="65"/>
    </row>
    <row r="2387" spans="4:4">
      <c r="D2387" s="65"/>
    </row>
    <row r="2388" spans="4:4">
      <c r="D2388" s="65"/>
    </row>
    <row r="2389" spans="4:4">
      <c r="D2389" s="65"/>
    </row>
    <row r="2390" spans="4:4">
      <c r="D2390" s="65"/>
    </row>
    <row r="2391" spans="4:4">
      <c r="D2391" s="65"/>
    </row>
    <row r="2392" spans="4:4">
      <c r="D2392" s="65"/>
    </row>
    <row r="2393" spans="4:4">
      <c r="D2393" s="65"/>
    </row>
    <row r="2394" spans="4:4">
      <c r="D2394" s="65"/>
    </row>
    <row r="2395" spans="4:4">
      <c r="D2395" s="65"/>
    </row>
    <row r="2396" spans="4:4">
      <c r="D2396" s="65"/>
    </row>
    <row r="2397" spans="4:4">
      <c r="D2397" s="65"/>
    </row>
    <row r="2398" spans="4:4">
      <c r="D2398" s="65"/>
    </row>
    <row r="2399" spans="4:4">
      <c r="D2399" s="65"/>
    </row>
    <row r="2400" spans="4:4">
      <c r="D2400" s="65"/>
    </row>
    <row r="2401" spans="4:4">
      <c r="D2401" s="65"/>
    </row>
    <row r="2402" spans="4:4">
      <c r="D2402" s="65"/>
    </row>
    <row r="2403" spans="4:4">
      <c r="D2403" s="65"/>
    </row>
    <row r="2404" spans="4:4">
      <c r="D2404" s="65"/>
    </row>
    <row r="2405" spans="4:4">
      <c r="D2405" s="65"/>
    </row>
    <row r="2406" spans="4:4">
      <c r="D2406" s="65"/>
    </row>
    <row r="2407" spans="4:4">
      <c r="D2407" s="65"/>
    </row>
    <row r="2408" spans="4:4">
      <c r="D2408" s="65"/>
    </row>
    <row r="2409" spans="4:4">
      <c r="D2409" s="65"/>
    </row>
    <row r="2410" spans="4:4">
      <c r="D2410" s="65"/>
    </row>
    <row r="2411" spans="4:4">
      <c r="D2411" s="65"/>
    </row>
    <row r="2412" spans="4:4">
      <c r="D2412" s="65"/>
    </row>
    <row r="2413" spans="4:4">
      <c r="D2413" s="65"/>
    </row>
    <row r="2414" spans="4:4">
      <c r="D2414" s="65"/>
    </row>
    <row r="2415" spans="4:4">
      <c r="D2415" s="65"/>
    </row>
    <row r="2416" spans="4:4">
      <c r="D2416" s="65"/>
    </row>
    <row r="2417" spans="4:4">
      <c r="D2417" s="65"/>
    </row>
    <row r="2418" spans="4:4">
      <c r="D2418" s="65"/>
    </row>
    <row r="2419" spans="4:4">
      <c r="D2419" s="65"/>
    </row>
    <row r="2420" spans="4:4">
      <c r="D2420" s="65"/>
    </row>
    <row r="2421" spans="4:4">
      <c r="D2421" s="65"/>
    </row>
    <row r="2422" spans="4:4">
      <c r="D2422" s="65"/>
    </row>
    <row r="2423" spans="4:4">
      <c r="D2423" s="65"/>
    </row>
    <row r="2424" spans="4:4">
      <c r="D2424" s="65"/>
    </row>
    <row r="2425" spans="4:4">
      <c r="D2425" s="65"/>
    </row>
    <row r="2426" spans="4:4">
      <c r="D2426" s="65"/>
    </row>
    <row r="2427" spans="4:4">
      <c r="D2427" s="65"/>
    </row>
    <row r="2428" spans="4:4">
      <c r="D2428" s="65"/>
    </row>
    <row r="2429" spans="4:4">
      <c r="D2429" s="65"/>
    </row>
    <row r="2430" spans="4:4">
      <c r="D2430" s="65"/>
    </row>
    <row r="2431" spans="4:4">
      <c r="D2431" s="65"/>
    </row>
    <row r="2432" spans="4:4">
      <c r="D2432" s="65"/>
    </row>
    <row r="2433" spans="4:4">
      <c r="D2433" s="65"/>
    </row>
    <row r="2434" spans="4:4">
      <c r="D2434" s="65"/>
    </row>
    <row r="2435" spans="4:4">
      <c r="D2435" s="65"/>
    </row>
    <row r="2436" spans="4:4">
      <c r="D2436" s="65"/>
    </row>
    <row r="2437" spans="4:4">
      <c r="D2437" s="65"/>
    </row>
    <row r="2438" spans="4:4">
      <c r="D2438" s="65"/>
    </row>
    <row r="2439" spans="4:4">
      <c r="D2439" s="65"/>
    </row>
    <row r="2440" spans="4:4">
      <c r="D2440" s="65"/>
    </row>
    <row r="2441" spans="4:4">
      <c r="D2441" s="65"/>
    </row>
    <row r="2442" spans="4:4">
      <c r="D2442" s="65"/>
    </row>
    <row r="2443" spans="4:4">
      <c r="D2443" s="65"/>
    </row>
    <row r="2444" spans="4:4">
      <c r="D2444" s="65"/>
    </row>
    <row r="2445" spans="4:4">
      <c r="D2445" s="65"/>
    </row>
    <row r="2446" spans="4:4">
      <c r="D2446" s="65"/>
    </row>
    <row r="2447" spans="4:4">
      <c r="D2447" s="65"/>
    </row>
    <row r="2448" spans="4:4">
      <c r="D2448" s="65"/>
    </row>
    <row r="2449" spans="4:4">
      <c r="D2449" s="65"/>
    </row>
    <row r="2450" spans="4:4">
      <c r="D2450" s="65"/>
    </row>
    <row r="2451" spans="4:4">
      <c r="D2451" s="65"/>
    </row>
    <row r="2452" spans="4:4">
      <c r="D2452" s="65"/>
    </row>
    <row r="2453" spans="4:4">
      <c r="D2453" s="65"/>
    </row>
    <row r="2454" spans="4:4">
      <c r="D2454" s="65"/>
    </row>
    <row r="2455" spans="4:4">
      <c r="D2455" s="65"/>
    </row>
    <row r="2456" spans="4:4">
      <c r="D2456" s="65"/>
    </row>
    <row r="2457" spans="4:4">
      <c r="D2457" s="65"/>
    </row>
    <row r="2458" spans="4:4">
      <c r="D2458" s="65"/>
    </row>
    <row r="2459" spans="4:4">
      <c r="D2459" s="65"/>
    </row>
    <row r="2460" spans="4:4">
      <c r="D2460" s="65"/>
    </row>
    <row r="2461" spans="4:4">
      <c r="D2461" s="65"/>
    </row>
    <row r="2462" spans="4:4">
      <c r="D2462" s="65"/>
    </row>
    <row r="2463" spans="4:4">
      <c r="D2463" s="65"/>
    </row>
    <row r="2464" spans="4:4">
      <c r="D2464" s="65"/>
    </row>
    <row r="2465" spans="4:4">
      <c r="D2465" s="65"/>
    </row>
    <row r="2466" spans="4:4">
      <c r="D2466" s="65"/>
    </row>
    <row r="2467" spans="4:4">
      <c r="D2467" s="65"/>
    </row>
    <row r="2468" spans="4:4">
      <c r="D2468" s="65"/>
    </row>
    <row r="2469" spans="4:4">
      <c r="D2469" s="65"/>
    </row>
    <row r="2470" spans="4:4">
      <c r="D2470" s="65"/>
    </row>
    <row r="2471" spans="4:4">
      <c r="D2471" s="65"/>
    </row>
    <row r="2472" spans="4:4">
      <c r="D2472" s="65"/>
    </row>
    <row r="2473" spans="4:4">
      <c r="D2473" s="65"/>
    </row>
    <row r="2474" spans="4:4">
      <c r="D2474" s="65"/>
    </row>
    <row r="2475" spans="4:4">
      <c r="D2475" s="65"/>
    </row>
    <row r="2476" spans="4:4">
      <c r="D2476" s="65"/>
    </row>
    <row r="2477" spans="4:4">
      <c r="D2477" s="65"/>
    </row>
    <row r="2478" spans="4:4">
      <c r="D2478" s="65"/>
    </row>
    <row r="2479" spans="4:4">
      <c r="D2479" s="65"/>
    </row>
    <row r="2480" spans="4:4">
      <c r="D2480" s="65"/>
    </row>
    <row r="2481" spans="4:4">
      <c r="D2481" s="65"/>
    </row>
    <row r="2482" spans="4:4">
      <c r="D2482" s="65"/>
    </row>
    <row r="2483" spans="4:4">
      <c r="D2483" s="65"/>
    </row>
    <row r="2484" spans="4:4">
      <c r="D2484" s="65"/>
    </row>
    <row r="2485" spans="4:4">
      <c r="D2485" s="65"/>
    </row>
    <row r="2486" spans="4:4">
      <c r="D2486" s="65"/>
    </row>
    <row r="2487" spans="4:4">
      <c r="D2487" s="65"/>
    </row>
    <row r="2488" spans="4:4">
      <c r="D2488" s="65"/>
    </row>
    <row r="2489" spans="4:4">
      <c r="D2489" s="65"/>
    </row>
    <row r="2490" spans="4:4">
      <c r="D2490" s="65"/>
    </row>
    <row r="2491" spans="4:4">
      <c r="D2491" s="65"/>
    </row>
    <row r="2492" spans="4:4">
      <c r="D2492" s="65"/>
    </row>
    <row r="2493" spans="4:4">
      <c r="D2493" s="65"/>
    </row>
    <row r="2494" spans="4:4">
      <c r="D2494" s="65"/>
    </row>
    <row r="2495" spans="4:4">
      <c r="D2495" s="65"/>
    </row>
    <row r="2496" spans="4:4">
      <c r="D2496" s="65"/>
    </row>
    <row r="2497" spans="4:4">
      <c r="D2497" s="65"/>
    </row>
    <row r="2498" spans="4:4">
      <c r="D2498" s="65"/>
    </row>
    <row r="2499" spans="4:4">
      <c r="D2499" s="65"/>
    </row>
    <row r="2500" spans="4:4">
      <c r="D2500" s="65"/>
    </row>
    <row r="2501" spans="4:4">
      <c r="D2501" s="65"/>
    </row>
    <row r="2502" spans="4:4">
      <c r="D2502" s="65"/>
    </row>
    <row r="2503" spans="4:4">
      <c r="D2503" s="65"/>
    </row>
    <row r="2504" spans="4:4">
      <c r="D2504" s="65"/>
    </row>
    <row r="2505" spans="4:4">
      <c r="D2505" s="65"/>
    </row>
    <row r="2506" spans="4:4">
      <c r="D2506" s="65"/>
    </row>
    <row r="2507" spans="4:4">
      <c r="D2507" s="65"/>
    </row>
    <row r="2508" spans="4:4">
      <c r="D2508" s="65"/>
    </row>
    <row r="2509" spans="4:4">
      <c r="D2509" s="65"/>
    </row>
    <row r="2510" spans="4:4">
      <c r="D2510" s="65"/>
    </row>
    <row r="2511" spans="4:4">
      <c r="D2511" s="65"/>
    </row>
    <row r="2512" spans="4:4">
      <c r="D2512" s="65"/>
    </row>
    <row r="2513" spans="4:4">
      <c r="D2513" s="65"/>
    </row>
    <row r="2514" spans="4:4">
      <c r="D2514" s="65"/>
    </row>
    <row r="2515" spans="4:4">
      <c r="D2515" s="65"/>
    </row>
    <row r="2516" spans="4:4">
      <c r="D2516" s="65"/>
    </row>
    <row r="2517" spans="4:4">
      <c r="D2517" s="65"/>
    </row>
    <row r="2518" spans="4:4">
      <c r="D2518" s="65"/>
    </row>
    <row r="2519" spans="4:4">
      <c r="D2519" s="65"/>
    </row>
    <row r="2520" spans="4:4">
      <c r="D2520" s="65"/>
    </row>
    <row r="2521" spans="4:4">
      <c r="D2521" s="65"/>
    </row>
    <row r="2522" spans="4:4">
      <c r="D2522" s="65"/>
    </row>
    <row r="2523" spans="4:4">
      <c r="D2523" s="65"/>
    </row>
    <row r="2524" spans="4:4">
      <c r="D2524" s="65"/>
    </row>
    <row r="2525" spans="4:4">
      <c r="D2525" s="65"/>
    </row>
    <row r="2526" spans="4:4">
      <c r="D2526" s="65"/>
    </row>
    <row r="2527" spans="4:4">
      <c r="D2527" s="65"/>
    </row>
    <row r="2528" spans="4:4">
      <c r="D2528" s="65"/>
    </row>
    <row r="2529" spans="4:4">
      <c r="D2529" s="65"/>
    </row>
    <row r="2530" spans="4:4">
      <c r="D2530" s="65"/>
    </row>
    <row r="2531" spans="4:4">
      <c r="D2531" s="65"/>
    </row>
    <row r="2532" spans="4:4">
      <c r="D2532" s="65"/>
    </row>
    <row r="2533" spans="4:4">
      <c r="D2533" s="65"/>
    </row>
    <row r="2534" spans="4:4">
      <c r="D2534" s="65"/>
    </row>
    <row r="2535" spans="4:4">
      <c r="D2535" s="65"/>
    </row>
    <row r="2536" spans="4:4">
      <c r="D2536" s="65"/>
    </row>
    <row r="2537" spans="4:4">
      <c r="D2537" s="65"/>
    </row>
    <row r="2538" spans="4:4">
      <c r="D2538" s="65"/>
    </row>
    <row r="2539" spans="4:4">
      <c r="D2539" s="65"/>
    </row>
    <row r="2540" spans="4:4">
      <c r="D2540" s="65"/>
    </row>
    <row r="2541" spans="4:4">
      <c r="D2541" s="65"/>
    </row>
    <row r="2542" spans="4:4">
      <c r="D2542" s="65"/>
    </row>
    <row r="2543" spans="4:4">
      <c r="D2543" s="65"/>
    </row>
    <row r="2544" spans="4:4">
      <c r="D2544" s="65"/>
    </row>
    <row r="2545" spans="4:4">
      <c r="D2545" s="65"/>
    </row>
    <row r="2546" spans="4:4">
      <c r="D2546" s="65"/>
    </row>
    <row r="2547" spans="4:4">
      <c r="D2547" s="65"/>
    </row>
    <row r="2548" spans="4:4">
      <c r="D2548" s="65"/>
    </row>
    <row r="2549" spans="4:4">
      <c r="D2549" s="65"/>
    </row>
    <row r="2550" spans="4:4">
      <c r="D2550" s="65"/>
    </row>
    <row r="2551" spans="4:4">
      <c r="D2551" s="65"/>
    </row>
    <row r="2552" spans="4:4">
      <c r="D2552" s="65"/>
    </row>
    <row r="2553" spans="4:4">
      <c r="D2553" s="65"/>
    </row>
    <row r="2554" spans="4:4">
      <c r="D2554" s="65"/>
    </row>
    <row r="2555" spans="4:4">
      <c r="D2555" s="65"/>
    </row>
    <row r="2556" spans="4:4">
      <c r="D2556" s="65"/>
    </row>
    <row r="2557" spans="4:4">
      <c r="D2557" s="65"/>
    </row>
    <row r="2558" spans="4:4">
      <c r="D2558" s="65"/>
    </row>
    <row r="2559" spans="4:4">
      <c r="D2559" s="65"/>
    </row>
    <row r="2560" spans="4:4">
      <c r="D2560" s="65"/>
    </row>
    <row r="2561" spans="4:4">
      <c r="D2561" s="65"/>
    </row>
    <row r="2562" spans="4:4">
      <c r="D2562" s="65"/>
    </row>
    <row r="2563" spans="4:4">
      <c r="D2563" s="65"/>
    </row>
    <row r="2564" spans="4:4">
      <c r="D2564" s="65"/>
    </row>
    <row r="2565" spans="4:4">
      <c r="D2565" s="65"/>
    </row>
    <row r="2566" spans="4:4">
      <c r="D2566" s="65"/>
    </row>
    <row r="2567" spans="4:4">
      <c r="D2567" s="65"/>
    </row>
    <row r="2568" spans="4:4">
      <c r="D2568" s="65"/>
    </row>
    <row r="2569" spans="4:4">
      <c r="D2569" s="65"/>
    </row>
    <row r="2570" spans="4:4">
      <c r="D2570" s="65"/>
    </row>
    <row r="2571" spans="4:4">
      <c r="D2571" s="65"/>
    </row>
    <row r="2572" spans="4:4">
      <c r="D2572" s="65"/>
    </row>
    <row r="2573" spans="4:4">
      <c r="D2573" s="65"/>
    </row>
    <row r="2574" spans="4:4">
      <c r="D2574" s="65"/>
    </row>
    <row r="2575" spans="4:4">
      <c r="D2575" s="65"/>
    </row>
    <row r="2576" spans="4:4">
      <c r="D2576" s="65"/>
    </row>
    <row r="2577" spans="4:4">
      <c r="D2577" s="65"/>
    </row>
    <row r="2578" spans="4:4">
      <c r="D2578" s="65"/>
    </row>
    <row r="2579" spans="4:4">
      <c r="D2579" s="65"/>
    </row>
    <row r="2580" spans="4:4">
      <c r="D2580" s="65"/>
    </row>
    <row r="2581" spans="4:4">
      <c r="D2581" s="65"/>
    </row>
    <row r="2582" spans="4:4">
      <c r="D2582" s="65"/>
    </row>
    <row r="2583" spans="4:4">
      <c r="D2583" s="65"/>
    </row>
    <row r="2584" spans="4:4">
      <c r="D2584" s="65"/>
    </row>
    <row r="2585" spans="4:4">
      <c r="D2585" s="65"/>
    </row>
    <row r="2586" spans="4:4">
      <c r="D2586" s="65"/>
    </row>
    <row r="2587" spans="4:4">
      <c r="D2587" s="65"/>
    </row>
    <row r="2588" spans="4:4">
      <c r="D2588" s="65"/>
    </row>
    <row r="2589" spans="4:4">
      <c r="D2589" s="65"/>
    </row>
    <row r="2590" spans="4:4">
      <c r="D2590" s="65"/>
    </row>
    <row r="2591" spans="4:4">
      <c r="D2591" s="65"/>
    </row>
    <row r="2592" spans="4:4">
      <c r="D2592" s="65"/>
    </row>
    <row r="2593" spans="4:4">
      <c r="D2593" s="65"/>
    </row>
    <row r="2594" spans="4:4">
      <c r="D2594" s="65"/>
    </row>
    <row r="2595" spans="4:4">
      <c r="D2595" s="65"/>
    </row>
    <row r="2596" spans="4:4">
      <c r="D2596" s="65"/>
    </row>
    <row r="2597" spans="4:4">
      <c r="D2597" s="65"/>
    </row>
    <row r="2598" spans="4:4">
      <c r="D2598" s="65"/>
    </row>
    <row r="2599" spans="4:4">
      <c r="D2599" s="65"/>
    </row>
    <row r="2600" spans="4:4">
      <c r="D2600" s="65"/>
    </row>
    <row r="2601" spans="4:4">
      <c r="D2601" s="65"/>
    </row>
    <row r="2602" spans="4:4">
      <c r="D2602" s="65"/>
    </row>
    <row r="2603" spans="4:4">
      <c r="D2603" s="65"/>
    </row>
    <row r="2604" spans="4:4">
      <c r="D2604" s="65"/>
    </row>
    <row r="2605" spans="4:4">
      <c r="D2605" s="65"/>
    </row>
    <row r="2606" spans="4:4">
      <c r="D2606" s="65"/>
    </row>
    <row r="2607" spans="4:4">
      <c r="D2607" s="65"/>
    </row>
    <row r="2608" spans="4:4">
      <c r="D2608" s="65"/>
    </row>
    <row r="2609" spans="4:4">
      <c r="D2609" s="65"/>
    </row>
    <row r="2610" spans="4:4">
      <c r="D2610" s="65"/>
    </row>
    <row r="2611" spans="4:4">
      <c r="D2611" s="65"/>
    </row>
    <row r="2612" spans="4:4">
      <c r="D2612" s="65"/>
    </row>
    <row r="2613" spans="4:4">
      <c r="D2613" s="65"/>
    </row>
    <row r="2614" spans="4:4">
      <c r="D2614" s="65"/>
    </row>
    <row r="2615" spans="4:4">
      <c r="D2615" s="65"/>
    </row>
    <row r="2616" spans="4:4">
      <c r="D2616" s="65"/>
    </row>
    <row r="2617" spans="4:4">
      <c r="D2617" s="65"/>
    </row>
    <row r="2618" spans="4:4">
      <c r="D2618" s="65"/>
    </row>
    <row r="2619" spans="4:4">
      <c r="D2619" s="65"/>
    </row>
    <row r="2620" spans="4:4">
      <c r="D2620" s="65"/>
    </row>
    <row r="2621" spans="4:4">
      <c r="D2621" s="65"/>
    </row>
    <row r="2622" spans="4:4">
      <c r="D2622" s="65"/>
    </row>
    <row r="2623" spans="4:4">
      <c r="D2623" s="65"/>
    </row>
    <row r="2624" spans="4:4">
      <c r="D2624" s="65"/>
    </row>
    <row r="2625" spans="4:4">
      <c r="D2625" s="65"/>
    </row>
    <row r="2626" spans="4:4">
      <c r="D2626" s="65"/>
    </row>
    <row r="2627" spans="4:4">
      <c r="D2627" s="65"/>
    </row>
    <row r="2628" spans="4:4">
      <c r="D2628" s="65"/>
    </row>
    <row r="2629" spans="4:4">
      <c r="D2629" s="65"/>
    </row>
    <row r="2630" spans="4:4">
      <c r="D2630" s="65"/>
    </row>
    <row r="2631" spans="4:4">
      <c r="D2631" s="65"/>
    </row>
    <row r="2632" spans="4:4">
      <c r="D2632" s="65"/>
    </row>
    <row r="2633" spans="4:4">
      <c r="D2633" s="65"/>
    </row>
    <row r="2634" spans="4:4">
      <c r="D2634" s="65"/>
    </row>
    <row r="2635" spans="4:4">
      <c r="D2635" s="65"/>
    </row>
    <row r="2636" spans="4:4">
      <c r="D2636" s="65"/>
    </row>
    <row r="2637" spans="4:4">
      <c r="D2637" s="65"/>
    </row>
    <row r="2638" spans="4:4">
      <c r="D2638" s="65"/>
    </row>
    <row r="2639" spans="4:4">
      <c r="D2639" s="65"/>
    </row>
    <row r="2640" spans="4:4">
      <c r="D2640" s="65"/>
    </row>
    <row r="2641" spans="4:4">
      <c r="D2641" s="65"/>
    </row>
    <row r="2642" spans="4:4">
      <c r="D2642" s="65"/>
    </row>
    <row r="2643" spans="4:4">
      <c r="D2643" s="65"/>
    </row>
    <row r="2644" spans="4:4">
      <c r="D2644" s="65"/>
    </row>
    <row r="2645" spans="4:4">
      <c r="D2645" s="65"/>
    </row>
    <row r="2646" spans="4:4">
      <c r="D2646" s="65"/>
    </row>
    <row r="2647" spans="4:4">
      <c r="D2647" s="65"/>
    </row>
    <row r="2648" spans="4:4">
      <c r="D2648" s="65"/>
    </row>
    <row r="2649" spans="4:4">
      <c r="D2649" s="65"/>
    </row>
    <row r="2650" spans="4:4">
      <c r="D2650" s="65"/>
    </row>
    <row r="2651" spans="4:4">
      <c r="D2651" s="65"/>
    </row>
    <row r="2652" spans="4:4">
      <c r="D2652" s="65"/>
    </row>
    <row r="2653" spans="4:4">
      <c r="D2653" s="65"/>
    </row>
    <row r="2654" spans="4:4">
      <c r="D2654" s="65"/>
    </row>
    <row r="2655" spans="4:4">
      <c r="D2655" s="65"/>
    </row>
    <row r="2656" spans="4:4">
      <c r="D2656" s="65"/>
    </row>
    <row r="2657" spans="4:4">
      <c r="D2657" s="65"/>
    </row>
    <row r="2658" spans="4:4">
      <c r="D2658" s="65"/>
    </row>
    <row r="2659" spans="4:4">
      <c r="D2659" s="65"/>
    </row>
    <row r="2660" spans="4:4">
      <c r="D2660" s="65"/>
    </row>
    <row r="2661" spans="4:4">
      <c r="D2661" s="65"/>
    </row>
    <row r="2662" spans="4:4">
      <c r="D2662" s="65"/>
    </row>
    <row r="2663" spans="4:4">
      <c r="D2663" s="65"/>
    </row>
    <row r="2664" spans="4:4">
      <c r="D2664" s="65"/>
    </row>
    <row r="2665" spans="4:4">
      <c r="D2665" s="65"/>
    </row>
    <row r="2666" spans="4:4">
      <c r="D2666" s="65"/>
    </row>
    <row r="2667" spans="4:4">
      <c r="D2667" s="65"/>
    </row>
    <row r="2668" spans="4:4">
      <c r="D2668" s="65"/>
    </row>
    <row r="2669" spans="4:4">
      <c r="D2669" s="65"/>
    </row>
    <row r="2670" spans="4:4">
      <c r="D2670" s="65"/>
    </row>
    <row r="2671" spans="4:4">
      <c r="D2671" s="65"/>
    </row>
    <row r="2672" spans="4:4">
      <c r="D2672" s="65"/>
    </row>
    <row r="2673" spans="4:4">
      <c r="D2673" s="65"/>
    </row>
    <row r="2674" spans="4:4">
      <c r="D2674" s="65"/>
    </row>
    <row r="2675" spans="4:4">
      <c r="D2675" s="65"/>
    </row>
    <row r="2676" spans="4:4">
      <c r="D2676" s="65"/>
    </row>
    <row r="2677" spans="4:4">
      <c r="D2677" s="65"/>
    </row>
    <row r="2678" spans="4:4">
      <c r="D2678" s="65"/>
    </row>
    <row r="2679" spans="4:4">
      <c r="D2679" s="65"/>
    </row>
    <row r="2680" spans="4:4">
      <c r="D2680" s="65"/>
    </row>
    <row r="2681" spans="4:4">
      <c r="D2681" s="65"/>
    </row>
    <row r="2682" spans="4:4">
      <c r="D2682" s="65"/>
    </row>
    <row r="2683" spans="4:4">
      <c r="D2683" s="65"/>
    </row>
    <row r="2684" spans="4:4">
      <c r="D2684" s="65"/>
    </row>
    <row r="2685" spans="4:4">
      <c r="D2685" s="65"/>
    </row>
    <row r="2686" spans="4:4">
      <c r="D2686" s="65"/>
    </row>
    <row r="2687" spans="4:4">
      <c r="D2687" s="65"/>
    </row>
    <row r="2688" spans="4:4">
      <c r="D2688" s="65"/>
    </row>
    <row r="2689" spans="4:4">
      <c r="D2689" s="65"/>
    </row>
    <row r="2690" spans="4:4">
      <c r="D2690" s="65"/>
    </row>
    <row r="2691" spans="4:4">
      <c r="D2691" s="65"/>
    </row>
    <row r="2692" spans="4:4">
      <c r="D2692" s="65"/>
    </row>
    <row r="2693" spans="4:4">
      <c r="D2693" s="65"/>
    </row>
    <row r="2694" spans="4:4">
      <c r="D2694" s="65"/>
    </row>
    <row r="2695" spans="4:4">
      <c r="D2695" s="65"/>
    </row>
    <row r="2696" spans="4:4">
      <c r="D2696" s="65"/>
    </row>
    <row r="2697" spans="4:4">
      <c r="D2697" s="65"/>
    </row>
    <row r="2698" spans="4:4">
      <c r="D2698" s="65"/>
    </row>
    <row r="2699" spans="4:4">
      <c r="D2699" s="65"/>
    </row>
    <row r="2700" spans="4:4">
      <c r="D2700" s="65"/>
    </row>
    <row r="2701" spans="4:4">
      <c r="D2701" s="65"/>
    </row>
    <row r="2702" spans="4:4">
      <c r="D2702" s="65"/>
    </row>
    <row r="2703" spans="4:4">
      <c r="D2703" s="65"/>
    </row>
    <row r="2704" spans="4:4">
      <c r="D2704" s="65"/>
    </row>
    <row r="2705" spans="4:4">
      <c r="D2705" s="65"/>
    </row>
    <row r="2706" spans="4:4">
      <c r="D2706" s="65"/>
    </row>
    <row r="2707" spans="4:4">
      <c r="D2707" s="65"/>
    </row>
    <row r="2708" spans="4:4">
      <c r="D2708" s="65"/>
    </row>
    <row r="2709" spans="4:4">
      <c r="D2709" s="65"/>
    </row>
    <row r="2710" spans="4:4">
      <c r="D2710" s="65"/>
    </row>
    <row r="2711" spans="4:4">
      <c r="D2711" s="65"/>
    </row>
    <row r="2712" spans="4:4">
      <c r="D2712" s="65"/>
    </row>
    <row r="2713" spans="4:4">
      <c r="D2713" s="65"/>
    </row>
    <row r="2714" spans="4:4">
      <c r="D2714" s="65"/>
    </row>
    <row r="2715" spans="4:4">
      <c r="D2715" s="65"/>
    </row>
    <row r="2716" spans="4:4">
      <c r="D2716" s="65"/>
    </row>
    <row r="2717" spans="4:4">
      <c r="D2717" s="65"/>
    </row>
    <row r="2718" spans="4:4">
      <c r="D2718" s="65"/>
    </row>
    <row r="2719" spans="4:4">
      <c r="D2719" s="65"/>
    </row>
    <row r="2720" spans="4:4">
      <c r="D2720" s="65"/>
    </row>
    <row r="2721" spans="4:4">
      <c r="D2721" s="65"/>
    </row>
    <row r="2722" spans="4:4">
      <c r="D2722" s="65"/>
    </row>
    <row r="2723" spans="4:4">
      <c r="D2723" s="65"/>
    </row>
    <row r="2724" spans="4:4">
      <c r="D2724" s="65"/>
    </row>
    <row r="2725" spans="4:4">
      <c r="D2725" s="65"/>
    </row>
    <row r="2726" spans="4:4">
      <c r="D2726" s="65"/>
    </row>
    <row r="2727" spans="4:4">
      <c r="D2727" s="65"/>
    </row>
    <row r="2728" spans="4:4">
      <c r="D2728" s="65"/>
    </row>
    <row r="2729" spans="4:4">
      <c r="D2729" s="65"/>
    </row>
    <row r="2730" spans="4:4">
      <c r="D2730" s="65"/>
    </row>
    <row r="2731" spans="4:4">
      <c r="D2731" s="65"/>
    </row>
    <row r="2732" spans="4:4">
      <c r="D2732" s="65"/>
    </row>
    <row r="2733" spans="4:4">
      <c r="D2733" s="65"/>
    </row>
    <row r="2734" spans="4:4">
      <c r="D2734" s="65"/>
    </row>
    <row r="2735" spans="4:4">
      <c r="D2735" s="65"/>
    </row>
    <row r="2736" spans="4:4">
      <c r="D2736" s="65"/>
    </row>
    <row r="2737" spans="4:4">
      <c r="D2737" s="65"/>
    </row>
    <row r="2738" spans="4:4">
      <c r="D2738" s="65"/>
    </row>
    <row r="2739" spans="4:4">
      <c r="D2739" s="65"/>
    </row>
    <row r="2740" spans="4:4">
      <c r="D2740" s="65"/>
    </row>
    <row r="2741" spans="4:4">
      <c r="D2741" s="65"/>
    </row>
    <row r="2742" spans="4:4">
      <c r="D2742" s="65"/>
    </row>
    <row r="2743" spans="4:4">
      <c r="D2743" s="65"/>
    </row>
    <row r="2744" spans="4:4">
      <c r="D2744" s="65"/>
    </row>
    <row r="2745" spans="4:4">
      <c r="D2745" s="65"/>
    </row>
    <row r="2746" spans="4:4">
      <c r="D2746" s="65"/>
    </row>
    <row r="2747" spans="4:4">
      <c r="D2747" s="65"/>
    </row>
    <row r="2748" spans="4:4">
      <c r="D2748" s="65"/>
    </row>
    <row r="2749" spans="4:4">
      <c r="D2749" s="65"/>
    </row>
    <row r="2750" spans="4:4">
      <c r="D2750" s="65"/>
    </row>
    <row r="2751" spans="4:4">
      <c r="D2751" s="65"/>
    </row>
    <row r="2752" spans="4:4">
      <c r="D2752" s="65"/>
    </row>
    <row r="2753" spans="4:4">
      <c r="D2753" s="65"/>
    </row>
    <row r="2754" spans="4:4">
      <c r="D2754" s="65"/>
    </row>
    <row r="2755" spans="4:4">
      <c r="D2755" s="65"/>
    </row>
    <row r="2756" spans="4:4">
      <c r="D2756" s="65"/>
    </row>
    <row r="2757" spans="4:4">
      <c r="D2757" s="65"/>
    </row>
    <row r="2758" spans="4:4">
      <c r="D2758" s="65"/>
    </row>
    <row r="2759" spans="4:4">
      <c r="D2759" s="65"/>
    </row>
    <row r="2760" spans="4:4">
      <c r="D2760" s="65"/>
    </row>
    <row r="2761" spans="4:4">
      <c r="D2761" s="65"/>
    </row>
    <row r="2762" spans="4:4">
      <c r="D2762" s="65"/>
    </row>
    <row r="2763" spans="4:4">
      <c r="D2763" s="65"/>
    </row>
    <row r="2764" spans="4:4">
      <c r="D2764" s="65"/>
    </row>
    <row r="2765" spans="4:4">
      <c r="D2765" s="65"/>
    </row>
    <row r="2766" spans="4:4">
      <c r="D2766" s="65"/>
    </row>
    <row r="2767" spans="4:4">
      <c r="D2767" s="65"/>
    </row>
    <row r="2768" spans="4:4">
      <c r="D2768" s="65"/>
    </row>
    <row r="2769" spans="4:4">
      <c r="D2769" s="65"/>
    </row>
    <row r="2770" spans="4:4">
      <c r="D2770" s="65"/>
    </row>
    <row r="2771" spans="4:4">
      <c r="D2771" s="65"/>
    </row>
    <row r="2772" spans="4:4">
      <c r="D2772" s="65"/>
    </row>
    <row r="2773" spans="4:4">
      <c r="D2773" s="65"/>
    </row>
    <row r="2774" spans="4:4">
      <c r="D2774" s="65"/>
    </row>
    <row r="2775" spans="4:4">
      <c r="D2775" s="65"/>
    </row>
    <row r="2776" spans="4:4">
      <c r="D2776" s="65"/>
    </row>
    <row r="2777" spans="4:4">
      <c r="D2777" s="65"/>
    </row>
    <row r="2778" spans="4:4">
      <c r="D2778" s="65"/>
    </row>
    <row r="2779" spans="4:4">
      <c r="D2779" s="65"/>
    </row>
    <row r="2780" spans="4:4">
      <c r="D2780" s="65"/>
    </row>
    <row r="2781" spans="4:4">
      <c r="D2781" s="65"/>
    </row>
    <row r="2782" spans="4:4">
      <c r="D2782" s="65"/>
    </row>
    <row r="2783" spans="4:4">
      <c r="D2783" s="65"/>
    </row>
    <row r="2784" spans="4:4">
      <c r="D2784" s="65"/>
    </row>
    <row r="2785" spans="4:4">
      <c r="D2785" s="65"/>
    </row>
    <row r="2786" spans="4:4">
      <c r="D2786" s="65"/>
    </row>
    <row r="2787" spans="4:4">
      <c r="D2787" s="65"/>
    </row>
    <row r="2788" spans="4:4">
      <c r="D2788" s="65"/>
    </row>
    <row r="2789" spans="4:4">
      <c r="D2789" s="65"/>
    </row>
    <row r="2790" spans="4:4">
      <c r="D2790" s="65"/>
    </row>
    <row r="2791" spans="4:4">
      <c r="D2791" s="65"/>
    </row>
    <row r="2792" spans="4:4">
      <c r="D2792" s="65"/>
    </row>
    <row r="2793" spans="4:4">
      <c r="D2793" s="65"/>
    </row>
    <row r="2794" spans="4:4">
      <c r="D2794" s="65"/>
    </row>
    <row r="2795" spans="4:4">
      <c r="D2795" s="65"/>
    </row>
    <row r="2796" spans="4:4">
      <c r="D2796" s="65"/>
    </row>
    <row r="2797" spans="4:4">
      <c r="D2797" s="65"/>
    </row>
    <row r="2798" spans="4:4">
      <c r="D2798" s="65"/>
    </row>
    <row r="2799" spans="4:4">
      <c r="D2799" s="65"/>
    </row>
    <row r="2800" spans="4:4">
      <c r="D2800" s="65"/>
    </row>
    <row r="2801" spans="4:4">
      <c r="D2801" s="65"/>
    </row>
    <row r="2802" spans="4:4">
      <c r="D2802" s="65"/>
    </row>
    <row r="2803" spans="4:4">
      <c r="D2803" s="65"/>
    </row>
    <row r="2804" spans="4:4">
      <c r="D2804" s="65"/>
    </row>
    <row r="2805" spans="4:4">
      <c r="D2805" s="65"/>
    </row>
    <row r="2806" spans="4:4">
      <c r="D2806" s="65"/>
    </row>
    <row r="2807" spans="4:4">
      <c r="D2807" s="65"/>
    </row>
    <row r="2808" spans="4:4">
      <c r="D2808" s="65"/>
    </row>
    <row r="2809" spans="4:4">
      <c r="D2809" s="65"/>
    </row>
    <row r="2810" spans="4:4">
      <c r="D2810" s="65"/>
    </row>
    <row r="2811" spans="4:4">
      <c r="D2811" s="65"/>
    </row>
    <row r="2812" spans="4:4">
      <c r="D2812" s="65"/>
    </row>
    <row r="2813" spans="4:4">
      <c r="D2813" s="65"/>
    </row>
    <row r="2814" spans="4:4">
      <c r="D2814" s="65"/>
    </row>
    <row r="2815" spans="4:4">
      <c r="D2815" s="65"/>
    </row>
    <row r="2816" spans="4:4">
      <c r="D2816" s="65"/>
    </row>
    <row r="2817" spans="4:4">
      <c r="D2817" s="65"/>
    </row>
    <row r="2818" spans="4:4">
      <c r="D2818" s="65"/>
    </row>
    <row r="2819" spans="4:4">
      <c r="D2819" s="65"/>
    </row>
    <row r="2820" spans="4:4">
      <c r="D2820" s="65"/>
    </row>
    <row r="2821" spans="4:4">
      <c r="D2821" s="65"/>
    </row>
    <row r="2822" spans="4:4">
      <c r="D2822" s="65"/>
    </row>
    <row r="2823" spans="4:4">
      <c r="D2823" s="65"/>
    </row>
    <row r="2824" spans="4:4">
      <c r="D2824" s="65"/>
    </row>
    <row r="2825" spans="4:4">
      <c r="D2825" s="65"/>
    </row>
    <row r="2826" spans="4:4">
      <c r="D2826" s="65"/>
    </row>
    <row r="2827" spans="4:4">
      <c r="D2827" s="65"/>
    </row>
    <row r="2828" spans="4:4">
      <c r="D2828" s="65"/>
    </row>
    <row r="2829" spans="4:4">
      <c r="D2829" s="65"/>
    </row>
    <row r="2830" spans="4:4">
      <c r="D2830" s="65"/>
    </row>
    <row r="2831" spans="4:4">
      <c r="D2831" s="65"/>
    </row>
    <row r="2832" spans="4:4">
      <c r="D2832" s="65"/>
    </row>
    <row r="2833" spans="4:4">
      <c r="D2833" s="65"/>
    </row>
    <row r="2834" spans="4:4">
      <c r="D2834" s="65"/>
    </row>
    <row r="2835" spans="4:4">
      <c r="D2835" s="65"/>
    </row>
    <row r="2836" spans="4:4">
      <c r="D2836" s="65"/>
    </row>
    <row r="2837" spans="4:4">
      <c r="D2837" s="65"/>
    </row>
    <row r="2838" spans="4:4">
      <c r="D2838" s="65"/>
    </row>
    <row r="2839" spans="4:4">
      <c r="D2839" s="65"/>
    </row>
    <row r="2840" spans="4:4">
      <c r="D2840" s="65"/>
    </row>
    <row r="2841" spans="4:4">
      <c r="D2841" s="65"/>
    </row>
    <row r="2842" spans="4:4">
      <c r="D2842" s="65"/>
    </row>
    <row r="2843" spans="4:4">
      <c r="D2843" s="65"/>
    </row>
    <row r="2844" spans="4:4">
      <c r="D2844" s="65"/>
    </row>
    <row r="2845" spans="4:4">
      <c r="D2845" s="65"/>
    </row>
    <row r="2846" spans="4:4">
      <c r="D2846" s="65"/>
    </row>
    <row r="2847" spans="4:4">
      <c r="D2847" s="65"/>
    </row>
    <row r="2848" spans="4:4">
      <c r="D2848" s="65"/>
    </row>
    <row r="2849" spans="4:4">
      <c r="D2849" s="65"/>
    </row>
    <row r="2850" spans="4:4">
      <c r="D2850" s="65"/>
    </row>
    <row r="2851" spans="4:4">
      <c r="D2851" s="65"/>
    </row>
    <row r="2852" spans="4:4">
      <c r="D2852" s="65"/>
    </row>
    <row r="2853" spans="4:4">
      <c r="D2853" s="65"/>
    </row>
    <row r="2854" spans="4:4">
      <c r="D2854" s="65"/>
    </row>
    <row r="2855" spans="4:4">
      <c r="D2855" s="65"/>
    </row>
    <row r="2856" spans="4:4">
      <c r="D2856" s="65"/>
    </row>
    <row r="2857" spans="4:4">
      <c r="D2857" s="65"/>
    </row>
    <row r="2858" spans="4:4">
      <c r="D2858" s="65"/>
    </row>
    <row r="2859" spans="4:4">
      <c r="D2859" s="65"/>
    </row>
    <row r="2860" spans="4:4">
      <c r="D2860" s="65"/>
    </row>
    <row r="2861" spans="4:4">
      <c r="D2861" s="65"/>
    </row>
    <row r="2862" spans="4:4">
      <c r="D2862" s="65"/>
    </row>
    <row r="2863" spans="4:4">
      <c r="D2863" s="65"/>
    </row>
    <row r="2864" spans="4:4">
      <c r="D2864" s="65"/>
    </row>
    <row r="2865" spans="4:4">
      <c r="D2865" s="65"/>
    </row>
    <row r="2866" spans="4:4">
      <c r="D2866" s="65"/>
    </row>
    <row r="2867" spans="4:4">
      <c r="D2867" s="65"/>
    </row>
    <row r="2868" spans="4:4">
      <c r="D2868" s="65"/>
    </row>
    <row r="2869" spans="4:4">
      <c r="D2869" s="65"/>
    </row>
    <row r="2870" spans="4:4">
      <c r="D2870" s="65"/>
    </row>
    <row r="2871" spans="4:4">
      <c r="D2871" s="65"/>
    </row>
    <row r="2872" spans="4:4">
      <c r="D2872" s="65"/>
    </row>
    <row r="2873" spans="4:4">
      <c r="D2873" s="65"/>
    </row>
    <row r="2874" spans="4:4">
      <c r="D2874" s="65"/>
    </row>
    <row r="2875" spans="4:4">
      <c r="D2875" s="65"/>
    </row>
    <row r="2876" spans="4:4">
      <c r="D2876" s="65"/>
    </row>
    <row r="2877" spans="4:4">
      <c r="D2877" s="65"/>
    </row>
    <row r="2878" spans="4:4">
      <c r="D2878" s="65"/>
    </row>
    <row r="2879" spans="4:4">
      <c r="D2879" s="65"/>
    </row>
    <row r="2880" spans="4:4">
      <c r="D2880" s="65"/>
    </row>
    <row r="2881" spans="4:4">
      <c r="D2881" s="65"/>
    </row>
    <row r="2882" spans="4:4">
      <c r="D2882" s="65"/>
    </row>
    <row r="2883" spans="4:4">
      <c r="D2883" s="65"/>
    </row>
    <row r="2884" spans="4:4">
      <c r="D2884" s="65"/>
    </row>
    <row r="2885" spans="4:4">
      <c r="D2885" s="65"/>
    </row>
    <row r="2886" spans="4:4">
      <c r="D2886" s="65"/>
    </row>
    <row r="2887" spans="4:4">
      <c r="D2887" s="65"/>
    </row>
    <row r="2888" spans="4:4">
      <c r="D2888" s="65"/>
    </row>
    <row r="2889" spans="4:4">
      <c r="D2889" s="65"/>
    </row>
    <row r="2890" spans="4:4">
      <c r="D2890" s="65"/>
    </row>
    <row r="2891" spans="4:4">
      <c r="D2891" s="65"/>
    </row>
    <row r="2892" spans="4:4">
      <c r="D2892" s="65"/>
    </row>
    <row r="2893" spans="4:4">
      <c r="D2893" s="65"/>
    </row>
    <row r="2894" spans="4:4">
      <c r="D2894" s="65"/>
    </row>
    <row r="2895" spans="4:4">
      <c r="D2895" s="65"/>
    </row>
    <row r="2896" spans="4:4">
      <c r="D2896" s="65"/>
    </row>
    <row r="2897" spans="4:4">
      <c r="D2897" s="65"/>
    </row>
    <row r="2898" spans="4:4">
      <c r="D2898" s="65"/>
    </row>
    <row r="2899" spans="4:4">
      <c r="D2899" s="65"/>
    </row>
    <row r="2900" spans="4:4">
      <c r="D2900" s="65"/>
    </row>
    <row r="2901" spans="4:4">
      <c r="D2901" s="65"/>
    </row>
    <row r="2902" spans="4:4">
      <c r="D2902" s="65"/>
    </row>
    <row r="2903" spans="4:4">
      <c r="D2903" s="65"/>
    </row>
    <row r="2904" spans="4:4">
      <c r="D2904" s="65"/>
    </row>
    <row r="2905" spans="4:4">
      <c r="D2905" s="65"/>
    </row>
    <row r="2906" spans="4:4">
      <c r="D2906" s="65"/>
    </row>
    <row r="2907" spans="4:4">
      <c r="D2907" s="65"/>
    </row>
    <row r="2908" spans="4:4">
      <c r="D2908" s="65"/>
    </row>
    <row r="2909" spans="4:4">
      <c r="D2909" s="65"/>
    </row>
    <row r="2910" spans="4:4">
      <c r="D2910" s="65"/>
    </row>
    <row r="2911" spans="4:4">
      <c r="D2911" s="65"/>
    </row>
    <row r="2912" spans="4:4">
      <c r="D2912" s="65"/>
    </row>
    <row r="2913" spans="4:4">
      <c r="D2913" s="65"/>
    </row>
    <row r="2914" spans="4:4">
      <c r="D2914" s="65"/>
    </row>
    <row r="2915" spans="4:4">
      <c r="D2915" s="65"/>
    </row>
    <row r="2916" spans="4:4">
      <c r="D2916" s="65"/>
    </row>
    <row r="2917" spans="4:4">
      <c r="D2917" s="65"/>
    </row>
    <row r="2918" spans="4:4">
      <c r="D2918" s="65"/>
    </row>
    <row r="2919" spans="4:4">
      <c r="D2919" s="65"/>
    </row>
    <row r="2920" spans="4:4">
      <c r="D2920" s="65"/>
    </row>
    <row r="2921" spans="4:4">
      <c r="D2921" s="65"/>
    </row>
    <row r="2922" spans="4:4">
      <c r="D2922" s="65"/>
    </row>
    <row r="2923" spans="4:4">
      <c r="D2923" s="65"/>
    </row>
    <row r="2924" spans="4:4">
      <c r="D2924" s="65"/>
    </row>
    <row r="2925" spans="4:4">
      <c r="D2925" s="65"/>
    </row>
    <row r="2926" spans="4:4">
      <c r="D2926" s="65"/>
    </row>
    <row r="2927" spans="4:4">
      <c r="D2927" s="65"/>
    </row>
    <row r="2928" spans="4:4">
      <c r="D2928" s="65"/>
    </row>
    <row r="2929" spans="4:4">
      <c r="D2929" s="65"/>
    </row>
    <row r="2930" spans="4:4">
      <c r="D2930" s="65"/>
    </row>
    <row r="2931" spans="4:4">
      <c r="D2931" s="65"/>
    </row>
    <row r="2932" spans="4:4">
      <c r="D2932" s="65"/>
    </row>
    <row r="2933" spans="4:4">
      <c r="D2933" s="65"/>
    </row>
    <row r="2934" spans="4:4">
      <c r="D2934" s="65"/>
    </row>
    <row r="2935" spans="4:4">
      <c r="D2935" s="65"/>
    </row>
    <row r="2936" spans="4:4">
      <c r="D2936" s="65"/>
    </row>
    <row r="2937" spans="4:4">
      <c r="D2937" s="65"/>
    </row>
    <row r="2938" spans="4:4">
      <c r="D2938" s="65"/>
    </row>
    <row r="2939" spans="4:4">
      <c r="D2939" s="65"/>
    </row>
    <row r="2940" spans="4:4">
      <c r="D2940" s="65"/>
    </row>
    <row r="2941" spans="4:4">
      <c r="D2941" s="65"/>
    </row>
    <row r="2942" spans="4:4">
      <c r="D2942" s="65"/>
    </row>
    <row r="2943" spans="4:4">
      <c r="D2943" s="65"/>
    </row>
    <row r="2944" spans="4:4">
      <c r="D2944" s="65"/>
    </row>
    <row r="2945" spans="4:4">
      <c r="D2945" s="65"/>
    </row>
    <row r="2946" spans="4:4">
      <c r="D2946" s="65"/>
    </row>
    <row r="2947" spans="4:4">
      <c r="D2947" s="65"/>
    </row>
    <row r="2948" spans="4:4">
      <c r="D2948" s="65"/>
    </row>
    <row r="2949" spans="4:4">
      <c r="D2949" s="65"/>
    </row>
    <row r="2950" spans="4:4">
      <c r="D2950" s="65"/>
    </row>
    <row r="2951" spans="4:4">
      <c r="D2951" s="65"/>
    </row>
    <row r="2952" spans="4:4">
      <c r="D2952" s="65"/>
    </row>
    <row r="2953" spans="4:4">
      <c r="D2953" s="65"/>
    </row>
    <row r="2954" spans="4:4">
      <c r="D2954" s="65"/>
    </row>
    <row r="2955" spans="4:4">
      <c r="D2955" s="65"/>
    </row>
    <row r="2956" spans="4:4">
      <c r="D2956" s="65"/>
    </row>
    <row r="2957" spans="4:4">
      <c r="D2957" s="65"/>
    </row>
    <row r="2958" spans="4:4">
      <c r="D2958" s="65"/>
    </row>
    <row r="2959" spans="4:4">
      <c r="D2959" s="65"/>
    </row>
    <row r="2960" spans="4:4">
      <c r="D2960" s="65"/>
    </row>
    <row r="2961" spans="4:4">
      <c r="D2961" s="65"/>
    </row>
    <row r="2962" spans="4:4">
      <c r="D2962" s="65"/>
    </row>
    <row r="2963" spans="4:4">
      <c r="D2963" s="65"/>
    </row>
    <row r="2964" spans="4:4">
      <c r="D2964" s="65"/>
    </row>
    <row r="2965" spans="4:4">
      <c r="D2965" s="65"/>
    </row>
    <row r="2966" spans="4:4">
      <c r="D2966" s="65"/>
    </row>
    <row r="2967" spans="4:4">
      <c r="D2967" s="65"/>
    </row>
    <row r="2968" spans="4:4">
      <c r="D2968" s="65"/>
    </row>
    <row r="2969" spans="4:4">
      <c r="D2969" s="65"/>
    </row>
    <row r="2970" spans="4:4">
      <c r="D2970" s="65"/>
    </row>
    <row r="2971" spans="4:4">
      <c r="D2971" s="65"/>
    </row>
    <row r="2972" spans="4:4">
      <c r="D2972" s="65"/>
    </row>
    <row r="2973" spans="4:4">
      <c r="D2973" s="65"/>
    </row>
    <row r="2974" spans="4:4">
      <c r="D2974" s="65"/>
    </row>
    <row r="2975" spans="4:4">
      <c r="D2975" s="65"/>
    </row>
    <row r="2976" spans="4:4">
      <c r="D2976" s="65"/>
    </row>
    <row r="2977" spans="4:4">
      <c r="D2977" s="65"/>
    </row>
    <row r="2978" spans="4:4">
      <c r="D2978" s="65"/>
    </row>
    <row r="2979" spans="4:4">
      <c r="D2979" s="65"/>
    </row>
    <row r="2980" spans="4:4">
      <c r="D2980" s="65"/>
    </row>
    <row r="2981" spans="4:4">
      <c r="D2981" s="65"/>
    </row>
    <row r="2982" spans="4:4">
      <c r="D2982" s="65"/>
    </row>
    <row r="2983" spans="4:4">
      <c r="D2983" s="65"/>
    </row>
    <row r="2984" spans="4:4">
      <c r="D2984" s="65"/>
    </row>
    <row r="2985" spans="4:4">
      <c r="D2985" s="65"/>
    </row>
    <row r="2986" spans="4:4">
      <c r="D2986" s="65"/>
    </row>
    <row r="2987" spans="4:4">
      <c r="D2987" s="65"/>
    </row>
    <row r="2988" spans="4:4">
      <c r="D2988" s="65"/>
    </row>
    <row r="2989" spans="4:4">
      <c r="D2989" s="65"/>
    </row>
    <row r="2990" spans="4:4">
      <c r="D2990" s="65"/>
    </row>
    <row r="2991" spans="4:4">
      <c r="D2991" s="65"/>
    </row>
    <row r="2992" spans="4:4">
      <c r="D2992" s="65"/>
    </row>
    <row r="2993" spans="4:4">
      <c r="D2993" s="65"/>
    </row>
    <row r="2994" spans="4:4">
      <c r="D2994" s="65"/>
    </row>
    <row r="2995" spans="4:4">
      <c r="D2995" s="65"/>
    </row>
    <row r="2996" spans="4:4">
      <c r="D2996" s="65"/>
    </row>
    <row r="2997" spans="4:4">
      <c r="D2997" s="65"/>
    </row>
    <row r="2998" spans="4:4">
      <c r="D2998" s="65"/>
    </row>
    <row r="2999" spans="4:4">
      <c r="D2999" s="65"/>
    </row>
    <row r="3000" spans="4:4">
      <c r="D3000" s="65"/>
    </row>
    <row r="3001" spans="4:4">
      <c r="D3001" s="65"/>
    </row>
    <row r="3002" spans="4:4">
      <c r="D3002" s="65"/>
    </row>
    <row r="3003" spans="4:4">
      <c r="D3003" s="65"/>
    </row>
    <row r="3004" spans="4:4">
      <c r="D3004" s="65"/>
    </row>
    <row r="3005" spans="4:4">
      <c r="D3005" s="65"/>
    </row>
    <row r="3006" spans="4:4">
      <c r="D3006" s="65"/>
    </row>
    <row r="3007" spans="4:4">
      <c r="D3007" s="65"/>
    </row>
    <row r="3008" spans="4:4">
      <c r="D3008" s="65"/>
    </row>
    <row r="3009" spans="4:4">
      <c r="D3009" s="65"/>
    </row>
    <row r="3010" spans="4:4">
      <c r="D3010" s="65"/>
    </row>
    <row r="3011" spans="4:4">
      <c r="D3011" s="65"/>
    </row>
    <row r="3012" spans="4:4">
      <c r="D3012" s="65"/>
    </row>
    <row r="3013" spans="4:4">
      <c r="D3013" s="65"/>
    </row>
    <row r="3014" spans="4:4">
      <c r="D3014" s="65"/>
    </row>
    <row r="3015" spans="4:4">
      <c r="D3015" s="65"/>
    </row>
    <row r="3016" spans="4:4">
      <c r="D3016" s="65"/>
    </row>
    <row r="3017" spans="4:4">
      <c r="D3017" s="65"/>
    </row>
    <row r="3018" spans="4:4">
      <c r="D3018" s="65"/>
    </row>
    <row r="3019" spans="4:4">
      <c r="D3019" s="65"/>
    </row>
    <row r="3020" spans="4:4">
      <c r="D3020" s="65"/>
    </row>
    <row r="3021" spans="4:4">
      <c r="D3021" s="65"/>
    </row>
    <row r="3022" spans="4:4">
      <c r="D3022" s="65"/>
    </row>
    <row r="3023" spans="4:4">
      <c r="D3023" s="65"/>
    </row>
    <row r="3024" spans="4:4">
      <c r="D3024" s="65"/>
    </row>
    <row r="3025" spans="4:4">
      <c r="D3025" s="65"/>
    </row>
    <row r="3026" spans="4:4">
      <c r="D3026" s="65"/>
    </row>
    <row r="3027" spans="4:4">
      <c r="D3027" s="65"/>
    </row>
    <row r="3028" spans="4:4">
      <c r="D3028" s="65"/>
    </row>
    <row r="3029" spans="4:4">
      <c r="D3029" s="65"/>
    </row>
    <row r="3030" spans="4:4">
      <c r="D3030" s="65"/>
    </row>
    <row r="3031" spans="4:4">
      <c r="D3031" s="65"/>
    </row>
    <row r="3032" spans="4:4">
      <c r="D3032" s="65"/>
    </row>
    <row r="3033" spans="4:4">
      <c r="D3033" s="65"/>
    </row>
    <row r="3034" spans="4:4">
      <c r="D3034" s="65"/>
    </row>
    <row r="3035" spans="4:4">
      <c r="D3035" s="65"/>
    </row>
    <row r="3036" spans="4:4">
      <c r="D3036" s="65"/>
    </row>
    <row r="3037" spans="4:4">
      <c r="D3037" s="65"/>
    </row>
    <row r="3038" spans="4:4">
      <c r="D3038" s="65"/>
    </row>
    <row r="3039" spans="4:4">
      <c r="D3039" s="65"/>
    </row>
    <row r="3040" spans="4:4">
      <c r="D3040" s="65"/>
    </row>
    <row r="3041" spans="4:4">
      <c r="D3041" s="65"/>
    </row>
    <row r="3042" spans="4:4">
      <c r="D3042" s="65"/>
    </row>
    <row r="3043" spans="4:4">
      <c r="D3043" s="65"/>
    </row>
    <row r="3044" spans="4:4">
      <c r="D3044" s="65"/>
    </row>
    <row r="3045" spans="4:4">
      <c r="D3045" s="65"/>
    </row>
    <row r="3046" spans="4:4">
      <c r="D3046" s="65"/>
    </row>
    <row r="3047" spans="4:4">
      <c r="D3047" s="65"/>
    </row>
    <row r="3048" spans="4:4">
      <c r="D3048" s="65"/>
    </row>
    <row r="3049" spans="4:4">
      <c r="D3049" s="65"/>
    </row>
    <row r="3050" spans="4:4">
      <c r="D3050" s="65"/>
    </row>
    <row r="3051" spans="4:4">
      <c r="D3051" s="65"/>
    </row>
    <row r="3052" spans="4:4">
      <c r="D3052" s="65"/>
    </row>
    <row r="3053" spans="4:4">
      <c r="D3053" s="65"/>
    </row>
    <row r="3054" spans="4:4">
      <c r="D3054" s="65"/>
    </row>
    <row r="3055" spans="4:4">
      <c r="D3055" s="65"/>
    </row>
    <row r="3056" spans="4:4">
      <c r="D3056" s="65"/>
    </row>
    <row r="3057" spans="4:4">
      <c r="D3057" s="65"/>
    </row>
    <row r="3058" spans="4:4">
      <c r="D3058" s="65"/>
    </row>
    <row r="3059" spans="4:4">
      <c r="D3059" s="65"/>
    </row>
    <row r="3060" spans="4:4">
      <c r="D3060" s="65"/>
    </row>
    <row r="3061" spans="4:4">
      <c r="D3061" s="65"/>
    </row>
    <row r="3062" spans="4:4">
      <c r="D3062" s="65"/>
    </row>
    <row r="3063" spans="4:4">
      <c r="D3063" s="65"/>
    </row>
    <row r="3064" spans="4:4">
      <c r="D3064" s="65"/>
    </row>
    <row r="3065" spans="4:4">
      <c r="D3065" s="65"/>
    </row>
    <row r="3066" spans="4:4">
      <c r="D3066" s="65"/>
    </row>
    <row r="3067" spans="4:4">
      <c r="D3067" s="65"/>
    </row>
    <row r="3068" spans="4:4">
      <c r="D3068" s="65"/>
    </row>
    <row r="3069" spans="4:4">
      <c r="D3069" s="65"/>
    </row>
    <row r="3070" spans="4:4">
      <c r="D3070" s="65"/>
    </row>
    <row r="3071" spans="4:4">
      <c r="D3071" s="65"/>
    </row>
    <row r="3072" spans="4:4">
      <c r="D3072" s="65"/>
    </row>
    <row r="3073" spans="4:4">
      <c r="D3073" s="65"/>
    </row>
    <row r="3074" spans="4:4">
      <c r="D3074" s="65"/>
    </row>
    <row r="3075" spans="4:4">
      <c r="D3075" s="65"/>
    </row>
    <row r="3076" spans="4:4">
      <c r="D3076" s="65"/>
    </row>
    <row r="3077" spans="4:4">
      <c r="D3077" s="65"/>
    </row>
    <row r="3078" spans="4:4">
      <c r="D3078" s="65"/>
    </row>
    <row r="3079" spans="4:4">
      <c r="D3079" s="65"/>
    </row>
    <row r="3080" spans="4:4">
      <c r="D3080" s="65"/>
    </row>
    <row r="3081" spans="4:4">
      <c r="D3081" s="65"/>
    </row>
    <row r="3082" spans="4:4">
      <c r="D3082" s="65"/>
    </row>
    <row r="3083" spans="4:4">
      <c r="D3083" s="65"/>
    </row>
    <row r="3084" spans="4:4">
      <c r="D3084" s="65"/>
    </row>
    <row r="3085" spans="4:4">
      <c r="D3085" s="65"/>
    </row>
    <row r="3086" spans="4:4">
      <c r="D3086" s="65"/>
    </row>
    <row r="3087" spans="4:4">
      <c r="D3087" s="65"/>
    </row>
    <row r="3088" spans="4:4">
      <c r="D3088" s="65"/>
    </row>
    <row r="3089" spans="4:4">
      <c r="D3089" s="65"/>
    </row>
    <row r="3090" spans="4:4">
      <c r="D3090" s="65"/>
    </row>
    <row r="3091" spans="4:4">
      <c r="D3091" s="65"/>
    </row>
    <row r="3092" spans="4:4">
      <c r="D3092" s="65"/>
    </row>
    <row r="3093" spans="4:4">
      <c r="D3093" s="65"/>
    </row>
    <row r="3094" spans="4:4">
      <c r="D3094" s="65"/>
    </row>
    <row r="3095" spans="4:4">
      <c r="D3095" s="65"/>
    </row>
    <row r="3096" spans="4:4">
      <c r="D3096" s="65"/>
    </row>
    <row r="3097" spans="4:4">
      <c r="D3097" s="65"/>
    </row>
    <row r="3098" spans="4:4">
      <c r="D3098" s="65"/>
    </row>
    <row r="3099" spans="4:4">
      <c r="D3099" s="65"/>
    </row>
    <row r="3100" spans="4:4">
      <c r="D3100" s="65"/>
    </row>
    <row r="3101" spans="4:4">
      <c r="D3101" s="65"/>
    </row>
    <row r="3102" spans="4:4">
      <c r="D3102" s="65"/>
    </row>
    <row r="3103" spans="4:4">
      <c r="D3103" s="65"/>
    </row>
    <row r="3104" spans="4:4">
      <c r="D3104" s="65"/>
    </row>
    <row r="3105" spans="4:4">
      <c r="D3105" s="65"/>
    </row>
    <row r="3106" spans="4:4">
      <c r="D3106" s="65"/>
    </row>
    <row r="3107" spans="4:4">
      <c r="D3107" s="65"/>
    </row>
    <row r="3108" spans="4:4">
      <c r="D3108" s="65"/>
    </row>
    <row r="3109" spans="4:4">
      <c r="D3109" s="65"/>
    </row>
    <row r="3110" spans="4:4">
      <c r="D3110" s="65"/>
    </row>
    <row r="3111" spans="4:4">
      <c r="D3111" s="65"/>
    </row>
    <row r="3112" spans="4:4">
      <c r="D3112" s="65"/>
    </row>
    <row r="3113" spans="4:4">
      <c r="D3113" s="65"/>
    </row>
    <row r="3114" spans="4:4">
      <c r="D3114" s="65"/>
    </row>
    <row r="3115" spans="4:4">
      <c r="D3115" s="65"/>
    </row>
    <row r="3116" spans="4:4">
      <c r="D3116" s="65"/>
    </row>
    <row r="3117" spans="4:4">
      <c r="D3117" s="65"/>
    </row>
    <row r="3118" spans="4:4">
      <c r="D3118" s="65"/>
    </row>
    <row r="3119" spans="4:4">
      <c r="D3119" s="65"/>
    </row>
    <row r="3120" spans="4:4">
      <c r="D3120" s="65"/>
    </row>
    <row r="3121" spans="4:4">
      <c r="D3121" s="65"/>
    </row>
    <row r="3122" spans="4:4">
      <c r="D3122" s="65"/>
    </row>
    <row r="3123" spans="4:4">
      <c r="D3123" s="65"/>
    </row>
    <row r="3124" spans="4:4">
      <c r="D3124" s="65"/>
    </row>
    <row r="3125" spans="4:4">
      <c r="D3125" s="65"/>
    </row>
    <row r="3126" spans="4:4">
      <c r="D3126" s="65"/>
    </row>
    <row r="3127" spans="4:4">
      <c r="D3127" s="65"/>
    </row>
    <row r="3128" spans="4:4">
      <c r="D3128" s="65"/>
    </row>
    <row r="3129" spans="4:4">
      <c r="D3129" s="65"/>
    </row>
    <row r="3130" spans="4:4">
      <c r="D3130" s="65"/>
    </row>
    <row r="3131" spans="4:4">
      <c r="D3131" s="65"/>
    </row>
    <row r="3132" spans="4:4">
      <c r="D3132" s="65"/>
    </row>
    <row r="3133" spans="4:4">
      <c r="D3133" s="65"/>
    </row>
    <row r="3134" spans="4:4">
      <c r="D3134" s="65"/>
    </row>
    <row r="3135" spans="4:4">
      <c r="D3135" s="65"/>
    </row>
    <row r="3136" spans="4:4">
      <c r="D3136" s="65"/>
    </row>
    <row r="3137" spans="4:4">
      <c r="D3137" s="65"/>
    </row>
    <row r="3138" spans="4:4">
      <c r="D3138" s="65"/>
    </row>
    <row r="3139" spans="4:4">
      <c r="D3139" s="65"/>
    </row>
    <row r="3140" spans="4:4">
      <c r="D3140" s="65"/>
    </row>
    <row r="3141" spans="4:4">
      <c r="D3141" s="65"/>
    </row>
    <row r="3142" spans="4:4">
      <c r="D3142" s="65"/>
    </row>
    <row r="3143" spans="4:4">
      <c r="D3143" s="65"/>
    </row>
    <row r="3144" spans="4:4">
      <c r="D3144" s="65"/>
    </row>
    <row r="3145" spans="4:4">
      <c r="D3145" s="65"/>
    </row>
    <row r="3146" spans="4:4">
      <c r="D3146" s="65"/>
    </row>
    <row r="3147" spans="4:4">
      <c r="D3147" s="65"/>
    </row>
    <row r="3148" spans="4:4">
      <c r="D3148" s="65"/>
    </row>
    <row r="3149" spans="4:4">
      <c r="D3149" s="65"/>
    </row>
    <row r="3150" spans="4:4">
      <c r="D3150" s="65"/>
    </row>
    <row r="3151" spans="4:4">
      <c r="D3151" s="65"/>
    </row>
    <row r="3152" spans="4:4">
      <c r="D3152" s="65"/>
    </row>
    <row r="3153" spans="4:4">
      <c r="D3153" s="65"/>
    </row>
    <row r="3154" spans="4:4">
      <c r="D3154" s="65"/>
    </row>
    <row r="3155" spans="4:4">
      <c r="D3155" s="65"/>
    </row>
    <row r="3156" spans="4:4">
      <c r="D3156" s="65"/>
    </row>
    <row r="3157" spans="4:4">
      <c r="D3157" s="65"/>
    </row>
    <row r="3158" spans="4:4">
      <c r="D3158" s="65"/>
    </row>
    <row r="3159" spans="4:4">
      <c r="D3159" s="65"/>
    </row>
    <row r="3160" spans="4:4">
      <c r="D3160" s="65"/>
    </row>
    <row r="3161" spans="4:4">
      <c r="D3161" s="65"/>
    </row>
    <row r="3162" spans="4:4">
      <c r="D3162" s="65"/>
    </row>
    <row r="3163" spans="4:4">
      <c r="D3163" s="65"/>
    </row>
    <row r="3164" spans="4:4">
      <c r="D3164" s="65"/>
    </row>
    <row r="3165" spans="4:4">
      <c r="D3165" s="65"/>
    </row>
    <row r="3166" spans="4:4">
      <c r="D3166" s="65"/>
    </row>
    <row r="3167" spans="4:4">
      <c r="D3167" s="65"/>
    </row>
    <row r="3168" spans="4:4">
      <c r="D3168" s="65"/>
    </row>
    <row r="3169" spans="4:4">
      <c r="D3169" s="65"/>
    </row>
    <row r="3170" spans="4:4">
      <c r="D3170" s="65"/>
    </row>
    <row r="3171" spans="4:4">
      <c r="D3171" s="65"/>
    </row>
    <row r="3172" spans="4:4">
      <c r="D3172" s="65"/>
    </row>
    <row r="3173" spans="4:4">
      <c r="D3173" s="65"/>
    </row>
    <row r="3174" spans="4:4">
      <c r="D3174" s="65"/>
    </row>
    <row r="3175" spans="4:4">
      <c r="D3175" s="65"/>
    </row>
    <row r="3176" spans="4:4">
      <c r="D3176" s="65"/>
    </row>
    <row r="3177" spans="4:4">
      <c r="D3177" s="65"/>
    </row>
    <row r="3178" spans="4:4">
      <c r="D3178" s="65"/>
    </row>
    <row r="3179" spans="4:4">
      <c r="D3179" s="65"/>
    </row>
    <row r="3180" spans="4:4">
      <c r="D3180" s="65"/>
    </row>
    <row r="3181" spans="4:4">
      <c r="D3181" s="65"/>
    </row>
    <row r="3182" spans="4:4">
      <c r="D3182" s="65"/>
    </row>
    <row r="3183" spans="4:4">
      <c r="D3183" s="65"/>
    </row>
    <row r="3184" spans="4:4">
      <c r="D3184" s="65"/>
    </row>
    <row r="3185" spans="4:4">
      <c r="D3185" s="65"/>
    </row>
    <row r="3186" spans="4:4">
      <c r="D3186" s="65"/>
    </row>
    <row r="3187" spans="4:4">
      <c r="D3187" s="65"/>
    </row>
    <row r="3188" spans="4:4">
      <c r="D3188" s="65"/>
    </row>
    <row r="3189" spans="4:4">
      <c r="D3189" s="65"/>
    </row>
    <row r="3190" spans="4:4">
      <c r="D3190" s="65"/>
    </row>
    <row r="3191" spans="4:4">
      <c r="D3191" s="65"/>
    </row>
    <row r="3192" spans="4:4">
      <c r="D3192" s="65"/>
    </row>
    <row r="3193" spans="4:4">
      <c r="D3193" s="65"/>
    </row>
    <row r="3194" spans="4:4">
      <c r="D3194" s="65"/>
    </row>
    <row r="3195" spans="4:4">
      <c r="D3195" s="65"/>
    </row>
    <row r="3196" spans="4:4">
      <c r="D3196" s="65"/>
    </row>
    <row r="3197" spans="4:4">
      <c r="D3197" s="65"/>
    </row>
    <row r="3198" spans="4:4">
      <c r="D3198" s="65"/>
    </row>
    <row r="3199" spans="4:4">
      <c r="D3199" s="65"/>
    </row>
    <row r="3200" spans="4:4">
      <c r="D3200" s="65"/>
    </row>
    <row r="3201" spans="4:4">
      <c r="D3201" s="65"/>
    </row>
    <row r="3202" spans="4:4">
      <c r="D3202" s="65"/>
    </row>
    <row r="3203" spans="4:4">
      <c r="D3203" s="65"/>
    </row>
    <row r="3204" spans="4:4">
      <c r="D3204" s="65"/>
    </row>
    <row r="3205" spans="4:4">
      <c r="D3205" s="65"/>
    </row>
    <row r="3206" spans="4:4">
      <c r="D3206" s="65"/>
    </row>
    <row r="3207" spans="4:4">
      <c r="D3207" s="65"/>
    </row>
    <row r="3208" spans="4:4">
      <c r="D3208" s="65"/>
    </row>
    <row r="3209" spans="4:4">
      <c r="D3209" s="65"/>
    </row>
    <row r="3210" spans="4:4">
      <c r="D3210" s="65"/>
    </row>
    <row r="3211" spans="4:4">
      <c r="D3211" s="65"/>
    </row>
    <row r="3212" spans="4:4">
      <c r="D3212" s="65"/>
    </row>
    <row r="3213" spans="4:4">
      <c r="D3213" s="65"/>
    </row>
    <row r="3214" spans="4:4">
      <c r="D3214" s="65"/>
    </row>
    <row r="3215" spans="4:4">
      <c r="D3215" s="65"/>
    </row>
    <row r="3216" spans="4:4">
      <c r="D3216" s="65"/>
    </row>
    <row r="3217" spans="4:4">
      <c r="D3217" s="65"/>
    </row>
    <row r="3218" spans="4:4">
      <c r="D3218" s="65"/>
    </row>
    <row r="3219" spans="4:4">
      <c r="D3219" s="65"/>
    </row>
    <row r="3220" spans="4:4">
      <c r="D3220" s="65"/>
    </row>
    <row r="3221" spans="4:4">
      <c r="D3221" s="65"/>
    </row>
    <row r="3222" spans="4:4">
      <c r="D3222" s="65"/>
    </row>
    <row r="3223" spans="4:4">
      <c r="D3223" s="65"/>
    </row>
    <row r="3224" spans="4:4">
      <c r="D3224" s="65"/>
    </row>
    <row r="3225" spans="4:4">
      <c r="D3225" s="65"/>
    </row>
    <row r="3226" spans="4:4">
      <c r="D3226" s="65"/>
    </row>
    <row r="3227" spans="4:4">
      <c r="D3227" s="65"/>
    </row>
    <row r="3228" spans="4:4">
      <c r="D3228" s="65"/>
    </row>
    <row r="3229" spans="4:4">
      <c r="D3229" s="65"/>
    </row>
    <row r="3230" spans="4:4">
      <c r="D3230" s="65"/>
    </row>
    <row r="3231" spans="4:4">
      <c r="D3231" s="65"/>
    </row>
    <row r="3232" spans="4:4">
      <c r="D3232" s="65"/>
    </row>
    <row r="3233" spans="4:4">
      <c r="D3233" s="65"/>
    </row>
    <row r="3234" spans="4:4">
      <c r="D3234" s="65"/>
    </row>
    <row r="3235" spans="4:4">
      <c r="D3235" s="65"/>
    </row>
    <row r="3236" spans="4:4">
      <c r="D3236" s="65"/>
    </row>
    <row r="3237" spans="4:4">
      <c r="D3237" s="65"/>
    </row>
    <row r="3238" spans="4:4">
      <c r="D3238" s="65"/>
    </row>
    <row r="3239" spans="4:4">
      <c r="D3239" s="65"/>
    </row>
    <row r="3240" spans="4:4">
      <c r="D3240" s="65"/>
    </row>
    <row r="3241" spans="4:4">
      <c r="D3241" s="65"/>
    </row>
    <row r="3242" spans="4:4">
      <c r="D3242" s="65"/>
    </row>
    <row r="3243" spans="4:4">
      <c r="D3243" s="65"/>
    </row>
    <row r="3244" spans="4:4">
      <c r="D3244" s="65"/>
    </row>
    <row r="3245" spans="4:4">
      <c r="D3245" s="65"/>
    </row>
    <row r="3246" spans="4:4">
      <c r="D3246" s="65"/>
    </row>
    <row r="3247" spans="4:4">
      <c r="D3247" s="65"/>
    </row>
    <row r="3248" spans="4:4">
      <c r="D3248" s="65"/>
    </row>
    <row r="3249" spans="4:4">
      <c r="D3249" s="65"/>
    </row>
    <row r="3250" spans="4:4">
      <c r="D3250" s="65"/>
    </row>
    <row r="3251" spans="4:4">
      <c r="D3251" s="65"/>
    </row>
    <row r="3252" spans="4:4">
      <c r="D3252" s="65"/>
    </row>
    <row r="3253" spans="4:4">
      <c r="D3253" s="65"/>
    </row>
    <row r="3254" spans="4:4">
      <c r="D3254" s="65"/>
    </row>
    <row r="3255" spans="4:4">
      <c r="D3255" s="65"/>
    </row>
    <row r="3256" spans="4:4">
      <c r="D3256" s="65"/>
    </row>
    <row r="3257" spans="4:4">
      <c r="D3257" s="65"/>
    </row>
    <row r="3258" spans="4:4">
      <c r="D3258" s="65"/>
    </row>
    <row r="3259" spans="4:4">
      <c r="D3259" s="65"/>
    </row>
    <row r="3260" spans="4:4">
      <c r="D3260" s="65"/>
    </row>
    <row r="3261" spans="4:4">
      <c r="D3261" s="65"/>
    </row>
    <row r="3262" spans="4:4">
      <c r="D3262" s="65"/>
    </row>
    <row r="3263" spans="4:4">
      <c r="D3263" s="65"/>
    </row>
    <row r="3264" spans="4:4">
      <c r="D3264" s="65"/>
    </row>
    <row r="3265" spans="4:4">
      <c r="D3265" s="65"/>
    </row>
    <row r="3266" spans="4:4">
      <c r="D3266" s="65"/>
    </row>
    <row r="3267" spans="4:4">
      <c r="D3267" s="65"/>
    </row>
    <row r="3268" spans="4:4">
      <c r="D3268" s="65"/>
    </row>
    <row r="3269" spans="4:4">
      <c r="D3269" s="65"/>
    </row>
    <row r="3270" spans="4:4">
      <c r="D3270" s="65"/>
    </row>
    <row r="3271" spans="4:4">
      <c r="D3271" s="65"/>
    </row>
    <row r="3272" spans="4:4">
      <c r="D3272" s="65"/>
    </row>
    <row r="3273" spans="4:4">
      <c r="D3273" s="65"/>
    </row>
    <row r="3274" spans="4:4">
      <c r="D3274" s="65"/>
    </row>
    <row r="3275" spans="4:4">
      <c r="D3275" s="65"/>
    </row>
    <row r="3276" spans="4:4">
      <c r="D3276" s="65"/>
    </row>
    <row r="3277" spans="4:4">
      <c r="D3277" s="65"/>
    </row>
    <row r="3278" spans="4:4">
      <c r="D3278" s="65"/>
    </row>
    <row r="3279" spans="4:4">
      <c r="D3279" s="65"/>
    </row>
    <row r="3280" spans="4:4">
      <c r="D3280" s="65"/>
    </row>
    <row r="3281" spans="4:4">
      <c r="D3281" s="65"/>
    </row>
    <row r="3282" spans="4:4">
      <c r="D3282" s="65"/>
    </row>
    <row r="3283" spans="4:4">
      <c r="D3283" s="65"/>
    </row>
    <row r="3284" spans="4:4">
      <c r="D3284" s="65"/>
    </row>
    <row r="3285" spans="4:4">
      <c r="D3285" s="65"/>
    </row>
    <row r="3286" spans="4:4">
      <c r="D3286" s="65"/>
    </row>
    <row r="3287" spans="4:4">
      <c r="D3287" s="65"/>
    </row>
    <row r="3288" spans="4:4">
      <c r="D3288" s="65"/>
    </row>
    <row r="3289" spans="4:4">
      <c r="D3289" s="65"/>
    </row>
    <row r="3290" spans="4:4">
      <c r="D3290" s="65"/>
    </row>
    <row r="3291" spans="4:4">
      <c r="D3291" s="65"/>
    </row>
    <row r="3292" spans="4:4">
      <c r="D3292" s="65"/>
    </row>
    <row r="3293" spans="4:4">
      <c r="D3293" s="65"/>
    </row>
    <row r="3294" spans="4:4">
      <c r="D3294" s="65"/>
    </row>
    <row r="3295" spans="4:4">
      <c r="D3295" s="65"/>
    </row>
    <row r="3296" spans="4:4">
      <c r="D3296" s="65"/>
    </row>
    <row r="3297" spans="4:4">
      <c r="D3297" s="65"/>
    </row>
    <row r="3298" spans="4:4">
      <c r="D3298" s="65"/>
    </row>
    <row r="3299" spans="4:4">
      <c r="D3299" s="65"/>
    </row>
    <row r="3300" spans="4:4">
      <c r="D3300" s="65"/>
    </row>
    <row r="3301" spans="4:4">
      <c r="D3301" s="65"/>
    </row>
    <row r="3302" spans="4:4">
      <c r="D3302" s="65"/>
    </row>
    <row r="3303" spans="4:4">
      <c r="D3303" s="65"/>
    </row>
    <row r="3304" spans="4:4">
      <c r="D3304" s="65"/>
    </row>
    <row r="3305" spans="4:4">
      <c r="D3305" s="65"/>
    </row>
    <row r="3306" spans="4:4">
      <c r="D3306" s="65"/>
    </row>
    <row r="3307" spans="4:4">
      <c r="D3307" s="65"/>
    </row>
    <row r="3308" spans="4:4">
      <c r="D3308" s="65"/>
    </row>
    <row r="3309" spans="4:4">
      <c r="D3309" s="65"/>
    </row>
    <row r="3310" spans="4:4">
      <c r="D3310" s="65"/>
    </row>
    <row r="3311" spans="4:4">
      <c r="D3311" s="65"/>
    </row>
    <row r="3312" spans="4:4">
      <c r="D3312" s="65"/>
    </row>
    <row r="3313" spans="4:4">
      <c r="D3313" s="65"/>
    </row>
    <row r="3314" spans="4:4">
      <c r="D3314" s="65"/>
    </row>
    <row r="3315" spans="4:4">
      <c r="D3315" s="65"/>
    </row>
    <row r="3316" spans="4:4">
      <c r="D3316" s="65"/>
    </row>
    <row r="3317" spans="4:4">
      <c r="D3317" s="65"/>
    </row>
    <row r="3318" spans="4:4">
      <c r="D3318" s="65"/>
    </row>
    <row r="3319" spans="4:4">
      <c r="D3319" s="65"/>
    </row>
    <row r="3320" spans="4:4">
      <c r="D3320" s="65"/>
    </row>
    <row r="3321" spans="4:4">
      <c r="D3321" s="65"/>
    </row>
    <row r="3322" spans="4:4">
      <c r="D3322" s="65"/>
    </row>
    <row r="3323" spans="4:4">
      <c r="D3323" s="65"/>
    </row>
    <row r="3324" spans="4:4">
      <c r="D3324" s="65"/>
    </row>
    <row r="3325" spans="4:4">
      <c r="D3325" s="65"/>
    </row>
    <row r="3326" spans="4:4">
      <c r="D3326" s="65"/>
    </row>
    <row r="3327" spans="4:4">
      <c r="D3327" s="65"/>
    </row>
    <row r="3328" spans="4:4">
      <c r="D3328" s="65"/>
    </row>
    <row r="3329" spans="4:4">
      <c r="D3329" s="65"/>
    </row>
    <row r="3330" spans="4:4">
      <c r="D3330" s="65"/>
    </row>
  </sheetData>
  <autoFilter ref="A3:AA457" xr:uid="{00000000-0009-0000-0000-00000F000000}"/>
  <sortState xmlns:xlrd2="http://schemas.microsoft.com/office/spreadsheetml/2017/richdata2" ref="B4:B59">
    <sortCondition ref="B3"/>
  </sortState>
  <phoneticPr fontId="133" type="noConversion"/>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Guide</vt:lpstr>
      <vt:lpstr>DATABASE</vt:lpstr>
      <vt:lpstr>Site_DB</vt:lpstr>
      <vt:lpstr>Indicator Summary  Eng</vt:lpstr>
      <vt:lpstr>Indicator Summary  MM</vt:lpstr>
      <vt:lpstr>HRP Calculations</vt:lpstr>
      <vt:lpstr>HRP</vt:lpstr>
      <vt:lpstr>Analysis</vt:lpstr>
      <vt:lpstr>Quarterly Dashboard</vt:lpstr>
      <vt:lpstr>Rakhine</vt:lpstr>
      <vt:lpstr>By Site</vt:lpstr>
      <vt:lpstr>Tracking Dashboard</vt:lpstr>
      <vt:lpstr>Lookup</vt:lpstr>
      <vt:lpstr>'HRP Calculations'!Print_Area</vt:lpstr>
      <vt:lpstr>'Indicator Summary  Eng'!Print_Area</vt:lpstr>
      <vt:lpstr>'Indicator Summary  MM'!Print_Area</vt:lpstr>
      <vt:lpstr>Rakhine!Print_Area</vt:lpstr>
      <vt:lpstr>'Indicator Summary  Eng'!Print_Titles</vt:lpstr>
      <vt:lpstr>'Indicator Summary  MM'!Print_Titles</vt:lpstr>
      <vt:lpstr>State_list</vt:lpstr>
      <vt:lpstr>Statestart_1</vt:lpstr>
      <vt:lpstr>Rakhine!Township_list</vt:lpstr>
      <vt:lpstr>Township_list</vt:lpstr>
      <vt:lpstr>Rakhine!Township_start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Administrator</cp:lastModifiedBy>
  <cp:revision/>
  <cp:lastPrinted>2020-07-21T07:15:55Z</cp:lastPrinted>
  <dcterms:created xsi:type="dcterms:W3CDTF">2016-05-30T15:30:45Z</dcterms:created>
  <dcterms:modified xsi:type="dcterms:W3CDTF">2020-08-04T07:10:21Z</dcterms:modified>
  <cp:category/>
  <cp:contentStatus/>
</cp:coreProperties>
</file>